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000" yWindow="4290" windowWidth="12450" windowHeight="7110" tabRatio="943" firstSheet="4" activeTab="16"/>
  </bookViews>
  <sheets>
    <sheet name="Summary" sheetId="16" state="hidden" r:id="rId1"/>
    <sheet name="AFP (2)" sheetId="79" state="hidden" r:id="rId2"/>
    <sheet name="AFP" sheetId="64" r:id="rId3"/>
    <sheet name="Abstract" sheetId="85" r:id="rId4"/>
    <sheet name="BRD_Tiles" sheetId="95" r:id="rId5"/>
    <sheet name="BRD_Cement &amp; Steel" sheetId="65" r:id="rId6"/>
    <sheet name="Top slab" sheetId="78" state="hidden" r:id="rId7"/>
    <sheet name="NS Item Abst." sheetId="86" state="hidden" r:id="rId8"/>
    <sheet name="BBS Summary" sheetId="68" r:id="rId9"/>
    <sheet name="MB" sheetId="84" r:id="rId10"/>
    <sheet name="BBS RECHRAGE PIT" sheetId="93" r:id="rId11"/>
    <sheet name="Rec_Cement &amp; Steel" sheetId="97" r:id="rId12"/>
    <sheet name="Consumption_Cement" sheetId="94" r:id="rId13"/>
    <sheet name="Escalation Tiles" sheetId="88" state="hidden" r:id="rId14"/>
    <sheet name="Tiles_Rec Detail" sheetId="98" r:id="rId15"/>
    <sheet name="TMT Rec Detail" sheetId="89" r:id="rId16"/>
    <sheet name="Cement Rec Detail" sheetId="90" r:id="rId17"/>
    <sheet name="Footing TMT" sheetId="72" state="hidden" r:id="rId18"/>
    <sheet name="pedstal TMT" sheetId="71" state="hidden" r:id="rId19"/>
    <sheet name="Plinth beam MB" sheetId="69" state="hidden" r:id="rId20"/>
    <sheet name="Kitchen area MB" sheetId="70" state="hidden" r:id="rId21"/>
    <sheet name="Grade Slab TMT" sheetId="77" state="hidden" r:id="rId22"/>
    <sheet name="Sheet1" sheetId="80" state="hidden" r:id="rId23"/>
    <sheet name="Lintel Beam" sheetId="83" state="hidden" r:id="rId24"/>
    <sheet name="Sheet2" sheetId="87" state="hidden" r:id="rId25"/>
    <sheet name="RMC Rec Detail" sheetId="96" r:id="rId26"/>
  </sheets>
  <externalReferences>
    <externalReference r:id="rId27"/>
  </externalReferences>
  <definedNames>
    <definedName name="_xlnm._FilterDatabase" localSheetId="3" hidden="1">Abstract!$A$1:$A$334</definedName>
    <definedName name="_xlnm._FilterDatabase" localSheetId="9" hidden="1">MB!$A$1:$A$4525</definedName>
    <definedName name="_xlnm._FilterDatabase" localSheetId="19" hidden="1">'Plinth beam MB'!$E$1:$E$467</definedName>
    <definedName name="_xlnm._FilterDatabase" localSheetId="25" hidden="1">'RMC Rec Detail'!$A$4:$H$79</definedName>
    <definedName name="_sep05" localSheetId="1">#REF!</definedName>
    <definedName name="_sep05" localSheetId="13">#REF!</definedName>
    <definedName name="_sep05" localSheetId="14">#REF!</definedName>
    <definedName name="_sep05" localSheetId="6">#REF!</definedName>
    <definedName name="_sep05">#REF!</definedName>
    <definedName name="_sep06" localSheetId="14">#REF!</definedName>
    <definedName name="_sep06">#REF!</definedName>
    <definedName name="a" localSheetId="1">#REF!</definedName>
    <definedName name="a" localSheetId="13">#REF!</definedName>
    <definedName name="a" localSheetId="14">#REF!</definedName>
    <definedName name="a" localSheetId="6">#REF!</definedName>
    <definedName name="a">#REF!</definedName>
    <definedName name="aa" localSheetId="1">#REF!</definedName>
    <definedName name="aa" localSheetId="13">#REF!</definedName>
    <definedName name="aa" localSheetId="14">#REF!</definedName>
    <definedName name="aa" localSheetId="6">#REF!</definedName>
    <definedName name="aa">#REF!</definedName>
    <definedName name="aaa" localSheetId="1">#REF!</definedName>
    <definedName name="aaa" localSheetId="13">#REF!</definedName>
    <definedName name="aaa" localSheetId="14">#REF!</definedName>
    <definedName name="aaa" localSheetId="6">#REF!</definedName>
    <definedName name="aaa">#REF!</definedName>
    <definedName name="aaaa" localSheetId="1">#REF!</definedName>
    <definedName name="aaaa" localSheetId="13">#REF!</definedName>
    <definedName name="aaaa" localSheetId="14">#REF!</definedName>
    <definedName name="aaaa" localSheetId="6">#REF!</definedName>
    <definedName name="aaaa">#REF!</definedName>
    <definedName name="aaaaa" localSheetId="1">#REF!</definedName>
    <definedName name="aaaaa" localSheetId="13">#REF!</definedName>
    <definedName name="aaaaa" localSheetId="14">#REF!</definedName>
    <definedName name="aaaaa" localSheetId="6">#REF!</definedName>
    <definedName name="aaaaa">#REF!</definedName>
    <definedName name="ef" localSheetId="1">#REF!</definedName>
    <definedName name="ef" localSheetId="13">#REF!</definedName>
    <definedName name="ef" localSheetId="14">#REF!</definedName>
    <definedName name="ef" localSheetId="6">#REF!</definedName>
    <definedName name="ef">#REF!</definedName>
    <definedName name="f" localSheetId="1">#REF!</definedName>
    <definedName name="f" localSheetId="13">#REF!</definedName>
    <definedName name="f" localSheetId="14">#REF!</definedName>
    <definedName name="f" localSheetId="6">#REF!</definedName>
    <definedName name="f">#REF!</definedName>
    <definedName name="h\" localSheetId="1">#REF!</definedName>
    <definedName name="h\" localSheetId="13">#REF!</definedName>
    <definedName name="h\" localSheetId="14">#REF!</definedName>
    <definedName name="h\" localSheetId="6">#REF!</definedName>
    <definedName name="h\">#REF!</definedName>
    <definedName name="n" localSheetId="1">#REF!</definedName>
    <definedName name="n" localSheetId="13">#REF!</definedName>
    <definedName name="n" localSheetId="14">#REF!</definedName>
    <definedName name="n" localSheetId="6">#REF!</definedName>
    <definedName name="n">#REF!</definedName>
    <definedName name="nnn" localSheetId="14">#REF!</definedName>
    <definedName name="nnn">#REF!</definedName>
    <definedName name="_xlnm.Print_Area" localSheetId="3">Abstract!$A$1:$L$330</definedName>
    <definedName name="_xlnm.Print_Area" localSheetId="2">AFP!$A$1:$G$34</definedName>
    <definedName name="_xlnm.Print_Area" localSheetId="1">'AFP (2)'!$A$1:$G$22</definedName>
    <definedName name="_xlnm.Print_Area" localSheetId="10">'BBS RECHRAGE PIT'!$A$1:$J$21</definedName>
    <definedName name="_xlnm.Print_Area" localSheetId="8">'BBS Summary'!$A$1:$M$14</definedName>
    <definedName name="_xlnm.Print_Area" localSheetId="5">'BRD_Cement &amp; Steel'!$A$1:$H$9</definedName>
    <definedName name="_xlnm.Print_Area" localSheetId="4">BRD_Tiles!$A$1:$N$10</definedName>
    <definedName name="_xlnm.Print_Area" localSheetId="16">'Cement Rec Detail'!$A$1:$L$34</definedName>
    <definedName name="_xlnm.Print_Area" localSheetId="12">Consumption_Cement!$A$1:$G$28</definedName>
    <definedName name="_xlnm.Print_Area" localSheetId="20">'Kitchen area MB'!$A$1:$X$15</definedName>
    <definedName name="_xlnm.Print_Area" localSheetId="9">MB!$A$1:$H$4519</definedName>
    <definedName name="_xlnm.Print_Area" localSheetId="7">'NS Item Abst.'!$A$1:$J$24</definedName>
    <definedName name="_xlnm.Print_Area" localSheetId="19">'Plinth beam MB'!$A$1:$X$465</definedName>
    <definedName name="_xlnm.Print_Area" localSheetId="11">'Rec_Cement &amp; Steel'!$A$1:$J$31</definedName>
    <definedName name="_xlnm.Print_Area" localSheetId="25">'RMC Rec Detail'!$A$1:$H$88</definedName>
    <definedName name="_xlnm.Print_Area" localSheetId="14">'Tiles_Rec Detail'!$A$1:$N$19</definedName>
    <definedName name="_xlnm.Print_Titles" localSheetId="3">Abstract!$4:$6</definedName>
    <definedName name="_xlnm.Print_Titles" localSheetId="8">'BBS Summary'!$4:$5</definedName>
    <definedName name="_xlnm.Print_Titles" localSheetId="5">'BRD_Cement &amp; Steel'!#REF!</definedName>
    <definedName name="_xlnm.Print_Titles" localSheetId="16">'Cement Rec Detail'!$3:$4</definedName>
    <definedName name="_xlnm.Print_Titles" localSheetId="9">MB!$4:$4</definedName>
    <definedName name="_xlnm.Print_Titles" localSheetId="19">'Plinth beam MB'!$2:$4</definedName>
    <definedName name="_xlnm.Print_Titles" localSheetId="25">'RMC Rec Detail'!$3:$4</definedName>
    <definedName name="_xlnm.Print_Titles" localSheetId="14">'Tiles_Rec Detail'!$3:$4</definedName>
    <definedName name="_xlnm.Print_Titles" localSheetId="15">'TMT Rec Detail'!$3:$4</definedName>
    <definedName name="PRWMAY07" localSheetId="1">#REF!</definedName>
    <definedName name="PRWMAY07" localSheetId="13">#REF!</definedName>
    <definedName name="PRWMAY07" localSheetId="14">#REF!</definedName>
    <definedName name="PRWMAY07" localSheetId="6">#REF!</definedName>
    <definedName name="PRWMAY07">#REF!</definedName>
    <definedName name="PRWSEP05" localSheetId="1">#REF!</definedName>
    <definedName name="PRWSEP05" localSheetId="13">#REF!</definedName>
    <definedName name="PRWSEP05" localSheetId="14">#REF!</definedName>
    <definedName name="PRWSEP05" localSheetId="6">#REF!</definedName>
    <definedName name="PRWSEP05">#REF!</definedName>
    <definedName name="W.proofing" localSheetId="1">#REF!</definedName>
    <definedName name="W.proofing" localSheetId="13">#REF!</definedName>
    <definedName name="W.proofing" localSheetId="14">#REF!</definedName>
    <definedName name="W.proofing" localSheetId="6">#REF!</definedName>
    <definedName name="W.proofing">#REF!</definedName>
  </definedNames>
  <calcPr calcId="144525"/>
  <fileRecoveryPr autoRecover="0"/>
</workbook>
</file>

<file path=xl/calcChain.xml><?xml version="1.0" encoding="utf-8"?>
<calcChain xmlns="http://schemas.openxmlformats.org/spreadsheetml/2006/main">
  <c r="F15" i="64" l="1"/>
  <c r="G8" i="94"/>
  <c r="D9" i="94"/>
  <c r="D8" i="94"/>
  <c r="I328" i="85"/>
  <c r="I327" i="85"/>
  <c r="I326" i="85"/>
  <c r="I325" i="85"/>
  <c r="I324" i="85"/>
  <c r="I323" i="85"/>
  <c r="I322" i="85"/>
  <c r="I321" i="85"/>
  <c r="I320" i="85"/>
  <c r="I319" i="85"/>
  <c r="I318" i="85"/>
  <c r="I317" i="85"/>
  <c r="I316" i="85"/>
  <c r="I315" i="85"/>
  <c r="I314" i="85"/>
  <c r="I313" i="85"/>
  <c r="I312" i="85"/>
  <c r="I311" i="85"/>
  <c r="I310" i="85"/>
  <c r="I309" i="85"/>
  <c r="I308" i="85"/>
  <c r="I307" i="85"/>
  <c r="I306" i="85"/>
  <c r="I305" i="85"/>
  <c r="I304" i="85"/>
  <c r="I303" i="85"/>
  <c r="I302" i="85"/>
  <c r="I301" i="85"/>
  <c r="I300" i="85"/>
  <c r="I299" i="85"/>
  <c r="I298" i="85"/>
  <c r="I297" i="85"/>
  <c r="I296" i="85"/>
  <c r="I295" i="85"/>
  <c r="I294" i="85"/>
  <c r="I293" i="85"/>
  <c r="I292" i="85"/>
  <c r="I291" i="85"/>
  <c r="I290" i="85"/>
  <c r="I289" i="85"/>
  <c r="I288" i="85"/>
  <c r="I287" i="85"/>
  <c r="I286" i="85"/>
  <c r="I285" i="85"/>
  <c r="I284" i="85"/>
  <c r="I283" i="85"/>
  <c r="I282" i="85"/>
  <c r="I281" i="85"/>
  <c r="I280" i="85"/>
  <c r="I279" i="85"/>
  <c r="I278" i="85"/>
  <c r="I152" i="85"/>
  <c r="I171" i="85"/>
  <c r="I184" i="85"/>
  <c r="I228" i="85"/>
  <c r="G31" i="85"/>
  <c r="F314" i="85" l="1"/>
  <c r="K314" i="85"/>
  <c r="J314" i="85" s="1"/>
  <c r="J7" i="95" l="1"/>
  <c r="J8" i="95"/>
  <c r="J6" i="95"/>
  <c r="G4518" i="84"/>
  <c r="I13" i="98" l="1"/>
  <c r="J13" i="98" s="1"/>
  <c r="L13" i="98"/>
  <c r="I15" i="98"/>
  <c r="J15" i="98" s="1"/>
  <c r="M15" i="98" s="1"/>
  <c r="L15" i="98"/>
  <c r="L9" i="98"/>
  <c r="L17" i="98"/>
  <c r="L7" i="98"/>
  <c r="L6" i="98"/>
  <c r="L8" i="98"/>
  <c r="I16" i="98"/>
  <c r="G16" i="98"/>
  <c r="L16" i="98" s="1"/>
  <c r="I6" i="98"/>
  <c r="J6" i="98"/>
  <c r="I14" i="98"/>
  <c r="G14" i="98"/>
  <c r="J14" i="98" s="1"/>
  <c r="L14" i="98"/>
  <c r="I7" i="98"/>
  <c r="J7" i="98" s="1"/>
  <c r="I17" i="98"/>
  <c r="J17" i="98"/>
  <c r="I9" i="98"/>
  <c r="J9" i="98" s="1"/>
  <c r="I8" i="98"/>
  <c r="J8" i="98"/>
  <c r="A9" i="98"/>
  <c r="M6" i="98"/>
  <c r="M17" i="98"/>
  <c r="A27" i="90"/>
  <c r="A26" i="90"/>
  <c r="A6" i="90"/>
  <c r="A7" i="90"/>
  <c r="A8" i="90"/>
  <c r="A9" i="90"/>
  <c r="A10" i="90"/>
  <c r="A11" i="90"/>
  <c r="A12" i="90"/>
  <c r="A13" i="90"/>
  <c r="A14" i="90"/>
  <c r="A15" i="90"/>
  <c r="A16" i="90"/>
  <c r="K11" i="90"/>
  <c r="K20" i="90"/>
  <c r="K19" i="90"/>
  <c r="K15" i="90"/>
  <c r="K18" i="90"/>
  <c r="K31" i="90"/>
  <c r="K27" i="90"/>
  <c r="K29" i="90"/>
  <c r="K9" i="90"/>
  <c r="K7" i="90"/>
  <c r="G83" i="96"/>
  <c r="G87" i="96"/>
  <c r="F83" i="96"/>
  <c r="F87" i="96"/>
  <c r="G82" i="96"/>
  <c r="G86" i="96"/>
  <c r="F82" i="96"/>
  <c r="F86" i="96"/>
  <c r="K14" i="89"/>
  <c r="K15" i="89"/>
  <c r="A15" i="89"/>
  <c r="G88" i="96"/>
  <c r="G7" i="94"/>
  <c r="G28" i="94" s="1"/>
  <c r="F88" i="96"/>
  <c r="A17" i="90"/>
  <c r="A18" i="90"/>
  <c r="J22" i="90"/>
  <c r="K22" i="90"/>
  <c r="K30" i="90"/>
  <c r="H81" i="96"/>
  <c r="F81" i="96"/>
  <c r="G81" i="96"/>
  <c r="J49" i="96"/>
  <c r="J48" i="96"/>
  <c r="J47" i="96"/>
  <c r="J46" i="96"/>
  <c r="J45" i="96"/>
  <c r="A19" i="90"/>
  <c r="A20" i="90"/>
  <c r="A21" i="90"/>
  <c r="A22" i="90"/>
  <c r="A23" i="90"/>
  <c r="A24" i="90"/>
  <c r="A25" i="90"/>
  <c r="A28" i="90"/>
  <c r="A29" i="90"/>
  <c r="A30" i="90"/>
  <c r="A31" i="90"/>
  <c r="A32" i="90"/>
  <c r="A33" i="90"/>
  <c r="F8" i="97"/>
  <c r="G8" i="97"/>
  <c r="H8" i="97"/>
  <c r="I8" i="97"/>
  <c r="E8" i="97"/>
  <c r="C8" i="97"/>
  <c r="F23" i="94"/>
  <c r="A6" i="96"/>
  <c r="A7" i="96"/>
  <c r="J75" i="96"/>
  <c r="J39" i="96"/>
  <c r="J12" i="96"/>
  <c r="J14" i="96"/>
  <c r="J16" i="96"/>
  <c r="J17" i="96"/>
  <c r="J21" i="96"/>
  <c r="J22" i="96"/>
  <c r="J23" i="96"/>
  <c r="J5" i="96"/>
  <c r="J6" i="96"/>
  <c r="J7" i="96"/>
  <c r="J8" i="96"/>
  <c r="J9" i="96"/>
  <c r="J10" i="96"/>
  <c r="J13" i="96"/>
  <c r="J15" i="96"/>
  <c r="J11" i="96"/>
  <c r="J32" i="96"/>
  <c r="J33" i="96"/>
  <c r="J42" i="96"/>
  <c r="J43" i="96"/>
  <c r="J44" i="96"/>
  <c r="J19" i="96"/>
  <c r="D7" i="94"/>
  <c r="J18" i="96"/>
  <c r="J20" i="96"/>
  <c r="J24" i="96"/>
  <c r="J25" i="96"/>
  <c r="J26" i="96"/>
  <c r="J27" i="96"/>
  <c r="J28" i="96"/>
  <c r="J38" i="96"/>
  <c r="J40" i="96"/>
  <c r="J30" i="96"/>
  <c r="J31" i="96"/>
  <c r="J34" i="96"/>
  <c r="J35" i="96"/>
  <c r="J36" i="96"/>
  <c r="J37" i="96"/>
  <c r="J41" i="96"/>
  <c r="J50" i="96"/>
  <c r="J51" i="96"/>
  <c r="J52" i="96"/>
  <c r="J53" i="96"/>
  <c r="J54" i="96"/>
  <c r="J55" i="96"/>
  <c r="J56" i="96"/>
  <c r="J57" i="96"/>
  <c r="J58" i="96"/>
  <c r="J59" i="96"/>
  <c r="J60" i="96"/>
  <c r="J61" i="96"/>
  <c r="J62" i="96"/>
  <c r="J63" i="96"/>
  <c r="J64" i="96"/>
  <c r="J65" i="96"/>
  <c r="J66" i="96"/>
  <c r="J67" i="96"/>
  <c r="J68" i="96"/>
  <c r="J69" i="96"/>
  <c r="J70" i="96"/>
  <c r="J71" i="96"/>
  <c r="J72" i="96"/>
  <c r="J73" i="96"/>
  <c r="J74" i="96"/>
  <c r="J76" i="96"/>
  <c r="J77" i="96"/>
  <c r="J78" i="96"/>
  <c r="J79" i="96"/>
  <c r="J29" i="96"/>
  <c r="F17" i="89"/>
  <c r="E7" i="97"/>
  <c r="E9" i="97"/>
  <c r="L17" i="89"/>
  <c r="A6" i="89"/>
  <c r="A7" i="89"/>
  <c r="A8" i="89"/>
  <c r="A9" i="89"/>
  <c r="A10" i="89"/>
  <c r="A11" i="89"/>
  <c r="A12" i="89"/>
  <c r="A13" i="89"/>
  <c r="A14" i="89"/>
  <c r="I7" i="89"/>
  <c r="J5" i="89"/>
  <c r="J17" i="89"/>
  <c r="I7" i="97"/>
  <c r="I9" i="97"/>
  <c r="H5" i="89"/>
  <c r="H17" i="89"/>
  <c r="G7" i="97"/>
  <c r="G9" i="97"/>
  <c r="G5" i="89"/>
  <c r="G17" i="89"/>
  <c r="F7" i="97"/>
  <c r="I5" i="89"/>
  <c r="I17" i="89"/>
  <c r="H7" i="97"/>
  <c r="H9" i="97"/>
  <c r="F9" i="97"/>
  <c r="C9" i="97"/>
  <c r="C10" i="97"/>
  <c r="C7" i="97"/>
  <c r="K279" i="85"/>
  <c r="J279" i="85" s="1"/>
  <c r="K281" i="85"/>
  <c r="J281" i="85"/>
  <c r="K283" i="85"/>
  <c r="J283" i="85" s="1"/>
  <c r="K285" i="85"/>
  <c r="J285" i="85"/>
  <c r="K287" i="85"/>
  <c r="J287" i="85" s="1"/>
  <c r="K289" i="85"/>
  <c r="J289" i="85"/>
  <c r="K291" i="85"/>
  <c r="J291" i="85" s="1"/>
  <c r="K293" i="85"/>
  <c r="J293" i="85"/>
  <c r="K295" i="85"/>
  <c r="J295" i="85" s="1"/>
  <c r="K297" i="85"/>
  <c r="J297" i="85"/>
  <c r="K299" i="85"/>
  <c r="J299" i="85" s="1"/>
  <c r="K301" i="85"/>
  <c r="J301" i="85"/>
  <c r="K303" i="85"/>
  <c r="J303" i="85" s="1"/>
  <c r="K305" i="85"/>
  <c r="J305" i="85"/>
  <c r="K307" i="85"/>
  <c r="J307" i="85" s="1"/>
  <c r="K309" i="85"/>
  <c r="J309" i="85"/>
  <c r="K311" i="85"/>
  <c r="J311" i="85" s="1"/>
  <c r="K313" i="85"/>
  <c r="J313" i="85" s="1"/>
  <c r="K317" i="85"/>
  <c r="J317" i="85" s="1"/>
  <c r="K319" i="85"/>
  <c r="J319" i="85"/>
  <c r="K321" i="85"/>
  <c r="J321" i="85" s="1"/>
  <c r="K323" i="85"/>
  <c r="J323" i="85"/>
  <c r="G4107" i="84"/>
  <c r="G4108" i="84"/>
  <c r="G4109" i="84"/>
  <c r="G4110" i="84"/>
  <c r="G4111" i="84"/>
  <c r="G4112" i="84"/>
  <c r="G4106" i="84"/>
  <c r="G4113" i="84" s="1"/>
  <c r="G284" i="85" s="1"/>
  <c r="K284" i="85" s="1"/>
  <c r="F279" i="85"/>
  <c r="F281" i="85"/>
  <c r="F283" i="85"/>
  <c r="F285" i="85"/>
  <c r="F287" i="85"/>
  <c r="F289" i="85"/>
  <c r="F291" i="85"/>
  <c r="F293" i="85"/>
  <c r="F295" i="85"/>
  <c r="F297" i="85"/>
  <c r="F299" i="85"/>
  <c r="F301" i="85"/>
  <c r="F303" i="85"/>
  <c r="F305" i="85"/>
  <c r="F307" i="85"/>
  <c r="F309" i="85"/>
  <c r="F311" i="85"/>
  <c r="F313" i="85"/>
  <c r="F317" i="85"/>
  <c r="F319" i="85"/>
  <c r="F321" i="85"/>
  <c r="F323" i="85"/>
  <c r="F251" i="85"/>
  <c r="F252" i="85"/>
  <c r="F253" i="85"/>
  <c r="F254" i="85"/>
  <c r="F255" i="85"/>
  <c r="F256" i="85"/>
  <c r="F263" i="85"/>
  <c r="F243" i="85"/>
  <c r="F244" i="85"/>
  <c r="F245" i="85"/>
  <c r="F246" i="85"/>
  <c r="F247" i="85"/>
  <c r="F248" i="85"/>
  <c r="F249" i="85"/>
  <c r="F233" i="85"/>
  <c r="F239" i="85"/>
  <c r="F230" i="85"/>
  <c r="F219" i="85"/>
  <c r="F227" i="85"/>
  <c r="F210" i="85"/>
  <c r="F211" i="85"/>
  <c r="F212" i="85"/>
  <c r="F213" i="85"/>
  <c r="F208" i="85"/>
  <c r="F200" i="85"/>
  <c r="F204" i="85"/>
  <c r="F206" i="85"/>
  <c r="F185" i="85"/>
  <c r="F186" i="85"/>
  <c r="F187" i="85"/>
  <c r="F188" i="85"/>
  <c r="F189" i="85"/>
  <c r="F195" i="85"/>
  <c r="F153" i="85"/>
  <c r="F163" i="85"/>
  <c r="F145" i="85"/>
  <c r="F147" i="85"/>
  <c r="F148" i="85"/>
  <c r="F149" i="85"/>
  <c r="F150" i="85"/>
  <c r="F151" i="85"/>
  <c r="F143" i="85"/>
  <c r="F141" i="85"/>
  <c r="F139" i="85"/>
  <c r="F122" i="85"/>
  <c r="F132" i="85"/>
  <c r="F112" i="85"/>
  <c r="F113" i="85"/>
  <c r="F79" i="85"/>
  <c r="F86" i="85"/>
  <c r="F93" i="85"/>
  <c r="F99" i="85"/>
  <c r="F106" i="85"/>
  <c r="F110" i="85"/>
  <c r="G1234" i="84"/>
  <c r="K13" i="68"/>
  <c r="F39" i="85"/>
  <c r="F40" i="85"/>
  <c r="F41" i="85"/>
  <c r="F42" i="85"/>
  <c r="F43" i="85"/>
  <c r="G4499" i="84"/>
  <c r="G4495" i="84"/>
  <c r="G4488" i="84"/>
  <c r="G4481" i="84"/>
  <c r="G4482" i="84" s="1"/>
  <c r="G316" i="85" s="1"/>
  <c r="G4480" i="84"/>
  <c r="G4450" i="84"/>
  <c r="G4449" i="84"/>
  <c r="G4448" i="84"/>
  <c r="G4447" i="84"/>
  <c r="G4446" i="84"/>
  <c r="G4443" i="84"/>
  <c r="G4442" i="84"/>
  <c r="G4440" i="84"/>
  <c r="G4439" i="84"/>
  <c r="G4438" i="84"/>
  <c r="G4432" i="84"/>
  <c r="G4431" i="84"/>
  <c r="G4430" i="84"/>
  <c r="G4429" i="84"/>
  <c r="G4428" i="84"/>
  <c r="G4426" i="84"/>
  <c r="G4425" i="84"/>
  <c r="G4424" i="84"/>
  <c r="G4423" i="84"/>
  <c r="G4422" i="84"/>
  <c r="G4420" i="84"/>
  <c r="G4418" i="84"/>
  <c r="G4416" i="84"/>
  <c r="G4414" i="84"/>
  <c r="G4413" i="84"/>
  <c r="G4411" i="84"/>
  <c r="G4410" i="84"/>
  <c r="G4409" i="84"/>
  <c r="G4408" i="84"/>
  <c r="G4405" i="84"/>
  <c r="G4404" i="84"/>
  <c r="G4403" i="84"/>
  <c r="G4402" i="84"/>
  <c r="G4401" i="84"/>
  <c r="G4400" i="84"/>
  <c r="G4399" i="84"/>
  <c r="G4397" i="84"/>
  <c r="G4396" i="84"/>
  <c r="G4395" i="84"/>
  <c r="G4394" i="84"/>
  <c r="G4392" i="84"/>
  <c r="G4391" i="84"/>
  <c r="G4390" i="84"/>
  <c r="G4389" i="84"/>
  <c r="G4388" i="84"/>
  <c r="G4387" i="84"/>
  <c r="G4385" i="84"/>
  <c r="G4383" i="84"/>
  <c r="G4382" i="84"/>
  <c r="G4381" i="84"/>
  <c r="G4380" i="84"/>
  <c r="G4379" i="84"/>
  <c r="G4378" i="84"/>
  <c r="G4376" i="84"/>
  <c r="G4374" i="84"/>
  <c r="G4373" i="84"/>
  <c r="G4372" i="84"/>
  <c r="G4371" i="84"/>
  <c r="G4370" i="84"/>
  <c r="G4369" i="84"/>
  <c r="G4368" i="84"/>
  <c r="G4366" i="84"/>
  <c r="G4364" i="84"/>
  <c r="G4362" i="84"/>
  <c r="G4360" i="84"/>
  <c r="G4358" i="84"/>
  <c r="G4357" i="84"/>
  <c r="G4343" i="84"/>
  <c r="G4342" i="84"/>
  <c r="G4341" i="84"/>
  <c r="G4340" i="84"/>
  <c r="G4339" i="84"/>
  <c r="G4335" i="84"/>
  <c r="G4334" i="84"/>
  <c r="G4333" i="84"/>
  <c r="G4332" i="84"/>
  <c r="G4331" i="84"/>
  <c r="G4330" i="84"/>
  <c r="G4329" i="84"/>
  <c r="G4328" i="84"/>
  <c r="G4327" i="84"/>
  <c r="G4326" i="84"/>
  <c r="G4324" i="84"/>
  <c r="G4323" i="84"/>
  <c r="G4322" i="84"/>
  <c r="G4321" i="84"/>
  <c r="G4319" i="84"/>
  <c r="G4318" i="84"/>
  <c r="G4316" i="84"/>
  <c r="G4315" i="84"/>
  <c r="G4314" i="84"/>
  <c r="G4313" i="84"/>
  <c r="G4311" i="84"/>
  <c r="G4310" i="84"/>
  <c r="G4309" i="84"/>
  <c r="G4308" i="84"/>
  <c r="G4307" i="84"/>
  <c r="G4306" i="84"/>
  <c r="G4305" i="84"/>
  <c r="G4304" i="84"/>
  <c r="G4297" i="84"/>
  <c r="G4296" i="84"/>
  <c r="G4295" i="84"/>
  <c r="G4293" i="84"/>
  <c r="G4290" i="84"/>
  <c r="G4289" i="84"/>
  <c r="G4282" i="84"/>
  <c r="G4281" i="84"/>
  <c r="G4280" i="84"/>
  <c r="G4279" i="84"/>
  <c r="G3643" i="84"/>
  <c r="G3642" i="84"/>
  <c r="G3641" i="84"/>
  <c r="G3640" i="84"/>
  <c r="G4266" i="84"/>
  <c r="G4260" i="84"/>
  <c r="G4258" i="84"/>
  <c r="G4256" i="84"/>
  <c r="G4254" i="84"/>
  <c r="G4252" i="84"/>
  <c r="G4250" i="84"/>
  <c r="G4245" i="84"/>
  <c r="G4241" i="84"/>
  <c r="G4237" i="84"/>
  <c r="G4236" i="84"/>
  <c r="G4235" i="84"/>
  <c r="G4230" i="84"/>
  <c r="G4229" i="84"/>
  <c r="G4227" i="84"/>
  <c r="G4218" i="84"/>
  <c r="G4217" i="84"/>
  <c r="G4216" i="84"/>
  <c r="G4212" i="84"/>
  <c r="G4207" i="84"/>
  <c r="G4205" i="84"/>
  <c r="G4204" i="84"/>
  <c r="G4179" i="84"/>
  <c r="G4180" i="84"/>
  <c r="G4181" i="84"/>
  <c r="G4185" i="84"/>
  <c r="G4187" i="84"/>
  <c r="G4193" i="84"/>
  <c r="G4198" i="84"/>
  <c r="G4141" i="84"/>
  <c r="G4144" i="84"/>
  <c r="G4147" i="84"/>
  <c r="G4148" i="84"/>
  <c r="G4151" i="84"/>
  <c r="G4156" i="84"/>
  <c r="G4157" i="84"/>
  <c r="G4158" i="84"/>
  <c r="G4159" i="84"/>
  <c r="G4161" i="84"/>
  <c r="G4162" i="84"/>
  <c r="G4163" i="84"/>
  <c r="G4164" i="84"/>
  <c r="G4166" i="84"/>
  <c r="G4101" i="84"/>
  <c r="G4100" i="84"/>
  <c r="G4099" i="84"/>
  <c r="G4098" i="84"/>
  <c r="G4097" i="84"/>
  <c r="G4096" i="84"/>
  <c r="G4095" i="84"/>
  <c r="G4094" i="84"/>
  <c r="G4093" i="84"/>
  <c r="G4092" i="84"/>
  <c r="G4091" i="84"/>
  <c r="G4090" i="84"/>
  <c r="G4089" i="84"/>
  <c r="G4088" i="84"/>
  <c r="G4087" i="84"/>
  <c r="G4086" i="84"/>
  <c r="G4085" i="84"/>
  <c r="G4084" i="84"/>
  <c r="G4083" i="84"/>
  <c r="G4082" i="84"/>
  <c r="G4081" i="84"/>
  <c r="G4080" i="84"/>
  <c r="G4079" i="84"/>
  <c r="G4078" i="84"/>
  <c r="G4077" i="84"/>
  <c r="G4076" i="84"/>
  <c r="G4075" i="84"/>
  <c r="G4074" i="84"/>
  <c r="G4073" i="84"/>
  <c r="G4072" i="84"/>
  <c r="G4071" i="84"/>
  <c r="G4070" i="84"/>
  <c r="G4069" i="84"/>
  <c r="G4068" i="84"/>
  <c r="G4067" i="84"/>
  <c r="G4066" i="84"/>
  <c r="G4065" i="84"/>
  <c r="G4064" i="84"/>
  <c r="G4063" i="84"/>
  <c r="G4062" i="84"/>
  <c r="G4061" i="84"/>
  <c r="G4060" i="84"/>
  <c r="G4059" i="84"/>
  <c r="G4058" i="84"/>
  <c r="G4057" i="84"/>
  <c r="G4056" i="84"/>
  <c r="G4055" i="84"/>
  <c r="G4054" i="84"/>
  <c r="G4053" i="84"/>
  <c r="G4052" i="84"/>
  <c r="G4051" i="84"/>
  <c r="G4050" i="84"/>
  <c r="G4049" i="84"/>
  <c r="G4048" i="84"/>
  <c r="G4047" i="84"/>
  <c r="G4046" i="84"/>
  <c r="G4045" i="84"/>
  <c r="G4044" i="84"/>
  <c r="G4043" i="84"/>
  <c r="G4042" i="84"/>
  <c r="G4041" i="84"/>
  <c r="G4040" i="84"/>
  <c r="G4039" i="84"/>
  <c r="G4038" i="84"/>
  <c r="G4037" i="84"/>
  <c r="G4036" i="84"/>
  <c r="G4035" i="84"/>
  <c r="G4034" i="84"/>
  <c r="G4033" i="84"/>
  <c r="G4032" i="84"/>
  <c r="G4031" i="84"/>
  <c r="G4030" i="84"/>
  <c r="G4029" i="84"/>
  <c r="G4028" i="84"/>
  <c r="G4027" i="84"/>
  <c r="G4026" i="84"/>
  <c r="G4025" i="84"/>
  <c r="G4024" i="84"/>
  <c r="G4023" i="84"/>
  <c r="G4022" i="84"/>
  <c r="G4021" i="84"/>
  <c r="G4020" i="84"/>
  <c r="G4019" i="84"/>
  <c r="G4018" i="84"/>
  <c r="G4017" i="84"/>
  <c r="G4016" i="84"/>
  <c r="G4015" i="84"/>
  <c r="G4014" i="84"/>
  <c r="G4013" i="84"/>
  <c r="G4012" i="84"/>
  <c r="G4011" i="84"/>
  <c r="G4010" i="84"/>
  <c r="G4009" i="84"/>
  <c r="G4008" i="84"/>
  <c r="G4007" i="84"/>
  <c r="G4006" i="84"/>
  <c r="G4005" i="84"/>
  <c r="G4004" i="84"/>
  <c r="G4003" i="84"/>
  <c r="G4002" i="84"/>
  <c r="G4001" i="84"/>
  <c r="G4000" i="84"/>
  <c r="G3999" i="84"/>
  <c r="G3998" i="84"/>
  <c r="G3997" i="84"/>
  <c r="G3996" i="84"/>
  <c r="G3995" i="84"/>
  <c r="G3994" i="84"/>
  <c r="G3993" i="84"/>
  <c r="G3992" i="84"/>
  <c r="G3991" i="84"/>
  <c r="G3990" i="84"/>
  <c r="G3989" i="84"/>
  <c r="G3988" i="84"/>
  <c r="G3987" i="84"/>
  <c r="G3986" i="84"/>
  <c r="G3985" i="84"/>
  <c r="G3984" i="84"/>
  <c r="G3983" i="84"/>
  <c r="G3982" i="84"/>
  <c r="G3980" i="84"/>
  <c r="G3979" i="84"/>
  <c r="G3978" i="84"/>
  <c r="G3976" i="84"/>
  <c r="G3975" i="84"/>
  <c r="G3974" i="84"/>
  <c r="G3973" i="84"/>
  <c r="G3971" i="84"/>
  <c r="G3970" i="84"/>
  <c r="G3969" i="84"/>
  <c r="G3968" i="84"/>
  <c r="G3967" i="84"/>
  <c r="G3966" i="84"/>
  <c r="G3965" i="84"/>
  <c r="G3963" i="84"/>
  <c r="G3962" i="84"/>
  <c r="G3961" i="84"/>
  <c r="G3959" i="84"/>
  <c r="G3958" i="84"/>
  <c r="G3957" i="84"/>
  <c r="G3956" i="84"/>
  <c r="G3955" i="84"/>
  <c r="G3954" i="84"/>
  <c r="G3953" i="84"/>
  <c r="G3952" i="84"/>
  <c r="G3951" i="84"/>
  <c r="G3950" i="84"/>
  <c r="G3942" i="84"/>
  <c r="G3940" i="84"/>
  <c r="G3939" i="84"/>
  <c r="G3937" i="84"/>
  <c r="G3936" i="84"/>
  <c r="G3934" i="84"/>
  <c r="G3933" i="84"/>
  <c r="G3932" i="84"/>
  <c r="G3931" i="84"/>
  <c r="G3930" i="84"/>
  <c r="G3929" i="84"/>
  <c r="G3928" i="84"/>
  <c r="G3927" i="84"/>
  <c r="G3926" i="84"/>
  <c r="G3923" i="84"/>
  <c r="G3921" i="84"/>
  <c r="G3920" i="84"/>
  <c r="G3756" i="84"/>
  <c r="G3757" i="84"/>
  <c r="G3758" i="84"/>
  <c r="G3761" i="84"/>
  <c r="G3762" i="84"/>
  <c r="G3764" i="84"/>
  <c r="G3765" i="84"/>
  <c r="G3766" i="84"/>
  <c r="G3768" i="84"/>
  <c r="G3770" i="84"/>
  <c r="G3772" i="84"/>
  <c r="G3774" i="84"/>
  <c r="G3776" i="84"/>
  <c r="G3777" i="84"/>
  <c r="G3778" i="84"/>
  <c r="G3783" i="84"/>
  <c r="G3787" i="84"/>
  <c r="G3788" i="84"/>
  <c r="G3790" i="84"/>
  <c r="G3793" i="84"/>
  <c r="G3795" i="84"/>
  <c r="G3797" i="84"/>
  <c r="G3798" i="84"/>
  <c r="G3800" i="84"/>
  <c r="G3801" i="84"/>
  <c r="G3802" i="84"/>
  <c r="G3803" i="84"/>
  <c r="G3805" i="84"/>
  <c r="G3806" i="84"/>
  <c r="G3807" i="84"/>
  <c r="G3808" i="84"/>
  <c r="G3809" i="84"/>
  <c r="G3810" i="84"/>
  <c r="G3811" i="84"/>
  <c r="G3812" i="84"/>
  <c r="G3814" i="84"/>
  <c r="G3815" i="84"/>
  <c r="G3816" i="84"/>
  <c r="G3817" i="84"/>
  <c r="G3818" i="84"/>
  <c r="G3819" i="84"/>
  <c r="G3820" i="84"/>
  <c r="G3821" i="84"/>
  <c r="G3822" i="84"/>
  <c r="G3823" i="84"/>
  <c r="G3824" i="84"/>
  <c r="G3825" i="84"/>
  <c r="G3827" i="84"/>
  <c r="G3828" i="84"/>
  <c r="G3829" i="84"/>
  <c r="G3830" i="84"/>
  <c r="G3831" i="84"/>
  <c r="G3832" i="84"/>
  <c r="G3833" i="84"/>
  <c r="G3834" i="84"/>
  <c r="G3835" i="84"/>
  <c r="G3836" i="84"/>
  <c r="G3837" i="84"/>
  <c r="G3838" i="84"/>
  <c r="G3839" i="84"/>
  <c r="G3840" i="84"/>
  <c r="G3841" i="84"/>
  <c r="G3842" i="84"/>
  <c r="G3843" i="84"/>
  <c r="G3844" i="84"/>
  <c r="G3845" i="84"/>
  <c r="G3846" i="84"/>
  <c r="G3847" i="84"/>
  <c r="G3849" i="84"/>
  <c r="G3850" i="84"/>
  <c r="G3852" i="84"/>
  <c r="G3853" i="84"/>
  <c r="G3854" i="84"/>
  <c r="G3855" i="84"/>
  <c r="G3856" i="84"/>
  <c r="G3861" i="84"/>
  <c r="G3862" i="84"/>
  <c r="G3865" i="84"/>
  <c r="G3866" i="84"/>
  <c r="G3867" i="84"/>
  <c r="G3868" i="84"/>
  <c r="G3869" i="84"/>
  <c r="G3870" i="84"/>
  <c r="G3871" i="84"/>
  <c r="G3872" i="84"/>
  <c r="G3873" i="84"/>
  <c r="G3874" i="84"/>
  <c r="G3875" i="84"/>
  <c r="G3876" i="84"/>
  <c r="G3880" i="84"/>
  <c r="G3882" i="84"/>
  <c r="G3887" i="84"/>
  <c r="G3888" i="84"/>
  <c r="G3889" i="84"/>
  <c r="G3890" i="84"/>
  <c r="G3895" i="84"/>
  <c r="G3896" i="84"/>
  <c r="G3897" i="84"/>
  <c r="G3898" i="84"/>
  <c r="G3900" i="84"/>
  <c r="G3901" i="84"/>
  <c r="G3902" i="84"/>
  <c r="G3906" i="84"/>
  <c r="G3907" i="84"/>
  <c r="G3908" i="84"/>
  <c r="G3910" i="84"/>
  <c r="G3911" i="84"/>
  <c r="G3912" i="84"/>
  <c r="G3913" i="84"/>
  <c r="G3914" i="84"/>
  <c r="G3748" i="84"/>
  <c r="G3747" i="84"/>
  <c r="G3746" i="84"/>
  <c r="G3745" i="84"/>
  <c r="K25" i="90"/>
  <c r="K23" i="90"/>
  <c r="K21" i="90"/>
  <c r="K16" i="90"/>
  <c r="K13" i="90"/>
  <c r="K28" i="90"/>
  <c r="G3656" i="84"/>
  <c r="G3661" i="84"/>
  <c r="G3662" i="84"/>
  <c r="G3663" i="84"/>
  <c r="G3664" i="84"/>
  <c r="G3666" i="84"/>
  <c r="G3667" i="84"/>
  <c r="G3668" i="84"/>
  <c r="G3669" i="84"/>
  <c r="G3670" i="84"/>
  <c r="G3671" i="84"/>
  <c r="G3672" i="84"/>
  <c r="G3673" i="84"/>
  <c r="G3675" i="84"/>
  <c r="G3676" i="84"/>
  <c r="G3677" i="84"/>
  <c r="G3678" i="84"/>
  <c r="G3679" i="84"/>
  <c r="G3680" i="84"/>
  <c r="G3681" i="84"/>
  <c r="G3682" i="84"/>
  <c r="G3684" i="84"/>
  <c r="G3685" i="84"/>
  <c r="G3615" i="84"/>
  <c r="G3616" i="84"/>
  <c r="G3617" i="84"/>
  <c r="G3618" i="84"/>
  <c r="G3619" i="84"/>
  <c r="G3621" i="84"/>
  <c r="G3622" i="84"/>
  <c r="G3628" i="84"/>
  <c r="G3629" i="84"/>
  <c r="G3613" i="84"/>
  <c r="G3591" i="84"/>
  <c r="G3592" i="84"/>
  <c r="G3593" i="84"/>
  <c r="G3594" i="84"/>
  <c r="G3595" i="84"/>
  <c r="G3596" i="84"/>
  <c r="G3597" i="84"/>
  <c r="G3598" i="84"/>
  <c r="G3599" i="84"/>
  <c r="G3600" i="84"/>
  <c r="G3601" i="84"/>
  <c r="G3602" i="84"/>
  <c r="G3603" i="84"/>
  <c r="G3604" i="84"/>
  <c r="G3605" i="84"/>
  <c r="G3606" i="84"/>
  <c r="G3607" i="84"/>
  <c r="G3539" i="84"/>
  <c r="G3540" i="84"/>
  <c r="G3533" i="84"/>
  <c r="G3525" i="84"/>
  <c r="G3526" i="84"/>
  <c r="G3527" i="84"/>
  <c r="G3528" i="84"/>
  <c r="G3498" i="84"/>
  <c r="G3500" i="84"/>
  <c r="G3501" i="84"/>
  <c r="G3505" i="84"/>
  <c r="G3506" i="84"/>
  <c r="G3510" i="84"/>
  <c r="G3511" i="84"/>
  <c r="G3515" i="84"/>
  <c r="G3516" i="84"/>
  <c r="G3496" i="84"/>
  <c r="G3478" i="84"/>
  <c r="G3479" i="84"/>
  <c r="G3480" i="84"/>
  <c r="G3481" i="84"/>
  <c r="G3486" i="84"/>
  <c r="G3487" i="84"/>
  <c r="G3445" i="84"/>
  <c r="G3458" i="84"/>
  <c r="G3459" i="84"/>
  <c r="G3460" i="84"/>
  <c r="G3465" i="84"/>
  <c r="G3466" i="84"/>
  <c r="G3469" i="84"/>
  <c r="G3470" i="84"/>
  <c r="G3471" i="84"/>
  <c r="G3426" i="84"/>
  <c r="G3427" i="84"/>
  <c r="G3428" i="84"/>
  <c r="G3429" i="84"/>
  <c r="G3430" i="84"/>
  <c r="G3431" i="84"/>
  <c r="G3432" i="84"/>
  <c r="G3433" i="84"/>
  <c r="G3434" i="84"/>
  <c r="G3435" i="84"/>
  <c r="G3436" i="84"/>
  <c r="G3437" i="84"/>
  <c r="G3390" i="84"/>
  <c r="G3391" i="84"/>
  <c r="G3392" i="84"/>
  <c r="G3393" i="84"/>
  <c r="G3394" i="84"/>
  <c r="G3395" i="84"/>
  <c r="G3396" i="84"/>
  <c r="G3397" i="84"/>
  <c r="G3398" i="84"/>
  <c r="G3399" i="84"/>
  <c r="G3400" i="84"/>
  <c r="G3401" i="84"/>
  <c r="G3402" i="84"/>
  <c r="G3403" i="84"/>
  <c r="G3404" i="84"/>
  <c r="G3405" i="84"/>
  <c r="G3406" i="84"/>
  <c r="G3407" i="84"/>
  <c r="G3408" i="84"/>
  <c r="G3409" i="84"/>
  <c r="G3410" i="84"/>
  <c r="G3411" i="84"/>
  <c r="G3412" i="84"/>
  <c r="G3413" i="84"/>
  <c r="G3414" i="84"/>
  <c r="G3415" i="84"/>
  <c r="G3416" i="84"/>
  <c r="G3417" i="84"/>
  <c r="G3418" i="84"/>
  <c r="G3419" i="84"/>
  <c r="G3420" i="84"/>
  <c r="G3425" i="84"/>
  <c r="G3364" i="84"/>
  <c r="G3365" i="84"/>
  <c r="G3368" i="84"/>
  <c r="G3369" i="84"/>
  <c r="G3371" i="84"/>
  <c r="G3376" i="84"/>
  <c r="G3377" i="84"/>
  <c r="G3378" i="84"/>
  <c r="G3379" i="84"/>
  <c r="G3335" i="84"/>
  <c r="G3336" i="84"/>
  <c r="G3337" i="84"/>
  <c r="G3338" i="84"/>
  <c r="G3339" i="84"/>
  <c r="G3341" i="84"/>
  <c r="G3342" i="84"/>
  <c r="G3343" i="84"/>
  <c r="G3344" i="84"/>
  <c r="G3345" i="84"/>
  <c r="G3346" i="84"/>
  <c r="G3010" i="84"/>
  <c r="G3011" i="84"/>
  <c r="G3012" i="84"/>
  <c r="G3013" i="84"/>
  <c r="G3014" i="84"/>
  <c r="G3015" i="84"/>
  <c r="G3016" i="84"/>
  <c r="G3017" i="84"/>
  <c r="G3018" i="84"/>
  <c r="G3019" i="84"/>
  <c r="G3020" i="84"/>
  <c r="G3021" i="84"/>
  <c r="G3022" i="84"/>
  <c r="G3023" i="84"/>
  <c r="G3024" i="84"/>
  <c r="G3025" i="84"/>
  <c r="G3026" i="84"/>
  <c r="G3027" i="84"/>
  <c r="G3028" i="84"/>
  <c r="G3029" i="84"/>
  <c r="G3030" i="84"/>
  <c r="G3031" i="84"/>
  <c r="G3032" i="84"/>
  <c r="G3033" i="84"/>
  <c r="G3034" i="84"/>
  <c r="G3035" i="84"/>
  <c r="G3036" i="84"/>
  <c r="G3037" i="84"/>
  <c r="G3038" i="84"/>
  <c r="G3039" i="84"/>
  <c r="G3040" i="84"/>
  <c r="G3041" i="84"/>
  <c r="G3042" i="84"/>
  <c r="G3043" i="84"/>
  <c r="G3044" i="84"/>
  <c r="G3045" i="84"/>
  <c r="G3046" i="84"/>
  <c r="G3047" i="84"/>
  <c r="G3048" i="84"/>
  <c r="G3049" i="84"/>
  <c r="G3050" i="84"/>
  <c r="G3051" i="84"/>
  <c r="G3052" i="84"/>
  <c r="G3053" i="84"/>
  <c r="G3054" i="84"/>
  <c r="G3055" i="84"/>
  <c r="G3056" i="84"/>
  <c r="G3057" i="84"/>
  <c r="G3058" i="84"/>
  <c r="G3059" i="84"/>
  <c r="G3060" i="84"/>
  <c r="G3061" i="84"/>
  <c r="G3062" i="84"/>
  <c r="G3063" i="84"/>
  <c r="G3064" i="84"/>
  <c r="G3065" i="84"/>
  <c r="G3066" i="84"/>
  <c r="G3067" i="84"/>
  <c r="G3068" i="84"/>
  <c r="G3069" i="84"/>
  <c r="G3070" i="84"/>
  <c r="G3071" i="84"/>
  <c r="G3072" i="84"/>
  <c r="G3073" i="84"/>
  <c r="G3074" i="84"/>
  <c r="G3075" i="84"/>
  <c r="G3076" i="84"/>
  <c r="G3077" i="84"/>
  <c r="G3078" i="84"/>
  <c r="G3079" i="84"/>
  <c r="G3080" i="84"/>
  <c r="G3082" i="84"/>
  <c r="G3083" i="84"/>
  <c r="G3084" i="84"/>
  <c r="G3086" i="84"/>
  <c r="G3087" i="84"/>
  <c r="G3088" i="84"/>
  <c r="G3089" i="84"/>
  <c r="G3090" i="84"/>
  <c r="G3091" i="84"/>
  <c r="G3092" i="84"/>
  <c r="G3095" i="84"/>
  <c r="G3096" i="84"/>
  <c r="G3097" i="84"/>
  <c r="G3099" i="84"/>
  <c r="G3100" i="84"/>
  <c r="G3101" i="84"/>
  <c r="G3103" i="84"/>
  <c r="G3104" i="84"/>
  <c r="G3105" i="84"/>
  <c r="G3106" i="84"/>
  <c r="G3107" i="84"/>
  <c r="G3108" i="84"/>
  <c r="G3109" i="84"/>
  <c r="G3110" i="84"/>
  <c r="G3111" i="84"/>
  <c r="G3112" i="84"/>
  <c r="G3113" i="84"/>
  <c r="G3114" i="84"/>
  <c r="G3115" i="84"/>
  <c r="G3116" i="84"/>
  <c r="G3117" i="84"/>
  <c r="G3118" i="84"/>
  <c r="G3119" i="84"/>
  <c r="G3120" i="84"/>
  <c r="G3121" i="84"/>
  <c r="G3122" i="84"/>
  <c r="G3123" i="84"/>
  <c r="G3124" i="84"/>
  <c r="G3125" i="84"/>
  <c r="G3126" i="84"/>
  <c r="G3127" i="84"/>
  <c r="G3128" i="84"/>
  <c r="G3129" i="84"/>
  <c r="G3130" i="84"/>
  <c r="G3131" i="84"/>
  <c r="G3132" i="84"/>
  <c r="G3133" i="84"/>
  <c r="G3134" i="84"/>
  <c r="G3135" i="84"/>
  <c r="G3136" i="84"/>
  <c r="G3137" i="84"/>
  <c r="G3138" i="84"/>
  <c r="G3139" i="84"/>
  <c r="G3140" i="84"/>
  <c r="G3141" i="84"/>
  <c r="G3142" i="84"/>
  <c r="G3143" i="84"/>
  <c r="G3144" i="84"/>
  <c r="G3145" i="84"/>
  <c r="G3146" i="84"/>
  <c r="G3147" i="84"/>
  <c r="G3148" i="84"/>
  <c r="G3149" i="84"/>
  <c r="G3150" i="84"/>
  <c r="G3151" i="84"/>
  <c r="G3152" i="84"/>
  <c r="G3153" i="84"/>
  <c r="G3154" i="84"/>
  <c r="G3155" i="84"/>
  <c r="G3156" i="84"/>
  <c r="G3157" i="84"/>
  <c r="G3158" i="84"/>
  <c r="G3159" i="84"/>
  <c r="G3160" i="84"/>
  <c r="G3161" i="84"/>
  <c r="G3162" i="84"/>
  <c r="G3163" i="84"/>
  <c r="G3164" i="84"/>
  <c r="G3165" i="84"/>
  <c r="G3166" i="84"/>
  <c r="G3167" i="84"/>
  <c r="G3168" i="84"/>
  <c r="G3169" i="84"/>
  <c r="G3170" i="84"/>
  <c r="G3171" i="84"/>
  <c r="G3172" i="84"/>
  <c r="G3173" i="84"/>
  <c r="G3174" i="84"/>
  <c r="G3175" i="84"/>
  <c r="G3176" i="84"/>
  <c r="G3177" i="84"/>
  <c r="G3178" i="84"/>
  <c r="G3179" i="84"/>
  <c r="G3180" i="84"/>
  <c r="G3181" i="84"/>
  <c r="G3182" i="84"/>
  <c r="G3183" i="84"/>
  <c r="G3184" i="84"/>
  <c r="G3185" i="84"/>
  <c r="G3187" i="84"/>
  <c r="G3188" i="84"/>
  <c r="G3189" i="84"/>
  <c r="G3191" i="84"/>
  <c r="G3192" i="84"/>
  <c r="G3193" i="84"/>
  <c r="G3194" i="84"/>
  <c r="G3195" i="84"/>
  <c r="G3196" i="84"/>
  <c r="G3197" i="84"/>
  <c r="G3200" i="84"/>
  <c r="G3201" i="84"/>
  <c r="G3202" i="84"/>
  <c r="G3204" i="84"/>
  <c r="G3205" i="84"/>
  <c r="G3206" i="84"/>
  <c r="G3208" i="84"/>
  <c r="G3209" i="84"/>
  <c r="G3210" i="84"/>
  <c r="G3211" i="84"/>
  <c r="G3212" i="84"/>
  <c r="G3213" i="84"/>
  <c r="G3214" i="84"/>
  <c r="G3215" i="84"/>
  <c r="G3216" i="84"/>
  <c r="G3217" i="84"/>
  <c r="G3218" i="84"/>
  <c r="G3219" i="84"/>
  <c r="G3220" i="84"/>
  <c r="G3221" i="84"/>
  <c r="G3222" i="84"/>
  <c r="G3223" i="84"/>
  <c r="G3224" i="84"/>
  <c r="G3225" i="84"/>
  <c r="G3226" i="84"/>
  <c r="G3227" i="84"/>
  <c r="G3228" i="84"/>
  <c r="G3229" i="84"/>
  <c r="G3230" i="84"/>
  <c r="G3231" i="84"/>
  <c r="G3232" i="84"/>
  <c r="G3233" i="84"/>
  <c r="G3234" i="84"/>
  <c r="G3235" i="84"/>
  <c r="G3236" i="84"/>
  <c r="G3237" i="84"/>
  <c r="G3238" i="84"/>
  <c r="G3239" i="84"/>
  <c r="G3240" i="84"/>
  <c r="G3241" i="84"/>
  <c r="G3242" i="84"/>
  <c r="G3243" i="84"/>
  <c r="G3244" i="84"/>
  <c r="G3245" i="84"/>
  <c r="G3246" i="84"/>
  <c r="G3247" i="84"/>
  <c r="G3248" i="84"/>
  <c r="G3249" i="84"/>
  <c r="G3250" i="84"/>
  <c r="G3251" i="84"/>
  <c r="G3252" i="84"/>
  <c r="G3253" i="84"/>
  <c r="G3254" i="84"/>
  <c r="G3255" i="84"/>
  <c r="G3256" i="84"/>
  <c r="G3257" i="84"/>
  <c r="G3258" i="84"/>
  <c r="G3259" i="84"/>
  <c r="G3260" i="84"/>
  <c r="G3261" i="84"/>
  <c r="G3262" i="84"/>
  <c r="G3263" i="84"/>
  <c r="G3264" i="84"/>
  <c r="G3265" i="84"/>
  <c r="G3266" i="84"/>
  <c r="G3267" i="84"/>
  <c r="G3268" i="84"/>
  <c r="G3269" i="84"/>
  <c r="G3270" i="84"/>
  <c r="G3271" i="84"/>
  <c r="G3272" i="84"/>
  <c r="G3273" i="84"/>
  <c r="G3274" i="84"/>
  <c r="G3275" i="84"/>
  <c r="G3276" i="84"/>
  <c r="G3277" i="84"/>
  <c r="G3278" i="84"/>
  <c r="G3279" i="84"/>
  <c r="G3280" i="84"/>
  <c r="G3281" i="84"/>
  <c r="G3282" i="84"/>
  <c r="G3283" i="84"/>
  <c r="G3284" i="84"/>
  <c r="G3285" i="84"/>
  <c r="G3286" i="84"/>
  <c r="G3287" i="84"/>
  <c r="G3288" i="84"/>
  <c r="G3290" i="84"/>
  <c r="G3291" i="84"/>
  <c r="G3292" i="84"/>
  <c r="G3294" i="84"/>
  <c r="G3295" i="84"/>
  <c r="G3296" i="84"/>
  <c r="G3297" i="84"/>
  <c r="G3298" i="84"/>
  <c r="G3299" i="84"/>
  <c r="G3300" i="84"/>
  <c r="G3303" i="84"/>
  <c r="G3304" i="84"/>
  <c r="G3305" i="84"/>
  <c r="G3307" i="84"/>
  <c r="G3308" i="84"/>
  <c r="G3309" i="84"/>
  <c r="G3311" i="84"/>
  <c r="G3312" i="84"/>
  <c r="G3313" i="84"/>
  <c r="G3314" i="84"/>
  <c r="G3315" i="84"/>
  <c r="G3316" i="84"/>
  <c r="G3317" i="84"/>
  <c r="G3318" i="84"/>
  <c r="G3319" i="84"/>
  <c r="G3320" i="84"/>
  <c r="G3321" i="84"/>
  <c r="G3322" i="84"/>
  <c r="G3323" i="84"/>
  <c r="G3324" i="84"/>
  <c r="G3325" i="84"/>
  <c r="G2862" i="84"/>
  <c r="G2863" i="84"/>
  <c r="G2864" i="84"/>
  <c r="G2865" i="84"/>
  <c r="G2866" i="84"/>
  <c r="G2867" i="84"/>
  <c r="G2868" i="84"/>
  <c r="G2869" i="84"/>
  <c r="G2870" i="84"/>
  <c r="G2871" i="84"/>
  <c r="G2873" i="84"/>
  <c r="G2874" i="84"/>
  <c r="G2875" i="84"/>
  <c r="G2876" i="84"/>
  <c r="G2877" i="84"/>
  <c r="G2878" i="84"/>
  <c r="G2879" i="84"/>
  <c r="G2880" i="84"/>
  <c r="G2881" i="84"/>
  <c r="G2882" i="84"/>
  <c r="G2883" i="84"/>
  <c r="G2884" i="84"/>
  <c r="G2886" i="84"/>
  <c r="G2887" i="84"/>
  <c r="G2888" i="84"/>
  <c r="G2889" i="84"/>
  <c r="G2890" i="84"/>
  <c r="G2891" i="84"/>
  <c r="G2892" i="84"/>
  <c r="G2893" i="84"/>
  <c r="G2894" i="84"/>
  <c r="G2895" i="84"/>
  <c r="G2896" i="84"/>
  <c r="G2897" i="84"/>
  <c r="G2899" i="84"/>
  <c r="G2900" i="84"/>
  <c r="G2901" i="84"/>
  <c r="G2902" i="84"/>
  <c r="G2903" i="84"/>
  <c r="G2904" i="84"/>
  <c r="G2905" i="84"/>
  <c r="G2906" i="84"/>
  <c r="G2907" i="84"/>
  <c r="G2908" i="84"/>
  <c r="G2909" i="84"/>
  <c r="G2910" i="84"/>
  <c r="G2912" i="84"/>
  <c r="G2913" i="84"/>
  <c r="G2914" i="84"/>
  <c r="G2915" i="84"/>
  <c r="G2916" i="84"/>
  <c r="G2917" i="84"/>
  <c r="G2918" i="84"/>
  <c r="G2919" i="84"/>
  <c r="G2920" i="84"/>
  <c r="G2921" i="84"/>
  <c r="G2922" i="84"/>
  <c r="G2923" i="84"/>
  <c r="G2925" i="84"/>
  <c r="G2926" i="84"/>
  <c r="G2927" i="84"/>
  <c r="G2928" i="84"/>
  <c r="G2929" i="84"/>
  <c r="G2930" i="84"/>
  <c r="G2931" i="84"/>
  <c r="G2932" i="84"/>
  <c r="G2933" i="84"/>
  <c r="G2934" i="84"/>
  <c r="G2935" i="84"/>
  <c r="G2936" i="84"/>
  <c r="G2938" i="84"/>
  <c r="G2941" i="84"/>
  <c r="G2942" i="84"/>
  <c r="G2943" i="84"/>
  <c r="G2944" i="84"/>
  <c r="G2945" i="84"/>
  <c r="G2946" i="84"/>
  <c r="G2947" i="84"/>
  <c r="G2948" i="84"/>
  <c r="G2949" i="84"/>
  <c r="G2950" i="84"/>
  <c r="G2951" i="84"/>
  <c r="G2952" i="84"/>
  <c r="G2953" i="84"/>
  <c r="G2955" i="84"/>
  <c r="G2956" i="84"/>
  <c r="G2957" i="84"/>
  <c r="G2958" i="84"/>
  <c r="G2959" i="84"/>
  <c r="G2960" i="84"/>
  <c r="G2961" i="84"/>
  <c r="G2963" i="84"/>
  <c r="G2964" i="84"/>
  <c r="G2966" i="84"/>
  <c r="G2967" i="84"/>
  <c r="G2968" i="84"/>
  <c r="G2969" i="84"/>
  <c r="G2970" i="84"/>
  <c r="G2971" i="84"/>
  <c r="G2972" i="84"/>
  <c r="G2973" i="84"/>
  <c r="G2974" i="84"/>
  <c r="G2975" i="84"/>
  <c r="G2976" i="84"/>
  <c r="G2978" i="84"/>
  <c r="G2979" i="84"/>
  <c r="G2980" i="84"/>
  <c r="G2981" i="84"/>
  <c r="G2982" i="84"/>
  <c r="G2983" i="84"/>
  <c r="G2984" i="84"/>
  <c r="G2985" i="84"/>
  <c r="G2986" i="84"/>
  <c r="G2987" i="84"/>
  <c r="G2988" i="84"/>
  <c r="G2989" i="84"/>
  <c r="G2990" i="84"/>
  <c r="G2991" i="84"/>
  <c r="G2992" i="84"/>
  <c r="G2993" i="84"/>
  <c r="G2994" i="84"/>
  <c r="G2995" i="84"/>
  <c r="G2996" i="84"/>
  <c r="G2997" i="84"/>
  <c r="G2998" i="84"/>
  <c r="G2999" i="84"/>
  <c r="G3000" i="84"/>
  <c r="G3001" i="84"/>
  <c r="G3002" i="84"/>
  <c r="G3003" i="84"/>
  <c r="G2672" i="84"/>
  <c r="G2673" i="84"/>
  <c r="G2674" i="84"/>
  <c r="G2675" i="84"/>
  <c r="G2676" i="84"/>
  <c r="G2677" i="84"/>
  <c r="G2678" i="84"/>
  <c r="G2679" i="84"/>
  <c r="G2680" i="84"/>
  <c r="G2681" i="84"/>
  <c r="G2683" i="84"/>
  <c r="G2684" i="84"/>
  <c r="G2685" i="84"/>
  <c r="G2686" i="84"/>
  <c r="G2687" i="84"/>
  <c r="G2688" i="84"/>
  <c r="G2689" i="84"/>
  <c r="G2690" i="84"/>
  <c r="G2691" i="84"/>
  <c r="G2692" i="84"/>
  <c r="G2693" i="84"/>
  <c r="G2694" i="84"/>
  <c r="G2695" i="84"/>
  <c r="G2696" i="84"/>
  <c r="G2697" i="84"/>
  <c r="G2698" i="84"/>
  <c r="G2699" i="84"/>
  <c r="G2700" i="84"/>
  <c r="G2701" i="84"/>
  <c r="G2702" i="84"/>
  <c r="G2703" i="84"/>
  <c r="G2704" i="84"/>
  <c r="G2705" i="84"/>
  <c r="G2706" i="84"/>
  <c r="G2707" i="84"/>
  <c r="G2708" i="84"/>
  <c r="G2709" i="84"/>
  <c r="G2711" i="84"/>
  <c r="G2715" i="84"/>
  <c r="G2717" i="84"/>
  <c r="G2720" i="84"/>
  <c r="G2722" i="84"/>
  <c r="G2723" i="84"/>
  <c r="G2724" i="84"/>
  <c r="G2725" i="84"/>
  <c r="G2726" i="84"/>
  <c r="G2727" i="84"/>
  <c r="G2728" i="84"/>
  <c r="G2729" i="84"/>
  <c r="G2730" i="84"/>
  <c r="G2731" i="84"/>
  <c r="G2732" i="84"/>
  <c r="G2733" i="84"/>
  <c r="G2734" i="84"/>
  <c r="G2735" i="84"/>
  <c r="G2736" i="84"/>
  <c r="G2737" i="84"/>
  <c r="G2738" i="84"/>
  <c r="G2739" i="84"/>
  <c r="G2740" i="84"/>
  <c r="G2741" i="84"/>
  <c r="G2742" i="84"/>
  <c r="G2743" i="84"/>
  <c r="G2744" i="84"/>
  <c r="G2745" i="84"/>
  <c r="G2746" i="84"/>
  <c r="G2747" i="84"/>
  <c r="G2748" i="84"/>
  <c r="G2749" i="84"/>
  <c r="G2750" i="84"/>
  <c r="G2751" i="84"/>
  <c r="G2752" i="84"/>
  <c r="G2753" i="84"/>
  <c r="G2754" i="84"/>
  <c r="G2755" i="84"/>
  <c r="G2756" i="84"/>
  <c r="G2758" i="84"/>
  <c r="G2762" i="84"/>
  <c r="G2764" i="84"/>
  <c r="G2767" i="84"/>
  <c r="G2768" i="84"/>
  <c r="G2769" i="84"/>
  <c r="G2770" i="84"/>
  <c r="G2771" i="84"/>
  <c r="G2772" i="84"/>
  <c r="G2773" i="84"/>
  <c r="G2774" i="84"/>
  <c r="G2775" i="84"/>
  <c r="G2776" i="84"/>
  <c r="G2777" i="84"/>
  <c r="G2778" i="84"/>
  <c r="G2779" i="84"/>
  <c r="G2780" i="84"/>
  <c r="G2781" i="84"/>
  <c r="G2782" i="84"/>
  <c r="G2783" i="84"/>
  <c r="G2784" i="84"/>
  <c r="G2785" i="84"/>
  <c r="G2786" i="84"/>
  <c r="G2787" i="84"/>
  <c r="G2788" i="84"/>
  <c r="G2789" i="84"/>
  <c r="G2790" i="84"/>
  <c r="G2791" i="84"/>
  <c r="G2792" i="84"/>
  <c r="G2793" i="84"/>
  <c r="G2794" i="84"/>
  <c r="G2795" i="84"/>
  <c r="G2796" i="84"/>
  <c r="G2797" i="84"/>
  <c r="G2798" i="84"/>
  <c r="G2799" i="84"/>
  <c r="G2800" i="84"/>
  <c r="G2801" i="84"/>
  <c r="G2802" i="84"/>
  <c r="G2804" i="84"/>
  <c r="G2808" i="84"/>
  <c r="G2810" i="84"/>
  <c r="G2813" i="84"/>
  <c r="G2814" i="84"/>
  <c r="G2815" i="84"/>
  <c r="G2816" i="84"/>
  <c r="G2818" i="84"/>
  <c r="G2821" i="84"/>
  <c r="G2823" i="84"/>
  <c r="G2826" i="84"/>
  <c r="G2828" i="84"/>
  <c r="G2831" i="84"/>
  <c r="G2833" i="84"/>
  <c r="G2836" i="84"/>
  <c r="G2838" i="84"/>
  <c r="G2841" i="84"/>
  <c r="G2843" i="84"/>
  <c r="G2846" i="84"/>
  <c r="G2847" i="84"/>
  <c r="G2848" i="84"/>
  <c r="G2849" i="84"/>
  <c r="G2850" i="84"/>
  <c r="G2851" i="84"/>
  <c r="G2852" i="84"/>
  <c r="G2853" i="84"/>
  <c r="G2518" i="84"/>
  <c r="G2519" i="84"/>
  <c r="G2521" i="84"/>
  <c r="G2523" i="84"/>
  <c r="G2525" i="84"/>
  <c r="G2527" i="84"/>
  <c r="G2529" i="84"/>
  <c r="G2530" i="84"/>
  <c r="G2531" i="84"/>
  <c r="G2532" i="84"/>
  <c r="G2533" i="84"/>
  <c r="G2534" i="84"/>
  <c r="G2535" i="84"/>
  <c r="G2537" i="84"/>
  <c r="G2539" i="84"/>
  <c r="G2540" i="84"/>
  <c r="G2541" i="84"/>
  <c r="G2542" i="84"/>
  <c r="G2543" i="84"/>
  <c r="G2544" i="84"/>
  <c r="G2546" i="84"/>
  <c r="G2548" i="84"/>
  <c r="G2549" i="84"/>
  <c r="G2550" i="84"/>
  <c r="G2551" i="84"/>
  <c r="G2552" i="84"/>
  <c r="G2553" i="84"/>
  <c r="G2554" i="84"/>
  <c r="G2556" i="84"/>
  <c r="G2557" i="84"/>
  <c r="G2558" i="84"/>
  <c r="G2559" i="84"/>
  <c r="G2561" i="84"/>
  <c r="G2562" i="84"/>
  <c r="G2563" i="84"/>
  <c r="G2564" i="84"/>
  <c r="G2565" i="84"/>
  <c r="G2566" i="84"/>
  <c r="G2567" i="84"/>
  <c r="G2570" i="84"/>
  <c r="G2571" i="84"/>
  <c r="G2572" i="84"/>
  <c r="G2573" i="84"/>
  <c r="G2575" i="84"/>
  <c r="G2576" i="84"/>
  <c r="G2578" i="84"/>
  <c r="G2580" i="84"/>
  <c r="G2582" i="84"/>
  <c r="G2583" i="84"/>
  <c r="G2584" i="84"/>
  <c r="G2585" i="84"/>
  <c r="G2586" i="84"/>
  <c r="G2587" i="84"/>
  <c r="G2588" i="84"/>
  <c r="G2589" i="84"/>
  <c r="G2590" i="84"/>
  <c r="G2591" i="84"/>
  <c r="G2592" i="84"/>
  <c r="G2593" i="84"/>
  <c r="G2594" i="84"/>
  <c r="G2595" i="84"/>
  <c r="G2596" i="84"/>
  <c r="G2601" i="84"/>
  <c r="G2602" i="84"/>
  <c r="G2603" i="84"/>
  <c r="G2604" i="84"/>
  <c r="G2606" i="84"/>
  <c r="G2607" i="84"/>
  <c r="G2608" i="84"/>
  <c r="G2611" i="84"/>
  <c r="G2612" i="84"/>
  <c r="G2613" i="84"/>
  <c r="G2614" i="84"/>
  <c r="G2615" i="84"/>
  <c r="G2635" i="84"/>
  <c r="G2636" i="84"/>
  <c r="G2637" i="84"/>
  <c r="G2644" i="84"/>
  <c r="G2645" i="84"/>
  <c r="G2650" i="84"/>
  <c r="G2655" i="84"/>
  <c r="G2656" i="84"/>
  <c r="G2657" i="84"/>
  <c r="G2658" i="84"/>
  <c r="G1985" i="84"/>
  <c r="G1986" i="84"/>
  <c r="G1988" i="84"/>
  <c r="G1989" i="84"/>
  <c r="G1990" i="84"/>
  <c r="G1991" i="84"/>
  <c r="G1992" i="84"/>
  <c r="G1993" i="84"/>
  <c r="G1994" i="84"/>
  <c r="G1995" i="84"/>
  <c r="G1996" i="84"/>
  <c r="G1997" i="84"/>
  <c r="G1998" i="84"/>
  <c r="G1999" i="84"/>
  <c r="G2000" i="84"/>
  <c r="G2001" i="84"/>
  <c r="G2002" i="84"/>
  <c r="G2003" i="84"/>
  <c r="G2004" i="84"/>
  <c r="G2005" i="84"/>
  <c r="G2006" i="84"/>
  <c r="G2007" i="84"/>
  <c r="G2008" i="84"/>
  <c r="G2009" i="84"/>
  <c r="G2010" i="84"/>
  <c r="G2011" i="84"/>
  <c r="G2012" i="84"/>
  <c r="G2013" i="84"/>
  <c r="G2015" i="84"/>
  <c r="G2016" i="84"/>
  <c r="G2017" i="84"/>
  <c r="G2018" i="84"/>
  <c r="G2019" i="84"/>
  <c r="G2021" i="84"/>
  <c r="G2022" i="84"/>
  <c r="G2023" i="84"/>
  <c r="G2024" i="84"/>
  <c r="G2031" i="84"/>
  <c r="G2032" i="84"/>
  <c r="G2033" i="84"/>
  <c r="G2034" i="84"/>
  <c r="G2035" i="84"/>
  <c r="G2036" i="84"/>
  <c r="G2037" i="84"/>
  <c r="G2038" i="84"/>
  <c r="G2039" i="84"/>
  <c r="G2040" i="84"/>
  <c r="G2041" i="84"/>
  <c r="G2042" i="84"/>
  <c r="G2043" i="84"/>
  <c r="G2044" i="84"/>
  <c r="G2046" i="84"/>
  <c r="G2047" i="84"/>
  <c r="G2048" i="84"/>
  <c r="G2049" i="84"/>
  <c r="G2050" i="84"/>
  <c r="G2051" i="84"/>
  <c r="G2052" i="84"/>
  <c r="G2053" i="84"/>
  <c r="G2054" i="84"/>
  <c r="G2055" i="84"/>
  <c r="G2056" i="84"/>
  <c r="G2065" i="84"/>
  <c r="G2066" i="84"/>
  <c r="G2067" i="84"/>
  <c r="G2068" i="84"/>
  <c r="G2069" i="84"/>
  <c r="G2070" i="84"/>
  <c r="G2071" i="84"/>
  <c r="G2072" i="84"/>
  <c r="G2073" i="84"/>
  <c r="G2074" i="84"/>
  <c r="G2076" i="84"/>
  <c r="G2078" i="84"/>
  <c r="G2079" i="84"/>
  <c r="G2080" i="84"/>
  <c r="G2081" i="84"/>
  <c r="G2084" i="84"/>
  <c r="G2086" i="84"/>
  <c r="G2087" i="84"/>
  <c r="G2088" i="84"/>
  <c r="G2089" i="84"/>
  <c r="G2090" i="84"/>
  <c r="G2091" i="84"/>
  <c r="G2092" i="84"/>
  <c r="G2093" i="84"/>
  <c r="G2095" i="84"/>
  <c r="G2096" i="84"/>
  <c r="G2097" i="84"/>
  <c r="G2098" i="84"/>
  <c r="G2099" i="84"/>
  <c r="G2100" i="84"/>
  <c r="G2101" i="84"/>
  <c r="G2102" i="84"/>
  <c r="G2103" i="84"/>
  <c r="G2104" i="84"/>
  <c r="G2105" i="84"/>
  <c r="G2106" i="84"/>
  <c r="G2107" i="84"/>
  <c r="G2108" i="84"/>
  <c r="G2109" i="84"/>
  <c r="G2110" i="84"/>
  <c r="G2111" i="84"/>
  <c r="G2112" i="84"/>
  <c r="G2113" i="84"/>
  <c r="G2114" i="84"/>
  <c r="G2115" i="84"/>
  <c r="G2116" i="84"/>
  <c r="G2117" i="84"/>
  <c r="G2118" i="84"/>
  <c r="G2119" i="84"/>
  <c r="G2120" i="84"/>
  <c r="G2122" i="84"/>
  <c r="G2123" i="84"/>
  <c r="G2124" i="84"/>
  <c r="G2125" i="84"/>
  <c r="G2126" i="84"/>
  <c r="G2127" i="84"/>
  <c r="G2128" i="84"/>
  <c r="G2129" i="84"/>
  <c r="G2130" i="84"/>
  <c r="G2131" i="84"/>
  <c r="G2133" i="84"/>
  <c r="G2134" i="84"/>
  <c r="G2135" i="84"/>
  <c r="G2136" i="84"/>
  <c r="G2137" i="84"/>
  <c r="G2138" i="84"/>
  <c r="G2139" i="84"/>
  <c r="G2140" i="84"/>
  <c r="G2141" i="84"/>
  <c r="G2142" i="84"/>
  <c r="G2143" i="84"/>
  <c r="G2144" i="84"/>
  <c r="G2145" i="84"/>
  <c r="G2146" i="84"/>
  <c r="G2147" i="84"/>
  <c r="G2148" i="84"/>
  <c r="G2149" i="84"/>
  <c r="G2150" i="84"/>
  <c r="G2151" i="84"/>
  <c r="G2152" i="84"/>
  <c r="G2153" i="84"/>
  <c r="G2154" i="84"/>
  <c r="G2155" i="84"/>
  <c r="G2156" i="84"/>
  <c r="G2157" i="84"/>
  <c r="G2159" i="84"/>
  <c r="G2160" i="84"/>
  <c r="G2161" i="84"/>
  <c r="G2162" i="84"/>
  <c r="G2163" i="84"/>
  <c r="G2176" i="84"/>
  <c r="G2177" i="84"/>
  <c r="G2178" i="84"/>
  <c r="G2179" i="84"/>
  <c r="G2181" i="84"/>
  <c r="G2182" i="84"/>
  <c r="G2185" i="84"/>
  <c r="G2186" i="84"/>
  <c r="G2187" i="84"/>
  <c r="G2188" i="84"/>
  <c r="G2189" i="84"/>
  <c r="G2190" i="84"/>
  <c r="G2191" i="84"/>
  <c r="G2193" i="84"/>
  <c r="G2194" i="84"/>
  <c r="G2195" i="84"/>
  <c r="G2196" i="84"/>
  <c r="G2197" i="84"/>
  <c r="G2198" i="84"/>
  <c r="G2199" i="84"/>
  <c r="G2200" i="84"/>
  <c r="G2201" i="84"/>
  <c r="G2202" i="84"/>
  <c r="G2205" i="84"/>
  <c r="G2206" i="84"/>
  <c r="G2207" i="84"/>
  <c r="G2209" i="84"/>
  <c r="G2210" i="84"/>
  <c r="G2213" i="84"/>
  <c r="G2215" i="84"/>
  <c r="G2216" i="84"/>
  <c r="G2217" i="84"/>
  <c r="G2218" i="84"/>
  <c r="G2219" i="84"/>
  <c r="G2220" i="84"/>
  <c r="G2221" i="84"/>
  <c r="G2222" i="84"/>
  <c r="G2223" i="84"/>
  <c r="G2225" i="84"/>
  <c r="G2226" i="84"/>
  <c r="G2227" i="84"/>
  <c r="G2228" i="84"/>
  <c r="G2229" i="84"/>
  <c r="G2230" i="84"/>
  <c r="G2231" i="84"/>
  <c r="G2232" i="84"/>
  <c r="G2233" i="84"/>
  <c r="G2234" i="84"/>
  <c r="G2237" i="84"/>
  <c r="G2238" i="84"/>
  <c r="G2239" i="84"/>
  <c r="G2240" i="84"/>
  <c r="G2241" i="84"/>
  <c r="G2242" i="84"/>
  <c r="G2243" i="84"/>
  <c r="G2244" i="84"/>
  <c r="G2245" i="84"/>
  <c r="G2246" i="84"/>
  <c r="G2247" i="84"/>
  <c r="G2248" i="84"/>
  <c r="G2249" i="84"/>
  <c r="G2251" i="84"/>
  <c r="G2252" i="84"/>
  <c r="G2253" i="84"/>
  <c r="G2254" i="84"/>
  <c r="G2255" i="84"/>
  <c r="G2256" i="84"/>
  <c r="G2257" i="84"/>
  <c r="G2258" i="84"/>
  <c r="G2259" i="84"/>
  <c r="G2260" i="84"/>
  <c r="G2261" i="84"/>
  <c r="G2262" i="84"/>
  <c r="G2263" i="84"/>
  <c r="G2264" i="84"/>
  <c r="G2267" i="84"/>
  <c r="G2268" i="84"/>
  <c r="G2269" i="84"/>
  <c r="G2270" i="84"/>
  <c r="G2271" i="84"/>
  <c r="G2272" i="84"/>
  <c r="G2273" i="84"/>
  <c r="G2274" i="84"/>
  <c r="G2276" i="84"/>
  <c r="G2277" i="84"/>
  <c r="G2278" i="84"/>
  <c r="G2279" i="84"/>
  <c r="G2280" i="84"/>
  <c r="G2281" i="84"/>
  <c r="G2282" i="84"/>
  <c r="G2283" i="84"/>
  <c r="G2284" i="84"/>
  <c r="G2286" i="84"/>
  <c r="G2288" i="84"/>
  <c r="G2291" i="84"/>
  <c r="G2293" i="84"/>
  <c r="G2295" i="84"/>
  <c r="G2296" i="84"/>
  <c r="G2297" i="84"/>
  <c r="G2298" i="84"/>
  <c r="G2299" i="84"/>
  <c r="G2301" i="84"/>
  <c r="G2302" i="84"/>
  <c r="G2303" i="84"/>
  <c r="G2304" i="84"/>
  <c r="G2305" i="84"/>
  <c r="G2306" i="84"/>
  <c r="G2308" i="84"/>
  <c r="G2313" i="84"/>
  <c r="G2314" i="84"/>
  <c r="G2318" i="84"/>
  <c r="G2319" i="84"/>
  <c r="G2320" i="84"/>
  <c r="G2321" i="84"/>
  <c r="G2322" i="84"/>
  <c r="G2323" i="84"/>
  <c r="G2324" i="84"/>
  <c r="G2327" i="84"/>
  <c r="G2328" i="84"/>
  <c r="G2329" i="84"/>
  <c r="G2330" i="84"/>
  <c r="G2331" i="84"/>
  <c r="G2332" i="84"/>
  <c r="G2333" i="84"/>
  <c r="G2335" i="84"/>
  <c r="G2336" i="84"/>
  <c r="G2337" i="84"/>
  <c r="G2338" i="84"/>
  <c r="G2339" i="84"/>
  <c r="G2340" i="84"/>
  <c r="G2342" i="84"/>
  <c r="G2343" i="84"/>
  <c r="G2347" i="84"/>
  <c r="G2348" i="84"/>
  <c r="G2349" i="84"/>
  <c r="G2351" i="84"/>
  <c r="G2355" i="84"/>
  <c r="G2356" i="84"/>
  <c r="G2357" i="84"/>
  <c r="G2358" i="84"/>
  <c r="G2359" i="84"/>
  <c r="G2360" i="84"/>
  <c r="G2361" i="84"/>
  <c r="G2362" i="84"/>
  <c r="G2363" i="84"/>
  <c r="G2364" i="84"/>
  <c r="G2365" i="84"/>
  <c r="G2366" i="84"/>
  <c r="G2368" i="84"/>
  <c r="G2369" i="84"/>
  <c r="G2370" i="84"/>
  <c r="G2371" i="84"/>
  <c r="G2372" i="84"/>
  <c r="G2373" i="84"/>
  <c r="G2374" i="84"/>
  <c r="G2375" i="84"/>
  <c r="G2376" i="84"/>
  <c r="G2378" i="84"/>
  <c r="G2379" i="84"/>
  <c r="G2382" i="84"/>
  <c r="G2384" i="84"/>
  <c r="G2386" i="84"/>
  <c r="G2387" i="84"/>
  <c r="G2388" i="84"/>
  <c r="G2389" i="84"/>
  <c r="G2390" i="84"/>
  <c r="G2392" i="84"/>
  <c r="G2393" i="84"/>
  <c r="G2394" i="84"/>
  <c r="G2395" i="84"/>
  <c r="G2396" i="84"/>
  <c r="G2397" i="84"/>
  <c r="G2399" i="84"/>
  <c r="G2404" i="84"/>
  <c r="G2405" i="84"/>
  <c r="G2409" i="84"/>
  <c r="G2410" i="84"/>
  <c r="G2411" i="84"/>
  <c r="G2412" i="84"/>
  <c r="G2413" i="84"/>
  <c r="G2414" i="84"/>
  <c r="G2415" i="84"/>
  <c r="G2416" i="84"/>
  <c r="G2417" i="84"/>
  <c r="G2418" i="84"/>
  <c r="G2419" i="84"/>
  <c r="G2420" i="84"/>
  <c r="G2421" i="84"/>
  <c r="G2422" i="84"/>
  <c r="G2423" i="84"/>
  <c r="G2424" i="84"/>
  <c r="G2425" i="84"/>
  <c r="G2426" i="84"/>
  <c r="G2427" i="84"/>
  <c r="G2428" i="84"/>
  <c r="G2429" i="84"/>
  <c r="G2431" i="84"/>
  <c r="G2432" i="84"/>
  <c r="G2433" i="84"/>
  <c r="G2434" i="84"/>
  <c r="G2435" i="84"/>
  <c r="G2436" i="84"/>
  <c r="G2439" i="84"/>
  <c r="G2440" i="84"/>
  <c r="G2441" i="84"/>
  <c r="G2442" i="84"/>
  <c r="G2443" i="84"/>
  <c r="G2444" i="84"/>
  <c r="G2445" i="84"/>
  <c r="G2447" i="84"/>
  <c r="G2448" i="84"/>
  <c r="G2449" i="84"/>
  <c r="G2450" i="84"/>
  <c r="G2453" i="84"/>
  <c r="G2454" i="84"/>
  <c r="G2455" i="84"/>
  <c r="G2458" i="84"/>
  <c r="G2461" i="84"/>
  <c r="G2462" i="84"/>
  <c r="G2463" i="84"/>
  <c r="G2464" i="84"/>
  <c r="G2465" i="84"/>
  <c r="G2466" i="84"/>
  <c r="G2467" i="84"/>
  <c r="G2468" i="84"/>
  <c r="G2469" i="84"/>
  <c r="G2470" i="84"/>
  <c r="G2471" i="84"/>
  <c r="G2472" i="84"/>
  <c r="G2473" i="84"/>
  <c r="G2474" i="84"/>
  <c r="G2475" i="84"/>
  <c r="G2476" i="84"/>
  <c r="G2477" i="84"/>
  <c r="G2478" i="84"/>
  <c r="G2479" i="84"/>
  <c r="G2480" i="84"/>
  <c r="G2481" i="84"/>
  <c r="G2482" i="84"/>
  <c r="G2483" i="84"/>
  <c r="G2484" i="84"/>
  <c r="G2485" i="84"/>
  <c r="G2486" i="84"/>
  <c r="G2489" i="84"/>
  <c r="G2492" i="84"/>
  <c r="G2494" i="84"/>
  <c r="G2495" i="84"/>
  <c r="G2496" i="84"/>
  <c r="G2497" i="84"/>
  <c r="G2498" i="84"/>
  <c r="G2499" i="84"/>
  <c r="G2500" i="84"/>
  <c r="G2501" i="84"/>
  <c r="G2502" i="84"/>
  <c r="G2504" i="84"/>
  <c r="G2507" i="84"/>
  <c r="G2508" i="84"/>
  <c r="G2509" i="84"/>
  <c r="G2511" i="84"/>
  <c r="G1837" i="84"/>
  <c r="G1838" i="84"/>
  <c r="G1840" i="84"/>
  <c r="G1842" i="84"/>
  <c r="G1844" i="84"/>
  <c r="G1846" i="84"/>
  <c r="G1848" i="84"/>
  <c r="G1849" i="84"/>
  <c r="G1850" i="84"/>
  <c r="G1851" i="84"/>
  <c r="G1852" i="84"/>
  <c r="G1853" i="84"/>
  <c r="G1854" i="84"/>
  <c r="G1856" i="84"/>
  <c r="G1858" i="84"/>
  <c r="G1859" i="84"/>
  <c r="G1860" i="84"/>
  <c r="G1861" i="84"/>
  <c r="G1862" i="84"/>
  <c r="G1863" i="84"/>
  <c r="G1865" i="84"/>
  <c r="G1867" i="84"/>
  <c r="G1868" i="84"/>
  <c r="G1869" i="84"/>
  <c r="G1870" i="84"/>
  <c r="G1871" i="84"/>
  <c r="G1872" i="84"/>
  <c r="G1874" i="84"/>
  <c r="G1875" i="84"/>
  <c r="G1876" i="84"/>
  <c r="G1877" i="84"/>
  <c r="G1879" i="84"/>
  <c r="G1880" i="84"/>
  <c r="G1881" i="84"/>
  <c r="G1882" i="84"/>
  <c r="G1883" i="84"/>
  <c r="G1884" i="84"/>
  <c r="G1885" i="84"/>
  <c r="G1888" i="84"/>
  <c r="G1889" i="84"/>
  <c r="G1890" i="84"/>
  <c r="G1891" i="84"/>
  <c r="G1893" i="84"/>
  <c r="G1894" i="84"/>
  <c r="G1896" i="84"/>
  <c r="G1898" i="84"/>
  <c r="G1900" i="84"/>
  <c r="G1901" i="84"/>
  <c r="G1902" i="84"/>
  <c r="G1903" i="84"/>
  <c r="G1904" i="84"/>
  <c r="G1905" i="84"/>
  <c r="G1906" i="84"/>
  <c r="G1907" i="84"/>
  <c r="G1908" i="84"/>
  <c r="G1909" i="84"/>
  <c r="G1910" i="84"/>
  <c r="G1911" i="84"/>
  <c r="G1912" i="84"/>
  <c r="G1913" i="84"/>
  <c r="G1914" i="84"/>
  <c r="G1919" i="84"/>
  <c r="G1920" i="84"/>
  <c r="G1921" i="84"/>
  <c r="G1922" i="84"/>
  <c r="G1923" i="84"/>
  <c r="G1924" i="84"/>
  <c r="G1926" i="84"/>
  <c r="G1927" i="84"/>
  <c r="G1928" i="84"/>
  <c r="G1931" i="84"/>
  <c r="G1932" i="84"/>
  <c r="G1933" i="84"/>
  <c r="G1934" i="84"/>
  <c r="G1935" i="84"/>
  <c r="G1955" i="84"/>
  <c r="G1956" i="84"/>
  <c r="G1957" i="84"/>
  <c r="G1964" i="84"/>
  <c r="G1965" i="84"/>
  <c r="G1970" i="84"/>
  <c r="G1971" i="84"/>
  <c r="G1972" i="84"/>
  <c r="G1973" i="84"/>
  <c r="G1974" i="84"/>
  <c r="G1975" i="84"/>
  <c r="G1976" i="84"/>
  <c r="G1977" i="84"/>
  <c r="G1428" i="84"/>
  <c r="G1429" i="84"/>
  <c r="G1431" i="84"/>
  <c r="G1432" i="84"/>
  <c r="G1433" i="84"/>
  <c r="G1434" i="84"/>
  <c r="G1435" i="84"/>
  <c r="G1436" i="84"/>
  <c r="G1437" i="84"/>
  <c r="G1438" i="84"/>
  <c r="G1439" i="84"/>
  <c r="G1441" i="84"/>
  <c r="G1442" i="84"/>
  <c r="G1443" i="84"/>
  <c r="G1444" i="84"/>
  <c r="G1445" i="84"/>
  <c r="G1446" i="84"/>
  <c r="G1447" i="84"/>
  <c r="G1448" i="84"/>
  <c r="G1449" i="84"/>
  <c r="G1450" i="84"/>
  <c r="G1452" i="84"/>
  <c r="G1453" i="84"/>
  <c r="G1454" i="84"/>
  <c r="G1455" i="84"/>
  <c r="G1456" i="84"/>
  <c r="G1458" i="84"/>
  <c r="G1459" i="84"/>
  <c r="G1460" i="84"/>
  <c r="G1461" i="84"/>
  <c r="G1466" i="84"/>
  <c r="G1467" i="84"/>
  <c r="G1468" i="84"/>
  <c r="G1469" i="84"/>
  <c r="G1470" i="84"/>
  <c r="G1471" i="84"/>
  <c r="G1472" i="84"/>
  <c r="G1473" i="84"/>
  <c r="G1474" i="84"/>
  <c r="G1475" i="84"/>
  <c r="G1476" i="84"/>
  <c r="G1477" i="84"/>
  <c r="G1478" i="84"/>
  <c r="G1480" i="84"/>
  <c r="G1481" i="84"/>
  <c r="G1482" i="84"/>
  <c r="G1483" i="84"/>
  <c r="G1484" i="84"/>
  <c r="G1485" i="84"/>
  <c r="G1486" i="84"/>
  <c r="G1487" i="84"/>
  <c r="G1488" i="84"/>
  <c r="G1489" i="84"/>
  <c r="G1490" i="84"/>
  <c r="G1496" i="84"/>
  <c r="G1497" i="84"/>
  <c r="G1498" i="84"/>
  <c r="G1499" i="84"/>
  <c r="G1500" i="84"/>
  <c r="G1502" i="84"/>
  <c r="G1504" i="84"/>
  <c r="G1505" i="84"/>
  <c r="G1506" i="84"/>
  <c r="G1507" i="84"/>
  <c r="G1510" i="84"/>
  <c r="G1512" i="84"/>
  <c r="G1513" i="84"/>
  <c r="G1514" i="84"/>
  <c r="G1515" i="84"/>
  <c r="G1516" i="84"/>
  <c r="G1517" i="84"/>
  <c r="G1518" i="84"/>
  <c r="G1519" i="84"/>
  <c r="G1521" i="84"/>
  <c r="G1522" i="84"/>
  <c r="G1523" i="84"/>
  <c r="G1524" i="84"/>
  <c r="G1525" i="84"/>
  <c r="G1526" i="84"/>
  <c r="G1527" i="84"/>
  <c r="G1528" i="84"/>
  <c r="G1530" i="84"/>
  <c r="G1531" i="84"/>
  <c r="G1532" i="84"/>
  <c r="G1533" i="84"/>
  <c r="G1534" i="84"/>
  <c r="G1535" i="84"/>
  <c r="G1536" i="84"/>
  <c r="G1537" i="84"/>
  <c r="G1538" i="84"/>
  <c r="G1539" i="84"/>
  <c r="G1541" i="84"/>
  <c r="G1542" i="84"/>
  <c r="G1543" i="84"/>
  <c r="G1544" i="84"/>
  <c r="G1545" i="84"/>
  <c r="G1546" i="84"/>
  <c r="G1547" i="84"/>
  <c r="G1548" i="84"/>
  <c r="G1549" i="84"/>
  <c r="G1550" i="84"/>
  <c r="G1552" i="84"/>
  <c r="G1553" i="84"/>
  <c r="G1554" i="84"/>
  <c r="G1555" i="84"/>
  <c r="G1556" i="84"/>
  <c r="G1557" i="84"/>
  <c r="G1558" i="84"/>
  <c r="G1559" i="84"/>
  <c r="G1560" i="84"/>
  <c r="G1562" i="84"/>
  <c r="G1563" i="84"/>
  <c r="G1564" i="84"/>
  <c r="G1565" i="84"/>
  <c r="G1566" i="84"/>
  <c r="G1567" i="84"/>
  <c r="G1568" i="84"/>
  <c r="G1569" i="84"/>
  <c r="G1570" i="84"/>
  <c r="G1571" i="84"/>
  <c r="G1573" i="84"/>
  <c r="G1574" i="84"/>
  <c r="G1575" i="84"/>
  <c r="G1576" i="84"/>
  <c r="G1577" i="84"/>
  <c r="G1578" i="84"/>
  <c r="G1579" i="84"/>
  <c r="G1580" i="84"/>
  <c r="G1582" i="84"/>
  <c r="G1583" i="84"/>
  <c r="G1586" i="84"/>
  <c r="G1587" i="84"/>
  <c r="G1588" i="84"/>
  <c r="G1589" i="84"/>
  <c r="G1590" i="84"/>
  <c r="G1591" i="84"/>
  <c r="G1592" i="84"/>
  <c r="G1593" i="84"/>
  <c r="G1594" i="84"/>
  <c r="G1595" i="84"/>
  <c r="G1596" i="84"/>
  <c r="G1597" i="84"/>
  <c r="G1598" i="84"/>
  <c r="G1599" i="84"/>
  <c r="G1600" i="84"/>
  <c r="G1601" i="84"/>
  <c r="G1604" i="84"/>
  <c r="G1605" i="84"/>
  <c r="G1607" i="84"/>
  <c r="G1611" i="84"/>
  <c r="G1613" i="84"/>
  <c r="G1615" i="84"/>
  <c r="G1616" i="84"/>
  <c r="G1617" i="84"/>
  <c r="G1618" i="84"/>
  <c r="G1619" i="84"/>
  <c r="G1620" i="84"/>
  <c r="G1621" i="84"/>
  <c r="G1623" i="84"/>
  <c r="G1624" i="84"/>
  <c r="G1625" i="84"/>
  <c r="G1626" i="84"/>
  <c r="G1627" i="84"/>
  <c r="G1628" i="84"/>
  <c r="G1629" i="84"/>
  <c r="G1630" i="84"/>
  <c r="G1632" i="84"/>
  <c r="G1633" i="84"/>
  <c r="G1634" i="84"/>
  <c r="G1635" i="84"/>
  <c r="G1636" i="84"/>
  <c r="G1637" i="84"/>
  <c r="G1638" i="84"/>
  <c r="G1639" i="84"/>
  <c r="G1640" i="84"/>
  <c r="G1641" i="84"/>
  <c r="G1642" i="84"/>
  <c r="G1643" i="84"/>
  <c r="G1644" i="84"/>
  <c r="G1645" i="84"/>
  <c r="G1646" i="84"/>
  <c r="G1648" i="84"/>
  <c r="G1649" i="84"/>
  <c r="G1650" i="84"/>
  <c r="G1651" i="84"/>
  <c r="G1652" i="84"/>
  <c r="G1653" i="84"/>
  <c r="G1654" i="84"/>
  <c r="G1655" i="84"/>
  <c r="G1656" i="84"/>
  <c r="G1658" i="84"/>
  <c r="G1659" i="84"/>
  <c r="G1660" i="84"/>
  <c r="G1661" i="84"/>
  <c r="G1662" i="84"/>
  <c r="G1663" i="84"/>
  <c r="G1664" i="84"/>
  <c r="G1665" i="84"/>
  <c r="G1666" i="84"/>
  <c r="G1668" i="84"/>
  <c r="G1669" i="84"/>
  <c r="G1670" i="84"/>
  <c r="G1671" i="84"/>
  <c r="G1672" i="84"/>
  <c r="G1673" i="84"/>
  <c r="G1674" i="84"/>
  <c r="G1675" i="84"/>
  <c r="G1676" i="84"/>
  <c r="G1677" i="84"/>
  <c r="G1680" i="84"/>
  <c r="G1681" i="84"/>
  <c r="G1682" i="84"/>
  <c r="G1683" i="84"/>
  <c r="G1684" i="84"/>
  <c r="G1685" i="84"/>
  <c r="G1686" i="84"/>
  <c r="G1688" i="84"/>
  <c r="G1689" i="84"/>
  <c r="G1690" i="84"/>
  <c r="G1691" i="84"/>
  <c r="G1692" i="84"/>
  <c r="G1693" i="84"/>
  <c r="G1695" i="84"/>
  <c r="G1696" i="84"/>
  <c r="G1700" i="84"/>
  <c r="G1701" i="84"/>
  <c r="G1702" i="84"/>
  <c r="G1704" i="84"/>
  <c r="G1708" i="84"/>
  <c r="G1709" i="84"/>
  <c r="G1710" i="84"/>
  <c r="G1711" i="84"/>
  <c r="G1712" i="84"/>
  <c r="G1713" i="84"/>
  <c r="G1714" i="84"/>
  <c r="G1715" i="84"/>
  <c r="G1716" i="84"/>
  <c r="G1717" i="84"/>
  <c r="G1718" i="84"/>
  <c r="G1720" i="84"/>
  <c r="G1721" i="84"/>
  <c r="G1722" i="84"/>
  <c r="G1723" i="84"/>
  <c r="G1724" i="84"/>
  <c r="G1725" i="84"/>
  <c r="G1726" i="84"/>
  <c r="G1727" i="84"/>
  <c r="G1729" i="84"/>
  <c r="G1730" i="84"/>
  <c r="G1731" i="84"/>
  <c r="G1732" i="84"/>
  <c r="G1733" i="84"/>
  <c r="G1734" i="84"/>
  <c r="G1735" i="84"/>
  <c r="G1736" i="84"/>
  <c r="G1737" i="84"/>
  <c r="G1739" i="84"/>
  <c r="G1740" i="84"/>
  <c r="G1741" i="84"/>
  <c r="G1742" i="84"/>
  <c r="G1743" i="84"/>
  <c r="G1744" i="84"/>
  <c r="G1745" i="84"/>
  <c r="G1746" i="84"/>
  <c r="G1747" i="84"/>
  <c r="G1748" i="84"/>
  <c r="G1749" i="84"/>
  <c r="G1750" i="84"/>
  <c r="G1751" i="84"/>
  <c r="G1752" i="84"/>
  <c r="G1753" i="84"/>
  <c r="G1754" i="84"/>
  <c r="G1755" i="84"/>
  <c r="G1757" i="84"/>
  <c r="G1758" i="84"/>
  <c r="G1761" i="84"/>
  <c r="G1762" i="84"/>
  <c r="G1763" i="84"/>
  <c r="G1764" i="84"/>
  <c r="G1765" i="84"/>
  <c r="G1767" i="84"/>
  <c r="G1768" i="84"/>
  <c r="G1770" i="84"/>
  <c r="G1771" i="84"/>
  <c r="G1772" i="84"/>
  <c r="G1773" i="84"/>
  <c r="G1774" i="84"/>
  <c r="G1775" i="84"/>
  <c r="G1777" i="84"/>
  <c r="G1779" i="84"/>
  <c r="G1780" i="84"/>
  <c r="G1781" i="84"/>
  <c r="G1782" i="84"/>
  <c r="G1783" i="84"/>
  <c r="G1784" i="84"/>
  <c r="G1785" i="84"/>
  <c r="G1786" i="84"/>
  <c r="G1787" i="84"/>
  <c r="G1788" i="84"/>
  <c r="G1789" i="84"/>
  <c r="G1790" i="84"/>
  <c r="G1791" i="84"/>
  <c r="G1792" i="84"/>
  <c r="G1793" i="84"/>
  <c r="G1794" i="84"/>
  <c r="G1795" i="84"/>
  <c r="G1799" i="84"/>
  <c r="G1800" i="84"/>
  <c r="G1801" i="84"/>
  <c r="G1802" i="84"/>
  <c r="G1803" i="84"/>
  <c r="G1804" i="84"/>
  <c r="G1805" i="84"/>
  <c r="G1806" i="84"/>
  <c r="G1808" i="84"/>
  <c r="G1809" i="84"/>
  <c r="G1810" i="84"/>
  <c r="G1813" i="84"/>
  <c r="G1814" i="84"/>
  <c r="G1815" i="84"/>
  <c r="G1816" i="84"/>
  <c r="G1817" i="84"/>
  <c r="G1820" i="84"/>
  <c r="G1821" i="84"/>
  <c r="G1822" i="84"/>
  <c r="G1823" i="84"/>
  <c r="G1824" i="84"/>
  <c r="G1825" i="84"/>
  <c r="G1826" i="84"/>
  <c r="G1827" i="84"/>
  <c r="G1828" i="84"/>
  <c r="G1829" i="84"/>
  <c r="G1830" i="84"/>
  <c r="G1831" i="84"/>
  <c r="G1417" i="84"/>
  <c r="G1253" i="84"/>
  <c r="G1254" i="84"/>
  <c r="G1255" i="84"/>
  <c r="G1256" i="84"/>
  <c r="G1257" i="84"/>
  <c r="G1258" i="84"/>
  <c r="G1259" i="84"/>
  <c r="G1260" i="84"/>
  <c r="G1261" i="84"/>
  <c r="G1262" i="84"/>
  <c r="G1264" i="84"/>
  <c r="G1265" i="84"/>
  <c r="G1266" i="84"/>
  <c r="G1268" i="84"/>
  <c r="G1269" i="84"/>
  <c r="G1270" i="84"/>
  <c r="G1271" i="84"/>
  <c r="G1272" i="84"/>
  <c r="G1273" i="84"/>
  <c r="G1274" i="84"/>
  <c r="G1275" i="84"/>
  <c r="G1276" i="84"/>
  <c r="G1277" i="84"/>
  <c r="G1278" i="84"/>
  <c r="G1279" i="84"/>
  <c r="G1280" i="84"/>
  <c r="G1281" i="84"/>
  <c r="G1282" i="84"/>
  <c r="G1283" i="84"/>
  <c r="G1284" i="84"/>
  <c r="G1285" i="84"/>
  <c r="G1286" i="84"/>
  <c r="G1287" i="84"/>
  <c r="G1288" i="84"/>
  <c r="G1289" i="84"/>
  <c r="G1290" i="84"/>
  <c r="G1291" i="84"/>
  <c r="G1292" i="84"/>
  <c r="G1293" i="84"/>
  <c r="G1294" i="84"/>
  <c r="G1295" i="84"/>
  <c r="G1296" i="84"/>
  <c r="G1297" i="84"/>
  <c r="G1298" i="84"/>
  <c r="G1299" i="84"/>
  <c r="G1300" i="84"/>
  <c r="G1301" i="84"/>
  <c r="G1302" i="84"/>
  <c r="G1303" i="84"/>
  <c r="G1304" i="84"/>
  <c r="G1305" i="84"/>
  <c r="G1306" i="84"/>
  <c r="G1307" i="84"/>
  <c r="G1308" i="84"/>
  <c r="G1309" i="84"/>
  <c r="G1310" i="84"/>
  <c r="G1311" i="84"/>
  <c r="G1312" i="84"/>
  <c r="G1313" i="84"/>
  <c r="G1314" i="84"/>
  <c r="G1315" i="84"/>
  <c r="G1316" i="84"/>
  <c r="G1317" i="84"/>
  <c r="G1318" i="84"/>
  <c r="G1319" i="84"/>
  <c r="G1320" i="84"/>
  <c r="G1321" i="84"/>
  <c r="G1322" i="84"/>
  <c r="G1323" i="84"/>
  <c r="G1324" i="84"/>
  <c r="G1325" i="84"/>
  <c r="G1326" i="84"/>
  <c r="G1327" i="84"/>
  <c r="G1328" i="84"/>
  <c r="G1329" i="84"/>
  <c r="G1330" i="84"/>
  <c r="G1331" i="84"/>
  <c r="G1332" i="84"/>
  <c r="G1333" i="84"/>
  <c r="G1334" i="84"/>
  <c r="G1335" i="84"/>
  <c r="G1336" i="84"/>
  <c r="G1337" i="84"/>
  <c r="G1338" i="84"/>
  <c r="G1339" i="84"/>
  <c r="G1340" i="84"/>
  <c r="G1341" i="84"/>
  <c r="G1342" i="84"/>
  <c r="G1343" i="84"/>
  <c r="G1344" i="84"/>
  <c r="G1345" i="84"/>
  <c r="G1346" i="84"/>
  <c r="G1347" i="84"/>
  <c r="G1348" i="84"/>
  <c r="G1349" i="84"/>
  <c r="G1350" i="84"/>
  <c r="G1351" i="84"/>
  <c r="G1352" i="84"/>
  <c r="G1353" i="84"/>
  <c r="G1354" i="84"/>
  <c r="G1355" i="84"/>
  <c r="G1356" i="84"/>
  <c r="G1357" i="84"/>
  <c r="G1358" i="84"/>
  <c r="G1359" i="84"/>
  <c r="G1360" i="84"/>
  <c r="G1361" i="84"/>
  <c r="G1362" i="84"/>
  <c r="G1363" i="84"/>
  <c r="G1364" i="84"/>
  <c r="G1365" i="84"/>
  <c r="G1366" i="84"/>
  <c r="G1367" i="84"/>
  <c r="G1368" i="84"/>
  <c r="G1369" i="84"/>
  <c r="G1370" i="84"/>
  <c r="G1371" i="84"/>
  <c r="G1372" i="84"/>
  <c r="G1373" i="84"/>
  <c r="G1374" i="84"/>
  <c r="G1375" i="84"/>
  <c r="G1376" i="84"/>
  <c r="G1377" i="84"/>
  <c r="G1378" i="84"/>
  <c r="G1379" i="84"/>
  <c r="G1380" i="84"/>
  <c r="G1381" i="84"/>
  <c r="G1382" i="84"/>
  <c r="G1383" i="84"/>
  <c r="G1384" i="84"/>
  <c r="G1385" i="84"/>
  <c r="G1386" i="84"/>
  <c r="G1387" i="84"/>
  <c r="G1388" i="84"/>
  <c r="G1389" i="84"/>
  <c r="G1390" i="84"/>
  <c r="G1391" i="84"/>
  <c r="G1392" i="84"/>
  <c r="G1393" i="84"/>
  <c r="G1394" i="84"/>
  <c r="G1395" i="84"/>
  <c r="G1396" i="84"/>
  <c r="G1397" i="84"/>
  <c r="G1398" i="84"/>
  <c r="G1399" i="84"/>
  <c r="G1400" i="84"/>
  <c r="G1401" i="84"/>
  <c r="G1402" i="84"/>
  <c r="G1403" i="84"/>
  <c r="G1404" i="84"/>
  <c r="G1405" i="84"/>
  <c r="G837" i="84"/>
  <c r="G838" i="84"/>
  <c r="G840" i="84"/>
  <c r="G841" i="84"/>
  <c r="G842" i="84"/>
  <c r="G843" i="84"/>
  <c r="G844" i="84"/>
  <c r="G845" i="84"/>
  <c r="G846" i="84"/>
  <c r="G847" i="84"/>
  <c r="G848" i="84"/>
  <c r="G850" i="84"/>
  <c r="G851" i="84"/>
  <c r="G852" i="84"/>
  <c r="G853" i="84"/>
  <c r="G854" i="84"/>
  <c r="G855" i="84"/>
  <c r="G856" i="84"/>
  <c r="G857" i="84"/>
  <c r="G858" i="84"/>
  <c r="G860" i="84"/>
  <c r="G861" i="84"/>
  <c r="G862" i="84"/>
  <c r="G864" i="84"/>
  <c r="G866" i="84"/>
  <c r="G868" i="84"/>
  <c r="G869" i="84"/>
  <c r="G871" i="84"/>
  <c r="G872" i="84"/>
  <c r="G873" i="84"/>
  <c r="G874" i="84"/>
  <c r="G875" i="84"/>
  <c r="G876" i="84"/>
  <c r="G877" i="84"/>
  <c r="G878" i="84"/>
  <c r="G879" i="84"/>
  <c r="G880" i="84"/>
  <c r="G881" i="84"/>
  <c r="G882" i="84"/>
  <c r="G883" i="84"/>
  <c r="G884" i="84"/>
  <c r="G885" i="84"/>
  <c r="G887" i="84"/>
  <c r="G888" i="84"/>
  <c r="G889" i="84"/>
  <c r="G890" i="84"/>
  <c r="G891" i="84"/>
  <c r="G892" i="84"/>
  <c r="G893" i="84"/>
  <c r="G894" i="84"/>
  <c r="G895" i="84"/>
  <c r="G900" i="84"/>
  <c r="G901" i="84"/>
  <c r="G902" i="84"/>
  <c r="G903" i="84"/>
  <c r="G904" i="84"/>
  <c r="G905" i="84"/>
  <c r="G906" i="84"/>
  <c r="G907" i="84"/>
  <c r="G908" i="84"/>
  <c r="G909" i="84"/>
  <c r="G910" i="84"/>
  <c r="G911" i="84"/>
  <c r="G912" i="84"/>
  <c r="G913" i="84"/>
  <c r="G914" i="84"/>
  <c r="G915" i="84"/>
  <c r="G916" i="84"/>
  <c r="G917" i="84"/>
  <c r="G918" i="84"/>
  <c r="G920" i="84"/>
  <c r="G921" i="84"/>
  <c r="G922" i="84"/>
  <c r="G923" i="84"/>
  <c r="G925" i="84"/>
  <c r="G928" i="84"/>
  <c r="G929" i="84"/>
  <c r="G930" i="84"/>
  <c r="G931" i="84"/>
  <c r="G932" i="84"/>
  <c r="G933" i="84"/>
  <c r="G934" i="84"/>
  <c r="G935" i="84"/>
  <c r="G937" i="84"/>
  <c r="G938" i="84"/>
  <c r="G939" i="84"/>
  <c r="G940" i="84"/>
  <c r="G941" i="84"/>
  <c r="G942" i="84"/>
  <c r="G943" i="84"/>
  <c r="G944" i="84"/>
  <c r="G946" i="84"/>
  <c r="G947" i="84"/>
  <c r="G948" i="84"/>
  <c r="G950" i="84"/>
  <c r="G951" i="84"/>
  <c r="G953" i="84"/>
  <c r="G956" i="84"/>
  <c r="G957" i="84"/>
  <c r="G958" i="84"/>
  <c r="G959" i="84"/>
  <c r="G960" i="84"/>
  <c r="G961" i="84"/>
  <c r="G962" i="84"/>
  <c r="G963" i="84"/>
  <c r="G964" i="84"/>
  <c r="G966" i="84"/>
  <c r="G967" i="84"/>
  <c r="G968" i="84"/>
  <c r="G969" i="84"/>
  <c r="G970" i="84"/>
  <c r="G971" i="84"/>
  <c r="G972" i="84"/>
  <c r="G973" i="84"/>
  <c r="G974" i="84"/>
  <c r="G976" i="84"/>
  <c r="G977" i="84"/>
  <c r="G978" i="84"/>
  <c r="G980" i="84"/>
  <c r="G981" i="84"/>
  <c r="G982" i="84"/>
  <c r="G983" i="84"/>
  <c r="G984" i="84"/>
  <c r="G985" i="84"/>
  <c r="G987" i="84"/>
  <c r="G988" i="84"/>
  <c r="G989" i="84"/>
  <c r="G990" i="84"/>
  <c r="G991" i="84"/>
  <c r="G992" i="84"/>
  <c r="G993" i="84"/>
  <c r="G995" i="84"/>
  <c r="G997" i="84"/>
  <c r="G998" i="84"/>
  <c r="G1001" i="84"/>
  <c r="G1002" i="84"/>
  <c r="G1003" i="84"/>
  <c r="G1004" i="84"/>
  <c r="G1005" i="84"/>
  <c r="G1009" i="84"/>
  <c r="G1013" i="84"/>
  <c r="G1014" i="84"/>
  <c r="G1015" i="84"/>
  <c r="G1016" i="84"/>
  <c r="G1017" i="84"/>
  <c r="G1018" i="84"/>
  <c r="G1019" i="84"/>
  <c r="G1020" i="84"/>
  <c r="G1021" i="84"/>
  <c r="G1024" i="84"/>
  <c r="G1026" i="84"/>
  <c r="G1027" i="84"/>
  <c r="G1028" i="84"/>
  <c r="G1030" i="84"/>
  <c r="G1032" i="84"/>
  <c r="G1033" i="84"/>
  <c r="G1036" i="84"/>
  <c r="G1038" i="84"/>
  <c r="G1040" i="84"/>
  <c r="G1041" i="84"/>
  <c r="G1042" i="84"/>
  <c r="G1044" i="84"/>
  <c r="G1047" i="84"/>
  <c r="G1048" i="84"/>
  <c r="G1049" i="84"/>
  <c r="G1050" i="84"/>
  <c r="G1051" i="84"/>
  <c r="G1052" i="84"/>
  <c r="G1053" i="84"/>
  <c r="G1054" i="84"/>
  <c r="G1056" i="84"/>
  <c r="G1057" i="84"/>
  <c r="G1058" i="84"/>
  <c r="G1059" i="84"/>
  <c r="G1060" i="84"/>
  <c r="G1061" i="84"/>
  <c r="G1062" i="84"/>
  <c r="G1063" i="84"/>
  <c r="G1065" i="84"/>
  <c r="G1066" i="84"/>
  <c r="G1067" i="84"/>
  <c r="G1069" i="84"/>
  <c r="G1070" i="84"/>
  <c r="G1071" i="84"/>
  <c r="G1072" i="84"/>
  <c r="G1073" i="84"/>
  <c r="G1074" i="84"/>
  <c r="G1075" i="84"/>
  <c r="G1076" i="84"/>
  <c r="G1077" i="84"/>
  <c r="G1078" i="84"/>
  <c r="G1079" i="84"/>
  <c r="G1080" i="84"/>
  <c r="G1081" i="84"/>
  <c r="G1082" i="84"/>
  <c r="G1083" i="84"/>
  <c r="G1084" i="84"/>
  <c r="G1085" i="84"/>
  <c r="G1086" i="84"/>
  <c r="G1088" i="84"/>
  <c r="G1089" i="84"/>
  <c r="G1090" i="84"/>
  <c r="G1091" i="84"/>
  <c r="G1092" i="84"/>
  <c r="G1093" i="84"/>
  <c r="G1094" i="84"/>
  <c r="G1095" i="84"/>
  <c r="G1096" i="84"/>
  <c r="G1098" i="84"/>
  <c r="G1099" i="84"/>
  <c r="G1100" i="84"/>
  <c r="G1101" i="84"/>
  <c r="G1102" i="84"/>
  <c r="G1103" i="84"/>
  <c r="G1104" i="84"/>
  <c r="G1105" i="84"/>
  <c r="G1107" i="84"/>
  <c r="G1108" i="84"/>
  <c r="G1109" i="84"/>
  <c r="G1111" i="84"/>
  <c r="G1112" i="84"/>
  <c r="G1113" i="84"/>
  <c r="G1114" i="84"/>
  <c r="G1115" i="84"/>
  <c r="G1116" i="84"/>
  <c r="G1118" i="84"/>
  <c r="G1119" i="84"/>
  <c r="G1120" i="84"/>
  <c r="G1121" i="84"/>
  <c r="G1122" i="84"/>
  <c r="G1123" i="84"/>
  <c r="G1124" i="84"/>
  <c r="G1126" i="84"/>
  <c r="G1128" i="84"/>
  <c r="G1129" i="84"/>
  <c r="G1132" i="84"/>
  <c r="G1133" i="84"/>
  <c r="G1134" i="84"/>
  <c r="G1135" i="84"/>
  <c r="G1136" i="84"/>
  <c r="G1139" i="84"/>
  <c r="G1140" i="84"/>
  <c r="G1141" i="84"/>
  <c r="G1142" i="84"/>
  <c r="G1143" i="84"/>
  <c r="G1145" i="84"/>
  <c r="G1146" i="84"/>
  <c r="G1150" i="84"/>
  <c r="G1152" i="84"/>
  <c r="G1153" i="84"/>
  <c r="G1156" i="84"/>
  <c r="G1158" i="84"/>
  <c r="G1160" i="84"/>
  <c r="G1161" i="84"/>
  <c r="G1162" i="84"/>
  <c r="G1163" i="84"/>
  <c r="G1164" i="84"/>
  <c r="G1165" i="84"/>
  <c r="G1167" i="84"/>
  <c r="G1168" i="84"/>
  <c r="G1169" i="84"/>
  <c r="G1170" i="84"/>
  <c r="G1171" i="84"/>
  <c r="G1172" i="84"/>
  <c r="G1173" i="84"/>
  <c r="G1174" i="84"/>
  <c r="G1176" i="84"/>
  <c r="G1177" i="84"/>
  <c r="G1178" i="84"/>
  <c r="G1179" i="84"/>
  <c r="G1180" i="84"/>
  <c r="G1181" i="84"/>
  <c r="G1182" i="84"/>
  <c r="G1183" i="84"/>
  <c r="G1184" i="84"/>
  <c r="G1186" i="84"/>
  <c r="G1187" i="84"/>
  <c r="G1188" i="84"/>
  <c r="G1189" i="84"/>
  <c r="G1190" i="84"/>
  <c r="G1191" i="84"/>
  <c r="G1192" i="84"/>
  <c r="G1193" i="84"/>
  <c r="G1194" i="84"/>
  <c r="G1195" i="84"/>
  <c r="G1197" i="84"/>
  <c r="G1198" i="84"/>
  <c r="G1199" i="84"/>
  <c r="G1200" i="84"/>
  <c r="G1201" i="84"/>
  <c r="G1202" i="84"/>
  <c r="G1203" i="84"/>
  <c r="G1204" i="84"/>
  <c r="G1212" i="84"/>
  <c r="G1213" i="84"/>
  <c r="G1214" i="84"/>
  <c r="G1217" i="84"/>
  <c r="G1218" i="84"/>
  <c r="G1219" i="84"/>
  <c r="G1221" i="84"/>
  <c r="G1222" i="84"/>
  <c r="G1224" i="84"/>
  <c r="G1225" i="84"/>
  <c r="G1226" i="84"/>
  <c r="G1229" i="84"/>
  <c r="G1233" i="84"/>
  <c r="G824" i="84"/>
  <c r="G826" i="84"/>
  <c r="G827" i="84"/>
  <c r="G828" i="84"/>
  <c r="G829" i="84"/>
  <c r="G590" i="84"/>
  <c r="G591" i="84"/>
  <c r="G594" i="84"/>
  <c r="G595" i="84"/>
  <c r="G596" i="84"/>
  <c r="G599" i="84"/>
  <c r="G600" i="84"/>
  <c r="G602" i="84"/>
  <c r="G604" i="84"/>
  <c r="G606" i="84"/>
  <c r="G608" i="84"/>
  <c r="G610" i="84"/>
  <c r="G612" i="84"/>
  <c r="G614" i="84"/>
  <c r="G615" i="84"/>
  <c r="G616" i="84"/>
  <c r="G621" i="84"/>
  <c r="G622" i="84"/>
  <c r="G625" i="84"/>
  <c r="G626" i="84"/>
  <c r="G627" i="84"/>
  <c r="G634" i="84"/>
  <c r="G635" i="84"/>
  <c r="G636" i="84"/>
  <c r="G637" i="84"/>
  <c r="G639" i="84"/>
  <c r="G640" i="84"/>
  <c r="G641" i="84"/>
  <c r="G642" i="84"/>
  <c r="G644" i="84"/>
  <c r="G645" i="84"/>
  <c r="G646" i="84"/>
  <c r="G647" i="84"/>
  <c r="G648" i="84"/>
  <c r="G652" i="84"/>
  <c r="G661" i="84"/>
  <c r="G662" i="84"/>
  <c r="G663" i="84"/>
  <c r="G664" i="84"/>
  <c r="G665" i="84"/>
  <c r="G666" i="84"/>
  <c r="G667" i="84"/>
  <c r="G668" i="84"/>
  <c r="G669" i="84"/>
  <c r="G670" i="84"/>
  <c r="G671" i="84"/>
  <c r="G680" i="84"/>
  <c r="G681" i="84"/>
  <c r="G690" i="84"/>
  <c r="G691" i="84"/>
  <c r="G692" i="84"/>
  <c r="G693" i="84"/>
  <c r="G703" i="84"/>
  <c r="G707" i="84"/>
  <c r="G708" i="84"/>
  <c r="G716" i="84"/>
  <c r="G719" i="84"/>
  <c r="G720" i="84"/>
  <c r="G725" i="84"/>
  <c r="G727" i="84"/>
  <c r="G729" i="84"/>
  <c r="G731" i="84"/>
  <c r="G732" i="84"/>
  <c r="G735" i="84"/>
  <c r="G736" i="84"/>
  <c r="G739" i="84"/>
  <c r="G743" i="84"/>
  <c r="G744" i="84"/>
  <c r="G745" i="84"/>
  <c r="G746" i="84"/>
  <c r="G750" i="84"/>
  <c r="G751" i="84"/>
  <c r="G752" i="84"/>
  <c r="G765" i="84"/>
  <c r="G766" i="84"/>
  <c r="G767" i="84"/>
  <c r="G768" i="84"/>
  <c r="G769" i="84"/>
  <c r="G770" i="84"/>
  <c r="G771" i="84"/>
  <c r="G772" i="84"/>
  <c r="G773" i="84"/>
  <c r="G774" i="84"/>
  <c r="G775" i="84"/>
  <c r="G776" i="84"/>
  <c r="G777" i="84"/>
  <c r="G778" i="84"/>
  <c r="G779" i="84"/>
  <c r="G780" i="84"/>
  <c r="G782" i="84"/>
  <c r="G783" i="84"/>
  <c r="G784" i="84"/>
  <c r="G785" i="84"/>
  <c r="G786" i="84"/>
  <c r="G787" i="84"/>
  <c r="G788" i="84"/>
  <c r="G789" i="84"/>
  <c r="G793" i="84"/>
  <c r="G794" i="84"/>
  <c r="G795" i="84"/>
  <c r="G796" i="84"/>
  <c r="G797" i="84"/>
  <c r="G798" i="84"/>
  <c r="G800" i="84"/>
  <c r="G803" i="84"/>
  <c r="G804" i="84"/>
  <c r="G562" i="84"/>
  <c r="G563" i="84"/>
  <c r="G564" i="84"/>
  <c r="G566" i="84"/>
  <c r="G567" i="84"/>
  <c r="G568" i="84"/>
  <c r="G570" i="84"/>
  <c r="G571" i="84"/>
  <c r="G572" i="84"/>
  <c r="G574" i="84"/>
  <c r="G576" i="84"/>
  <c r="G578" i="84"/>
  <c r="G586" i="84"/>
  <c r="G587" i="84"/>
  <c r="G535" i="84"/>
  <c r="G536" i="84"/>
  <c r="G544" i="84"/>
  <c r="G550" i="84"/>
  <c r="G551" i="84"/>
  <c r="G552" i="84"/>
  <c r="G553" i="84"/>
  <c r="G554" i="84"/>
  <c r="G555" i="84"/>
  <c r="G422" i="84"/>
  <c r="G423" i="84"/>
  <c r="G424" i="84"/>
  <c r="G425" i="84"/>
  <c r="G426" i="84"/>
  <c r="G427" i="84"/>
  <c r="G428" i="84"/>
  <c r="G429" i="84"/>
  <c r="G430" i="84"/>
  <c r="G432" i="84"/>
  <c r="G433" i="84"/>
  <c r="G434" i="84"/>
  <c r="G436" i="84"/>
  <c r="G438" i="84"/>
  <c r="G440" i="84"/>
  <c r="G441" i="84"/>
  <c r="G442" i="84"/>
  <c r="G443" i="84"/>
  <c r="G444" i="84"/>
  <c r="G445" i="84"/>
  <c r="G449" i="84"/>
  <c r="G451" i="84"/>
  <c r="G452" i="84"/>
  <c r="G453" i="84"/>
  <c r="G454" i="84"/>
  <c r="G462" i="84"/>
  <c r="G464" i="84"/>
  <c r="G465" i="84"/>
  <c r="G466" i="84"/>
  <c r="G467" i="84"/>
  <c r="G468" i="84"/>
  <c r="G469" i="84"/>
  <c r="G470" i="84"/>
  <c r="G471" i="84"/>
  <c r="G472" i="84"/>
  <c r="G473" i="84"/>
  <c r="G474" i="84"/>
  <c r="G475" i="84"/>
  <c r="G476" i="84"/>
  <c r="G477" i="84"/>
  <c r="G483" i="84"/>
  <c r="G486" i="84"/>
  <c r="G490" i="84"/>
  <c r="G491" i="84"/>
  <c r="G492" i="84"/>
  <c r="G493" i="84"/>
  <c r="G497" i="84"/>
  <c r="G498" i="84"/>
  <c r="G500" i="84"/>
  <c r="G502" i="84"/>
  <c r="G504" i="84"/>
  <c r="G506" i="84"/>
  <c r="G507" i="84"/>
  <c r="G508" i="84"/>
  <c r="G509" i="84"/>
  <c r="G510" i="84"/>
  <c r="G512" i="84"/>
  <c r="G514" i="84"/>
  <c r="G515" i="84"/>
  <c r="G516" i="84"/>
  <c r="G517" i="84"/>
  <c r="G518" i="84"/>
  <c r="G520" i="84"/>
  <c r="G522" i="84"/>
  <c r="G523" i="84"/>
  <c r="G524" i="84"/>
  <c r="G527" i="84"/>
  <c r="G528" i="84"/>
  <c r="G529" i="84"/>
  <c r="G530" i="84"/>
  <c r="G531" i="84"/>
  <c r="G532" i="84"/>
  <c r="G533" i="84"/>
  <c r="G412" i="84"/>
  <c r="G413" i="84"/>
  <c r="G414" i="84"/>
  <c r="G415" i="84"/>
  <c r="G416" i="84"/>
  <c r="G302" i="84"/>
  <c r="G307" i="84"/>
  <c r="G308" i="84"/>
  <c r="G309" i="84"/>
  <c r="G310" i="84"/>
  <c r="G315" i="84"/>
  <c r="G317" i="84"/>
  <c r="G322" i="84"/>
  <c r="G323" i="84"/>
  <c r="G324" i="84"/>
  <c r="G325" i="84"/>
  <c r="G330" i="84"/>
  <c r="G334" i="84"/>
  <c r="G335" i="84"/>
  <c r="G336" i="84"/>
  <c r="G337" i="84"/>
  <c r="G338" i="84"/>
  <c r="G339" i="84"/>
  <c r="G71" i="84"/>
  <c r="G96" i="84"/>
  <c r="G95" i="84"/>
  <c r="G94" i="84"/>
  <c r="G93" i="84"/>
  <c r="G92" i="84"/>
  <c r="G91" i="84"/>
  <c r="G90" i="84"/>
  <c r="I34" i="90"/>
  <c r="J33" i="90"/>
  <c r="K33" i="90"/>
  <c r="J32" i="90"/>
  <c r="K32" i="90"/>
  <c r="K24" i="90"/>
  <c r="J17" i="90"/>
  <c r="K17" i="90"/>
  <c r="K14" i="90"/>
  <c r="K12" i="90"/>
  <c r="K10" i="90"/>
  <c r="K8" i="90"/>
  <c r="K6" i="90"/>
  <c r="K5" i="90"/>
  <c r="C14" i="97"/>
  <c r="J34" i="90"/>
  <c r="K34" i="90"/>
  <c r="F7" i="65"/>
  <c r="G16" i="93"/>
  <c r="G10" i="93"/>
  <c r="I10" i="93"/>
  <c r="I16" i="93"/>
  <c r="D6" i="95"/>
  <c r="D7" i="95"/>
  <c r="D8" i="95"/>
  <c r="C3620" i="84"/>
  <c r="G3620" i="84"/>
  <c r="C3630" i="84"/>
  <c r="G3630" i="84"/>
  <c r="C3614" i="84"/>
  <c r="G3614" i="84"/>
  <c r="C3627" i="84"/>
  <c r="G3627" i="84"/>
  <c r="C3626" i="84"/>
  <c r="G3626" i="84"/>
  <c r="C3625" i="84"/>
  <c r="G3625" i="84"/>
  <c r="C3624" i="84"/>
  <c r="G3624" i="84"/>
  <c r="C3623" i="84"/>
  <c r="G3623" i="84"/>
  <c r="C3558" i="84"/>
  <c r="G3739" i="84"/>
  <c r="G3727" i="84"/>
  <c r="G3728" i="84"/>
  <c r="G3729" i="84"/>
  <c r="G3730" i="84"/>
  <c r="G3731" i="84"/>
  <c r="G3732" i="84"/>
  <c r="G3733" i="84"/>
  <c r="G3734" i="84"/>
  <c r="G3735" i="84"/>
  <c r="G3736" i="84"/>
  <c r="G3737" i="84"/>
  <c r="G3738" i="84"/>
  <c r="D1232" i="84"/>
  <c r="G1232" i="84"/>
  <c r="D1231" i="84"/>
  <c r="G1231" i="84"/>
  <c r="D1230" i="84"/>
  <c r="G1230" i="84"/>
  <c r="M1228" i="84"/>
  <c r="D1228" i="84"/>
  <c r="G1228" i="84" s="1"/>
  <c r="D1227" i="84"/>
  <c r="G1227" i="84" s="1"/>
  <c r="D1223" i="84"/>
  <c r="G1223" i="84" s="1"/>
  <c r="D1220" i="84"/>
  <c r="G1220" i="84" s="1"/>
  <c r="D1216" i="84"/>
  <c r="G1216" i="84" s="1"/>
  <c r="M1215" i="84"/>
  <c r="D1215" i="84"/>
  <c r="G1215" i="84"/>
  <c r="D1211" i="84"/>
  <c r="G1211" i="84"/>
  <c r="D1210" i="84"/>
  <c r="G1210" i="84"/>
  <c r="F1209" i="84"/>
  <c r="D1209" i="84"/>
  <c r="F1208" i="84"/>
  <c r="D1208" i="84"/>
  <c r="F1207" i="84"/>
  <c r="G1207" i="84"/>
  <c r="F1206" i="84"/>
  <c r="D1206" i="84"/>
  <c r="F1205" i="84"/>
  <c r="D1205" i="84"/>
  <c r="D1196" i="84"/>
  <c r="G1196" i="84"/>
  <c r="D1185" i="84"/>
  <c r="G1185" i="84"/>
  <c r="D1175" i="84"/>
  <c r="G1175" i="84"/>
  <c r="D1166" i="84"/>
  <c r="G1166" i="84"/>
  <c r="D1159" i="84"/>
  <c r="G1159" i="84"/>
  <c r="D1157" i="84"/>
  <c r="G1157" i="84"/>
  <c r="D1155" i="84"/>
  <c r="G1155" i="84"/>
  <c r="D1154" i="84"/>
  <c r="G1154" i="84"/>
  <c r="D1151" i="84"/>
  <c r="G1151" i="84"/>
  <c r="D1149" i="84"/>
  <c r="G1149" i="84"/>
  <c r="D1148" i="84"/>
  <c r="G1148" i="84"/>
  <c r="D1147" i="84"/>
  <c r="G1147" i="84"/>
  <c r="D1144" i="84"/>
  <c r="G1144" i="84"/>
  <c r="D1138" i="84"/>
  <c r="G1138" i="84"/>
  <c r="D1137" i="84"/>
  <c r="G1137" i="84"/>
  <c r="D1131" i="84"/>
  <c r="G1131" i="84"/>
  <c r="D1130" i="84"/>
  <c r="G1130" i="84"/>
  <c r="D1127" i="84"/>
  <c r="G1127" i="84"/>
  <c r="D1125" i="84"/>
  <c r="G1125" i="84"/>
  <c r="D1117" i="84"/>
  <c r="G1117" i="84"/>
  <c r="D1110" i="84"/>
  <c r="G1110" i="84"/>
  <c r="D1106" i="84"/>
  <c r="G1106" i="84"/>
  <c r="D1097" i="84"/>
  <c r="G1097" i="84"/>
  <c r="D1087" i="84"/>
  <c r="G1087" i="84"/>
  <c r="D1068" i="84"/>
  <c r="G1068" i="84"/>
  <c r="D1064" i="84"/>
  <c r="G1064" i="84"/>
  <c r="D1055" i="84"/>
  <c r="G1055" i="84"/>
  <c r="F1046" i="84"/>
  <c r="D1046" i="84"/>
  <c r="F1045" i="84"/>
  <c r="G1045" i="84"/>
  <c r="F1043" i="84"/>
  <c r="G1043" i="84"/>
  <c r="D1039" i="84"/>
  <c r="G1039" i="84"/>
  <c r="D1037" i="84"/>
  <c r="G1037" i="84"/>
  <c r="D1035" i="84"/>
  <c r="G1035" i="84"/>
  <c r="D1034" i="84"/>
  <c r="G1034" i="84"/>
  <c r="D1031" i="84"/>
  <c r="G1031" i="84"/>
  <c r="D1029" i="84"/>
  <c r="G1029" i="84"/>
  <c r="D1025" i="84"/>
  <c r="G1025" i="84"/>
  <c r="D1023" i="84"/>
  <c r="G1023" i="84"/>
  <c r="D1022" i="84"/>
  <c r="G1022" i="84"/>
  <c r="D1012" i="84"/>
  <c r="G1012" i="84"/>
  <c r="D1011" i="84"/>
  <c r="G1011" i="84"/>
  <c r="D1010" i="84"/>
  <c r="G1010" i="84"/>
  <c r="D1008" i="84"/>
  <c r="G1008" i="84"/>
  <c r="D1007" i="84"/>
  <c r="G1007" i="84"/>
  <c r="D1006" i="84"/>
  <c r="G1006" i="84"/>
  <c r="D1000" i="84"/>
  <c r="G1000" i="84"/>
  <c r="F999" i="84"/>
  <c r="D999" i="84"/>
  <c r="F996" i="84"/>
  <c r="G996" i="84"/>
  <c r="F994" i="84"/>
  <c r="G994" i="84"/>
  <c r="D986" i="84"/>
  <c r="G986" i="84"/>
  <c r="D979" i="84"/>
  <c r="G979" i="84"/>
  <c r="D975" i="84"/>
  <c r="G975" i="84"/>
  <c r="D965" i="84"/>
  <c r="G965" i="84"/>
  <c r="F955" i="84"/>
  <c r="D955" i="84"/>
  <c r="F954" i="84"/>
  <c r="G954" i="84"/>
  <c r="F952" i="84"/>
  <c r="G952" i="84"/>
  <c r="D949" i="84"/>
  <c r="G949" i="84"/>
  <c r="D945" i="84"/>
  <c r="G945" i="84"/>
  <c r="D936" i="84"/>
  <c r="G936" i="84"/>
  <c r="F927" i="84"/>
  <c r="D927" i="84"/>
  <c r="F926" i="84"/>
  <c r="G926" i="84"/>
  <c r="F924" i="84"/>
  <c r="G924" i="84"/>
  <c r="D919" i="84"/>
  <c r="G919" i="84"/>
  <c r="D899" i="84"/>
  <c r="G899" i="84"/>
  <c r="D898" i="84"/>
  <c r="G898" i="84"/>
  <c r="D897" i="84"/>
  <c r="G897" i="84"/>
  <c r="D896" i="84"/>
  <c r="G896" i="84"/>
  <c r="D886" i="84"/>
  <c r="G886" i="84"/>
  <c r="F870" i="84"/>
  <c r="G870" i="84"/>
  <c r="F867" i="84"/>
  <c r="G867" i="84"/>
  <c r="F865" i="84"/>
  <c r="G865" i="84"/>
  <c r="D863" i="84"/>
  <c r="G863" i="84"/>
  <c r="D859" i="84"/>
  <c r="G859" i="84"/>
  <c r="D849" i="84"/>
  <c r="G849" i="84"/>
  <c r="D839" i="84"/>
  <c r="G839" i="84"/>
  <c r="G836" i="84"/>
  <c r="G834" i="84"/>
  <c r="G830" i="84"/>
  <c r="D781" i="84"/>
  <c r="G781" i="84" s="1"/>
  <c r="F764" i="84"/>
  <c r="D764" i="84"/>
  <c r="F763" i="84"/>
  <c r="D763" i="84"/>
  <c r="F762" i="84"/>
  <c r="D762" i="84"/>
  <c r="F761" i="84"/>
  <c r="D761" i="84"/>
  <c r="F760" i="84"/>
  <c r="D760" i="84"/>
  <c r="F759" i="84"/>
  <c r="D759" i="84"/>
  <c r="F758" i="84"/>
  <c r="D758" i="84"/>
  <c r="F757" i="84"/>
  <c r="D757" i="84"/>
  <c r="F756" i="84"/>
  <c r="D756" i="84"/>
  <c r="F755" i="84"/>
  <c r="D755" i="84"/>
  <c r="F754" i="84"/>
  <c r="D754" i="84"/>
  <c r="F753" i="84"/>
  <c r="D753" i="84"/>
  <c r="D749" i="84"/>
  <c r="G749" i="84" s="1"/>
  <c r="D748" i="84"/>
  <c r="G748" i="84" s="1"/>
  <c r="D747" i="84"/>
  <c r="G747" i="84" s="1"/>
  <c r="D742" i="84"/>
  <c r="G742" i="84" s="1"/>
  <c r="D741" i="84"/>
  <c r="G741" i="84" s="1"/>
  <c r="D740" i="84"/>
  <c r="G740" i="84" s="1"/>
  <c r="D738" i="84"/>
  <c r="G738" i="84" s="1"/>
  <c r="D737" i="84"/>
  <c r="G737" i="84" s="1"/>
  <c r="E734" i="84"/>
  <c r="D734" i="84"/>
  <c r="E733" i="84"/>
  <c r="D733" i="84"/>
  <c r="D730" i="84"/>
  <c r="D728" i="84"/>
  <c r="G728" i="84"/>
  <c r="D726" i="84"/>
  <c r="E724" i="84"/>
  <c r="D723" i="84"/>
  <c r="G723" i="84"/>
  <c r="E722" i="84"/>
  <c r="G722" i="84"/>
  <c r="E721" i="84"/>
  <c r="D721" i="84"/>
  <c r="E718" i="84"/>
  <c r="D718" i="84"/>
  <c r="E717" i="84"/>
  <c r="D717" i="84"/>
  <c r="E715" i="84"/>
  <c r="D715" i="84"/>
  <c r="E714" i="84"/>
  <c r="D714" i="84"/>
  <c r="E713" i="84"/>
  <c r="D713" i="84"/>
  <c r="E712" i="84"/>
  <c r="D712" i="84"/>
  <c r="E711" i="84"/>
  <c r="D711" i="84"/>
  <c r="E710" i="84"/>
  <c r="D710" i="84"/>
  <c r="E709" i="84"/>
  <c r="D709" i="84"/>
  <c r="E706" i="84"/>
  <c r="D706" i="84"/>
  <c r="D705" i="84"/>
  <c r="D704" i="84"/>
  <c r="G704" i="84" s="1"/>
  <c r="E702" i="84"/>
  <c r="D702" i="84"/>
  <c r="E701" i="84"/>
  <c r="D701" i="84"/>
  <c r="D700" i="84"/>
  <c r="E699" i="84"/>
  <c r="D699" i="84"/>
  <c r="E698" i="84"/>
  <c r="D698" i="84"/>
  <c r="E697" i="84"/>
  <c r="D697" i="84"/>
  <c r="E696" i="84"/>
  <c r="D696" i="84"/>
  <c r="E695" i="84"/>
  <c r="D695" i="84"/>
  <c r="E694" i="84"/>
  <c r="D694" i="84"/>
  <c r="D689" i="84"/>
  <c r="G689" i="84"/>
  <c r="E688" i="84"/>
  <c r="D688" i="84"/>
  <c r="E687" i="84"/>
  <c r="D687" i="84"/>
  <c r="E686" i="84"/>
  <c r="D686" i="84"/>
  <c r="E685" i="84"/>
  <c r="D685" i="84"/>
  <c r="E684" i="84"/>
  <c r="D684" i="84"/>
  <c r="E683" i="84"/>
  <c r="D683" i="84"/>
  <c r="E682" i="84"/>
  <c r="D682" i="84"/>
  <c r="D679" i="84"/>
  <c r="G679" i="84"/>
  <c r="E678" i="84"/>
  <c r="D678" i="84"/>
  <c r="E677" i="84"/>
  <c r="D677" i="84"/>
  <c r="E676" i="84"/>
  <c r="D676" i="84"/>
  <c r="E675" i="84"/>
  <c r="D675" i="84"/>
  <c r="E674" i="84"/>
  <c r="D674" i="84"/>
  <c r="E673" i="84"/>
  <c r="D673" i="84"/>
  <c r="E672" i="84"/>
  <c r="D672" i="84"/>
  <c r="D660" i="84"/>
  <c r="G660" i="84"/>
  <c r="E659" i="84"/>
  <c r="D659" i="84"/>
  <c r="E658" i="84"/>
  <c r="G658" i="84"/>
  <c r="E657" i="84"/>
  <c r="G657" i="84"/>
  <c r="E656" i="84"/>
  <c r="D656" i="84"/>
  <c r="E655" i="84"/>
  <c r="G655" i="84"/>
  <c r="D654" i="84"/>
  <c r="G654" i="84"/>
  <c r="D653" i="84"/>
  <c r="G653" i="84"/>
  <c r="E651" i="84"/>
  <c r="G651" i="84"/>
  <c r="E650" i="84"/>
  <c r="D650" i="84"/>
  <c r="D649" i="84"/>
  <c r="G649" i="84"/>
  <c r="D643" i="84"/>
  <c r="G643" i="84"/>
  <c r="D638" i="84"/>
  <c r="G638" i="84"/>
  <c r="D633" i="84"/>
  <c r="G633" i="84"/>
  <c r="D632" i="84"/>
  <c r="G632" i="84"/>
  <c r="D631" i="84"/>
  <c r="G631" i="84"/>
  <c r="D630" i="84"/>
  <c r="G630" i="84"/>
  <c r="D629" i="84"/>
  <c r="G629" i="84"/>
  <c r="D628" i="84"/>
  <c r="G628" i="84"/>
  <c r="D624" i="84"/>
  <c r="G624" i="84"/>
  <c r="D623" i="84"/>
  <c r="G623" i="84"/>
  <c r="D620" i="84"/>
  <c r="G620" i="84"/>
  <c r="D619" i="84"/>
  <c r="G619" i="84"/>
  <c r="D618" i="84"/>
  <c r="G618" i="84"/>
  <c r="D617" i="84"/>
  <c r="G617" i="84"/>
  <c r="D613" i="84"/>
  <c r="G613" i="84"/>
  <c r="D611" i="84"/>
  <c r="G611" i="84"/>
  <c r="D609" i="84"/>
  <c r="G609" i="84"/>
  <c r="D607" i="84"/>
  <c r="G607" i="84"/>
  <c r="D605" i="84"/>
  <c r="G605" i="84"/>
  <c r="D603" i="84"/>
  <c r="G603" i="84"/>
  <c r="D601" i="84"/>
  <c r="G601" i="84"/>
  <c r="D598" i="84"/>
  <c r="G598" i="84"/>
  <c r="D597" i="84"/>
  <c r="G597" i="84"/>
  <c r="D593" i="84"/>
  <c r="G593" i="84"/>
  <c r="D592" i="84"/>
  <c r="G592" i="84"/>
  <c r="D790" i="84"/>
  <c r="G790" i="84"/>
  <c r="D791" i="84"/>
  <c r="G791" i="84"/>
  <c r="D792" i="84"/>
  <c r="G792" i="84"/>
  <c r="D799" i="84"/>
  <c r="G799" i="84"/>
  <c r="D534" i="84"/>
  <c r="G534" i="84"/>
  <c r="D526" i="84"/>
  <c r="G526" i="84"/>
  <c r="D525" i="84"/>
  <c r="G525" i="84"/>
  <c r="D521" i="84"/>
  <c r="G521" i="84"/>
  <c r="D519" i="84"/>
  <c r="G519" i="84"/>
  <c r="D513" i="84"/>
  <c r="G513" i="84"/>
  <c r="D511" i="84"/>
  <c r="G511" i="84"/>
  <c r="D505" i="84"/>
  <c r="G505" i="84"/>
  <c r="D503" i="84"/>
  <c r="G503" i="84"/>
  <c r="D501" i="84"/>
  <c r="G501" i="84"/>
  <c r="D499" i="84"/>
  <c r="G499" i="84"/>
  <c r="D496" i="84"/>
  <c r="G496" i="84"/>
  <c r="D495" i="84"/>
  <c r="G495" i="84"/>
  <c r="D494" i="84"/>
  <c r="G494" i="84"/>
  <c r="D489" i="84"/>
  <c r="G489" i="84"/>
  <c r="D488" i="84"/>
  <c r="G488" i="84"/>
  <c r="D487" i="84"/>
  <c r="G487" i="84"/>
  <c r="D485" i="84"/>
  <c r="G485" i="84"/>
  <c r="D484" i="84"/>
  <c r="G484" i="84"/>
  <c r="E482" i="84"/>
  <c r="D482" i="84"/>
  <c r="E481" i="84"/>
  <c r="G481" i="84"/>
  <c r="E480" i="84"/>
  <c r="D480" i="84"/>
  <c r="E479" i="84"/>
  <c r="G479" i="84"/>
  <c r="E478" i="84"/>
  <c r="D478" i="84"/>
  <c r="D463" i="84"/>
  <c r="G463" i="84"/>
  <c r="D461" i="84"/>
  <c r="G461" i="84"/>
  <c r="D460" i="84"/>
  <c r="G460" i="84"/>
  <c r="D459" i="84"/>
  <c r="G459" i="84"/>
  <c r="D458" i="84"/>
  <c r="G458" i="84"/>
  <c r="D457" i="84"/>
  <c r="G457" i="84"/>
  <c r="D456" i="84"/>
  <c r="G456" i="84"/>
  <c r="D455" i="84"/>
  <c r="G455" i="84"/>
  <c r="D450" i="84"/>
  <c r="G450" i="84"/>
  <c r="D448" i="84"/>
  <c r="G448" i="84"/>
  <c r="D447" i="84"/>
  <c r="G447" i="84"/>
  <c r="D446" i="84"/>
  <c r="G446" i="84"/>
  <c r="D439" i="84"/>
  <c r="G439" i="84"/>
  <c r="D437" i="84"/>
  <c r="G437" i="84"/>
  <c r="D435" i="84"/>
  <c r="G435" i="84"/>
  <c r="D431" i="84"/>
  <c r="G431" i="84"/>
  <c r="D421" i="84"/>
  <c r="G421" i="84"/>
  <c r="D420" i="84"/>
  <c r="G420" i="84"/>
  <c r="C368" i="84"/>
  <c r="G368" i="84"/>
  <c r="C366" i="84"/>
  <c r="G366" i="84"/>
  <c r="D303" i="84"/>
  <c r="G303" i="84"/>
  <c r="D304" i="84"/>
  <c r="G304" i="84"/>
  <c r="D305" i="84"/>
  <c r="G305" i="84"/>
  <c r="D306" i="84"/>
  <c r="G306" i="84"/>
  <c r="D311" i="84"/>
  <c r="G311" i="84"/>
  <c r="D312" i="84"/>
  <c r="G312" i="84"/>
  <c r="D313" i="84"/>
  <c r="G313" i="84"/>
  <c r="D314" i="84"/>
  <c r="G314" i="84"/>
  <c r="C316" i="84"/>
  <c r="G316" i="84"/>
  <c r="D318" i="84"/>
  <c r="G318" i="84"/>
  <c r="D319" i="84"/>
  <c r="G319" i="84"/>
  <c r="D320" i="84"/>
  <c r="G320" i="84"/>
  <c r="D321" i="84"/>
  <c r="G321" i="84"/>
  <c r="D326" i="84"/>
  <c r="G326" i="84"/>
  <c r="D327" i="84"/>
  <c r="G327" i="84"/>
  <c r="D328" i="84"/>
  <c r="G328" i="84"/>
  <c r="D329" i="84"/>
  <c r="G329" i="84"/>
  <c r="C331" i="84"/>
  <c r="G331" i="84"/>
  <c r="D332" i="84"/>
  <c r="E332" i="84"/>
  <c r="D333" i="84"/>
  <c r="E333" i="84"/>
  <c r="D301" i="84"/>
  <c r="G301" i="84"/>
  <c r="G300" i="84"/>
  <c r="D299" i="84"/>
  <c r="G299" i="84" s="1"/>
  <c r="D298" i="84"/>
  <c r="G298" i="84" s="1"/>
  <c r="D297" i="84"/>
  <c r="G297" i="84" s="1"/>
  <c r="G296" i="84"/>
  <c r="D295" i="84"/>
  <c r="G295" i="84"/>
  <c r="G294" i="84"/>
  <c r="D293" i="84"/>
  <c r="G293" i="84" s="1"/>
  <c r="D292" i="84"/>
  <c r="G292" i="84" s="1"/>
  <c r="D291" i="84"/>
  <c r="G291" i="84" s="1"/>
  <c r="G290" i="84"/>
  <c r="E289" i="84"/>
  <c r="D289" i="84"/>
  <c r="E288" i="84"/>
  <c r="D288" i="84"/>
  <c r="E287" i="84"/>
  <c r="D287" i="84"/>
  <c r="E286" i="84"/>
  <c r="D286" i="84"/>
  <c r="G285" i="84"/>
  <c r="E284" i="84"/>
  <c r="G284" i="84" s="1"/>
  <c r="E283" i="84"/>
  <c r="D283" i="84"/>
  <c r="E282" i="84"/>
  <c r="D282" i="84"/>
  <c r="E281" i="84"/>
  <c r="D281" i="84"/>
  <c r="E280" i="84"/>
  <c r="D280" i="84"/>
  <c r="G279" i="84"/>
  <c r="G278" i="84"/>
  <c r="E277" i="84"/>
  <c r="D277" i="84"/>
  <c r="E276" i="84"/>
  <c r="D276" i="84"/>
  <c r="G276" i="84"/>
  <c r="E275" i="84"/>
  <c r="D275" i="84"/>
  <c r="E274" i="84"/>
  <c r="D274" i="84"/>
  <c r="G273" i="84"/>
  <c r="E272" i="84"/>
  <c r="G272" i="84" s="1"/>
  <c r="E271" i="84"/>
  <c r="D271" i="84"/>
  <c r="E270" i="84"/>
  <c r="D270" i="84"/>
  <c r="E269" i="84"/>
  <c r="D269" i="84"/>
  <c r="E268" i="84"/>
  <c r="D268" i="84"/>
  <c r="G267" i="84"/>
  <c r="G266" i="84"/>
  <c r="G265" i="84"/>
  <c r="G264" i="84"/>
  <c r="G263" i="84"/>
  <c r="G262" i="84"/>
  <c r="G261" i="84"/>
  <c r="G260" i="84"/>
  <c r="G259" i="84"/>
  <c r="G258" i="84"/>
  <c r="G257" i="84"/>
  <c r="G256" i="84"/>
  <c r="G255" i="84"/>
  <c r="G254" i="84"/>
  <c r="G253" i="84"/>
  <c r="G252" i="84"/>
  <c r="G251" i="84"/>
  <c r="G250" i="84"/>
  <c r="G249" i="84"/>
  <c r="G248" i="84"/>
  <c r="G247" i="84"/>
  <c r="G246" i="84"/>
  <c r="G245" i="84"/>
  <c r="G244" i="84"/>
  <c r="G243" i="84"/>
  <c r="D242" i="84"/>
  <c r="G242" i="84"/>
  <c r="G241" i="84"/>
  <c r="G240" i="84"/>
  <c r="G239" i="84"/>
  <c r="G238" i="84"/>
  <c r="D237" i="84"/>
  <c r="G237" i="84"/>
  <c r="G236" i="84"/>
  <c r="G235" i="84"/>
  <c r="G234" i="84"/>
  <c r="G233" i="84"/>
  <c r="D232" i="84"/>
  <c r="G232" i="84"/>
  <c r="D231" i="84"/>
  <c r="G231" i="84"/>
  <c r="D230" i="84"/>
  <c r="G230" i="84"/>
  <c r="D229" i="84"/>
  <c r="G229" i="84"/>
  <c r="D228" i="84"/>
  <c r="G228" i="84"/>
  <c r="D227" i="84"/>
  <c r="G227" i="84"/>
  <c r="G226" i="84"/>
  <c r="G225" i="84"/>
  <c r="G224" i="84"/>
  <c r="D223" i="84"/>
  <c r="G223" i="84" s="1"/>
  <c r="D222" i="84"/>
  <c r="G222" i="84" s="1"/>
  <c r="G221" i="84"/>
  <c r="G220" i="84"/>
  <c r="D219" i="84"/>
  <c r="G219" i="84" s="1"/>
  <c r="D218" i="84"/>
  <c r="G218" i="84" s="1"/>
  <c r="D217" i="84"/>
  <c r="G217" i="84" s="1"/>
  <c r="D216" i="84"/>
  <c r="G216" i="84" s="1"/>
  <c r="G215" i="84"/>
  <c r="G214" i="84"/>
  <c r="G213" i="84"/>
  <c r="D212" i="84"/>
  <c r="G212" i="84"/>
  <c r="G211" i="84"/>
  <c r="D210" i="84"/>
  <c r="G210" i="84" s="1"/>
  <c r="G209" i="84"/>
  <c r="D208" i="84"/>
  <c r="G208" i="84"/>
  <c r="G207" i="84"/>
  <c r="D206" i="84"/>
  <c r="G206" i="84" s="1"/>
  <c r="G205" i="84"/>
  <c r="D204" i="84"/>
  <c r="G204" i="84"/>
  <c r="G203" i="84"/>
  <c r="D202" i="84"/>
  <c r="G202" i="84" s="1"/>
  <c r="G201" i="84"/>
  <c r="D200" i="84"/>
  <c r="G200" i="84"/>
  <c r="G199" i="84"/>
  <c r="G198" i="84"/>
  <c r="D197" i="84"/>
  <c r="G197" i="84"/>
  <c r="D196" i="84"/>
  <c r="G196" i="84"/>
  <c r="G195" i="84"/>
  <c r="D194" i="84"/>
  <c r="G194" i="84" s="1"/>
  <c r="G193" i="84"/>
  <c r="D192" i="84"/>
  <c r="G192" i="84"/>
  <c r="D191" i="84"/>
  <c r="G191" i="84"/>
  <c r="G190" i="84"/>
  <c r="E189" i="84"/>
  <c r="D189" i="84"/>
  <c r="E188" i="84"/>
  <c r="G188" i="84" s="1"/>
  <c r="E187" i="84"/>
  <c r="G187" i="84" s="1"/>
  <c r="E186" i="84"/>
  <c r="D186" i="84"/>
  <c r="E185" i="84"/>
  <c r="D185" i="84"/>
  <c r="D184" i="84"/>
  <c r="G184" i="84" s="1"/>
  <c r="D183" i="84"/>
  <c r="G183" i="84" s="1"/>
  <c r="E182" i="84"/>
  <c r="D182" i="84"/>
  <c r="E181" i="84"/>
  <c r="G181" i="84" s="1"/>
  <c r="E180" i="84"/>
  <c r="D180" i="84"/>
  <c r="D179" i="84"/>
  <c r="G179" i="84" s="1"/>
  <c r="G178" i="84"/>
  <c r="G177" i="84"/>
  <c r="E176" i="84"/>
  <c r="G176" i="84" s="1"/>
  <c r="E175" i="84"/>
  <c r="G175" i="84" s="1"/>
  <c r="E174" i="84"/>
  <c r="D174" i="84"/>
  <c r="E173" i="84"/>
  <c r="G173" i="84" s="1"/>
  <c r="E172" i="84"/>
  <c r="G172" i="84" s="1"/>
  <c r="E171" i="84"/>
  <c r="G171" i="84" s="1"/>
  <c r="E170" i="84"/>
  <c r="G170" i="84" s="1"/>
  <c r="E169" i="84"/>
  <c r="D169" i="84"/>
  <c r="E168" i="84"/>
  <c r="G168" i="84" s="1"/>
  <c r="E167" i="84"/>
  <c r="G167" i="84" s="1"/>
  <c r="E166" i="84"/>
  <c r="G166" i="84" s="1"/>
  <c r="E165" i="84"/>
  <c r="G165" i="84" s="1"/>
  <c r="E164" i="84"/>
  <c r="D164" i="84"/>
  <c r="E163" i="84"/>
  <c r="D163" i="84"/>
  <c r="E162" i="84"/>
  <c r="D162" i="84"/>
  <c r="E161" i="84"/>
  <c r="D161" i="84"/>
  <c r="E160" i="84"/>
  <c r="D160" i="84"/>
  <c r="E159" i="84"/>
  <c r="D159" i="84"/>
  <c r="E158" i="84"/>
  <c r="G158" i="84" s="1"/>
  <c r="E157" i="84"/>
  <c r="G157" i="84" s="1"/>
  <c r="E156" i="84"/>
  <c r="G156" i="84" s="1"/>
  <c r="E155" i="84"/>
  <c r="D155" i="84"/>
  <c r="E154" i="84"/>
  <c r="D154" i="84"/>
  <c r="E153" i="84"/>
  <c r="G153" i="84" s="1"/>
  <c r="E152" i="84"/>
  <c r="D152" i="84"/>
  <c r="E151" i="84"/>
  <c r="D151" i="84"/>
  <c r="E150" i="84"/>
  <c r="D150" i="84"/>
  <c r="E149" i="84"/>
  <c r="D149" i="84"/>
  <c r="E148" i="84"/>
  <c r="G148" i="84" s="1"/>
  <c r="E147" i="84"/>
  <c r="G147" i="84" s="1"/>
  <c r="E146" i="84"/>
  <c r="G146" i="84" s="1"/>
  <c r="E145" i="84"/>
  <c r="G145" i="84" s="1"/>
  <c r="E144" i="84"/>
  <c r="G144" i="84" s="1"/>
  <c r="E143" i="84"/>
  <c r="D143" i="84"/>
  <c r="E142" i="84"/>
  <c r="G142" i="84" s="1"/>
  <c r="E141" i="84"/>
  <c r="D141" i="84"/>
  <c r="E140" i="84"/>
  <c r="G140" i="84" s="1"/>
  <c r="E139" i="84"/>
  <c r="D139" i="84"/>
  <c r="E138" i="84"/>
  <c r="G138" i="84" s="1"/>
  <c r="E137" i="84"/>
  <c r="D137" i="84"/>
  <c r="E136" i="84"/>
  <c r="G136" i="84" s="1"/>
  <c r="E135" i="84"/>
  <c r="D135" i="84"/>
  <c r="E134" i="84"/>
  <c r="G134" i="84" s="1"/>
  <c r="E133" i="84"/>
  <c r="G133" i="84" s="1"/>
  <c r="E132" i="84"/>
  <c r="G132" i="84" s="1"/>
  <c r="E131" i="84"/>
  <c r="G131" i="84" s="1"/>
  <c r="E130" i="84"/>
  <c r="D130" i="84"/>
  <c r="E129" i="84"/>
  <c r="D129" i="84"/>
  <c r="E128" i="84"/>
  <c r="G128" i="84" s="1"/>
  <c r="E127" i="84"/>
  <c r="D127" i="84"/>
  <c r="E126" i="84"/>
  <c r="G126" i="84" s="1"/>
  <c r="E125" i="84"/>
  <c r="D125" i="84"/>
  <c r="E124" i="84"/>
  <c r="D124" i="84"/>
  <c r="G123" i="84"/>
  <c r="E122" i="84"/>
  <c r="D122" i="84"/>
  <c r="E121" i="84"/>
  <c r="D121" i="84"/>
  <c r="E120" i="84"/>
  <c r="D120" i="84"/>
  <c r="E119" i="84"/>
  <c r="D119" i="84"/>
  <c r="E118" i="84"/>
  <c r="D118" i="84"/>
  <c r="E117" i="84"/>
  <c r="D117" i="84"/>
  <c r="E116" i="84"/>
  <c r="D116" i="84"/>
  <c r="I111" i="85"/>
  <c r="L103" i="85"/>
  <c r="K40" i="85"/>
  <c r="K41" i="85"/>
  <c r="K55" i="85"/>
  <c r="K56" i="85"/>
  <c r="K58" i="85"/>
  <c r="K112" i="85"/>
  <c r="K115" i="85"/>
  <c r="K117" i="85"/>
  <c r="K119" i="85"/>
  <c r="K148" i="85"/>
  <c r="K149" i="85"/>
  <c r="K150" i="85"/>
  <c r="K165" i="85"/>
  <c r="K166" i="85"/>
  <c r="K167" i="85"/>
  <c r="K168" i="85"/>
  <c r="G173" i="85"/>
  <c r="K173" i="85" s="1"/>
  <c r="J173" i="85" s="1"/>
  <c r="G174" i="85"/>
  <c r="K174" i="85" s="1"/>
  <c r="J174" i="85" s="1"/>
  <c r="G175" i="85"/>
  <c r="K175" i="85" s="1"/>
  <c r="J175" i="85" s="1"/>
  <c r="G176" i="85"/>
  <c r="K176" i="85" s="1"/>
  <c r="J176" i="85" s="1"/>
  <c r="G177" i="85"/>
  <c r="K177" i="85" s="1"/>
  <c r="J177" i="85" s="1"/>
  <c r="G178" i="85"/>
  <c r="K178" i="85" s="1"/>
  <c r="J178" i="85" s="1"/>
  <c r="G179" i="85"/>
  <c r="G180" i="85"/>
  <c r="K180" i="85"/>
  <c r="G181" i="85"/>
  <c r="K181" i="85"/>
  <c r="G182" i="85"/>
  <c r="K182" i="85"/>
  <c r="K186" i="85"/>
  <c r="K187" i="85"/>
  <c r="K188" i="85"/>
  <c r="K211" i="85"/>
  <c r="K212" i="85"/>
  <c r="K247" i="85"/>
  <c r="K248" i="85"/>
  <c r="K79" i="85"/>
  <c r="K99" i="85"/>
  <c r="K113" i="85"/>
  <c r="K122" i="85"/>
  <c r="J122" i="85"/>
  <c r="K132" i="85"/>
  <c r="K141" i="85"/>
  <c r="K163" i="85"/>
  <c r="K179" i="85"/>
  <c r="K183" i="85"/>
  <c r="K195" i="85"/>
  <c r="K213" i="85"/>
  <c r="K256" i="85"/>
  <c r="K39" i="85"/>
  <c r="K42" i="85"/>
  <c r="K43" i="85"/>
  <c r="K57" i="85"/>
  <c r="K86" i="85"/>
  <c r="K93" i="85"/>
  <c r="J93" i="85" s="1"/>
  <c r="K106" i="85"/>
  <c r="K110" i="85"/>
  <c r="K116" i="85"/>
  <c r="K118" i="85"/>
  <c r="K120" i="85"/>
  <c r="K139" i="85"/>
  <c r="K143" i="85"/>
  <c r="K145" i="85"/>
  <c r="K147" i="85"/>
  <c r="K151" i="85"/>
  <c r="K169" i="85"/>
  <c r="K170" i="85"/>
  <c r="K185" i="85"/>
  <c r="K189" i="85"/>
  <c r="K200" i="85"/>
  <c r="K204" i="85"/>
  <c r="K206" i="85"/>
  <c r="K208" i="85"/>
  <c r="K227" i="85"/>
  <c r="K230" i="85"/>
  <c r="J230" i="85"/>
  <c r="K233" i="85"/>
  <c r="J233" i="85" s="1"/>
  <c r="K239" i="85"/>
  <c r="K246" i="85"/>
  <c r="K249" i="85"/>
  <c r="K254" i="85"/>
  <c r="K263" i="85"/>
  <c r="G4273" i="84"/>
  <c r="G4275" i="84"/>
  <c r="G304" i="85" s="1"/>
  <c r="E4265" i="84"/>
  <c r="G4265" i="84" s="1"/>
  <c r="D4242" i="84"/>
  <c r="G4242" i="84" s="1"/>
  <c r="D4240" i="84"/>
  <c r="G4240" i="84" s="1"/>
  <c r="D4239" i="84"/>
  <c r="G4239" i="84" s="1"/>
  <c r="D4238" i="84"/>
  <c r="G4238" i="84" s="1"/>
  <c r="C4234" i="84"/>
  <c r="G4234" i="84" s="1"/>
  <c r="D4228" i="84"/>
  <c r="G4228" i="84" s="1"/>
  <c r="D4226" i="84"/>
  <c r="G4226" i="84" s="1"/>
  <c r="D4225" i="84"/>
  <c r="G4225" i="84" s="1"/>
  <c r="D4224" i="84"/>
  <c r="G4224" i="84" s="1"/>
  <c r="D4186" i="84"/>
  <c r="G4186" i="84" s="1"/>
  <c r="D4184" i="84"/>
  <c r="G4184" i="84" s="1"/>
  <c r="D4183" i="84"/>
  <c r="G4183" i="84" s="1"/>
  <c r="D4182" i="84"/>
  <c r="G4182" i="84" s="1"/>
  <c r="C4178" i="84"/>
  <c r="G4178" i="84" s="1"/>
  <c r="C4177" i="84"/>
  <c r="G4177" i="84" s="1"/>
  <c r="G4176" i="84"/>
  <c r="D4165" i="84"/>
  <c r="G4165" i="84"/>
  <c r="E4160" i="84"/>
  <c r="D4160" i="84"/>
  <c r="E4155" i="84"/>
  <c r="D4155" i="84"/>
  <c r="D4154" i="84"/>
  <c r="G4154" i="84"/>
  <c r="D4153" i="84"/>
  <c r="G4153" i="84"/>
  <c r="D4152" i="84"/>
  <c r="G4152" i="84"/>
  <c r="E4150" i="84"/>
  <c r="D4150" i="84"/>
  <c r="E4149" i="84"/>
  <c r="D4149" i="84"/>
  <c r="C4146" i="84"/>
  <c r="G4146" i="84"/>
  <c r="C4145" i="84"/>
  <c r="G4145" i="84"/>
  <c r="C4143" i="84"/>
  <c r="G4143" i="84"/>
  <c r="C4142" i="84"/>
  <c r="G4142" i="84"/>
  <c r="C4140" i="84"/>
  <c r="G4140" i="84"/>
  <c r="C4139" i="84"/>
  <c r="G4139" i="84"/>
  <c r="G4138" i="84"/>
  <c r="D3943" i="84"/>
  <c r="G3943" i="84" s="1"/>
  <c r="D3941" i="84"/>
  <c r="G3941" i="84" s="1"/>
  <c r="D3938" i="84"/>
  <c r="G3938" i="84" s="1"/>
  <c r="D3935" i="84"/>
  <c r="G3935" i="84" s="1"/>
  <c r="D3925" i="84"/>
  <c r="G3925" i="84" s="1"/>
  <c r="D3924" i="84"/>
  <c r="G3924" i="84" s="1"/>
  <c r="D3922" i="84"/>
  <c r="G3922" i="84" s="1"/>
  <c r="G3919" i="84"/>
  <c r="G1247" i="84"/>
  <c r="G1246" i="84"/>
  <c r="G1245" i="84"/>
  <c r="G1244" i="84"/>
  <c r="G1243" i="84"/>
  <c r="G1242" i="84"/>
  <c r="G1241" i="84"/>
  <c r="G1240" i="84"/>
  <c r="G1239" i="84"/>
  <c r="D366" i="84"/>
  <c r="G367" i="84"/>
  <c r="D368" i="84"/>
  <c r="G3692" i="84"/>
  <c r="G3693" i="84"/>
  <c r="G3694" i="84"/>
  <c r="G3695" i="84"/>
  <c r="G3700" i="84"/>
  <c r="G3701" i="84"/>
  <c r="G3702" i="84"/>
  <c r="G3707" i="84"/>
  <c r="G3708" i="84"/>
  <c r="G3709" i="84"/>
  <c r="G3714" i="84"/>
  <c r="G3715" i="84"/>
  <c r="G3716" i="84"/>
  <c r="G3720" i="84"/>
  <c r="G3724" i="84"/>
  <c r="D1267" i="84"/>
  <c r="G1267" i="84" s="1"/>
  <c r="D1263" i="84"/>
  <c r="G1263" i="84" s="1"/>
  <c r="G1252" i="84"/>
  <c r="D3713" i="84"/>
  <c r="G3713" i="84"/>
  <c r="D3712" i="84"/>
  <c r="G3712" i="84"/>
  <c r="D3711" i="84"/>
  <c r="G3711" i="84"/>
  <c r="D3710" i="84"/>
  <c r="G3710" i="84"/>
  <c r="D3706" i="84"/>
  <c r="G3706" i="84"/>
  <c r="D3705" i="84"/>
  <c r="G3705" i="84"/>
  <c r="D3704" i="84"/>
  <c r="G3704" i="84"/>
  <c r="D3703" i="84"/>
  <c r="G3703" i="84"/>
  <c r="D3699" i="84"/>
  <c r="G3699" i="84"/>
  <c r="D3698" i="84"/>
  <c r="G3698" i="84"/>
  <c r="D3697" i="84"/>
  <c r="G3697" i="84"/>
  <c r="D3696" i="84"/>
  <c r="G3696" i="84"/>
  <c r="G3691" i="84"/>
  <c r="D3726" i="84"/>
  <c r="G3726" i="84" s="1"/>
  <c r="D3725" i="84"/>
  <c r="G3725" i="84" s="1"/>
  <c r="G3723" i="84"/>
  <c r="E3722" i="84"/>
  <c r="D3722" i="84"/>
  <c r="E3721" i="84"/>
  <c r="D3721" i="84"/>
  <c r="E3719" i="84"/>
  <c r="D3719" i="84"/>
  <c r="E3717" i="84"/>
  <c r="D3717" i="84"/>
  <c r="G3590" i="84"/>
  <c r="G3609" i="84"/>
  <c r="G228" i="85" s="1"/>
  <c r="C3552" i="84"/>
  <c r="G3552" i="84" s="1"/>
  <c r="G3551" i="84"/>
  <c r="C3546" i="84"/>
  <c r="G3546" i="84"/>
  <c r="G3545" i="84"/>
  <c r="G3532" i="84"/>
  <c r="G3535" i="84" s="1"/>
  <c r="G196" i="85" s="1"/>
  <c r="F196" i="85" s="1"/>
  <c r="G3524" i="84"/>
  <c r="C3497" i="84"/>
  <c r="G3497" i="84" s="1"/>
  <c r="C3499" i="84"/>
  <c r="G3499" i="84" s="1"/>
  <c r="C3502" i="84"/>
  <c r="G3502" i="84" s="1"/>
  <c r="C3503" i="84"/>
  <c r="C3507" i="84"/>
  <c r="G3507" i="84"/>
  <c r="C3508" i="84"/>
  <c r="C3512" i="84"/>
  <c r="G3512" i="84" s="1"/>
  <c r="C3513" i="84"/>
  <c r="C3517" i="84"/>
  <c r="G3517" i="84"/>
  <c r="C3518" i="84"/>
  <c r="E3490" i="84"/>
  <c r="D3490" i="84"/>
  <c r="E3489" i="84"/>
  <c r="D3489" i="84"/>
  <c r="E3488" i="84"/>
  <c r="D3488" i="84"/>
  <c r="E3485" i="84"/>
  <c r="G3485" i="84" s="1"/>
  <c r="D3484" i="84"/>
  <c r="G3484" i="84" s="1"/>
  <c r="E3483" i="84"/>
  <c r="D3483" i="84"/>
  <c r="E3482" i="84"/>
  <c r="D3482" i="84"/>
  <c r="E3477" i="84"/>
  <c r="D3477" i="84"/>
  <c r="E3476" i="84"/>
  <c r="D3476" i="84"/>
  <c r="G3475" i="84"/>
  <c r="G3389" i="84"/>
  <c r="G3388" i="84"/>
  <c r="D3367" i="84"/>
  <c r="G3367" i="84"/>
  <c r="D3366" i="84"/>
  <c r="G3366" i="84"/>
  <c r="D3363" i="84"/>
  <c r="G3363" i="84"/>
  <c r="D3362" i="84"/>
  <c r="G3362" i="84"/>
  <c r="D3361" i="84"/>
  <c r="G3361" i="84"/>
  <c r="D3360" i="84"/>
  <c r="G3360" i="84"/>
  <c r="G3359" i="84"/>
  <c r="G3354" i="84"/>
  <c r="D3353" i="84"/>
  <c r="G3353" i="84"/>
  <c r="D3347" i="84"/>
  <c r="G3347" i="84"/>
  <c r="D3340" i="84"/>
  <c r="G3340" i="84"/>
  <c r="D3334" i="84"/>
  <c r="G3334" i="84"/>
  <c r="D3326" i="84"/>
  <c r="G3326" i="84"/>
  <c r="D3310" i="84"/>
  <c r="G3310" i="84"/>
  <c r="D3306" i="84"/>
  <c r="G3306" i="84"/>
  <c r="D3302" i="84"/>
  <c r="G3302" i="84"/>
  <c r="D3301" i="84"/>
  <c r="G3301" i="84"/>
  <c r="D3293" i="84"/>
  <c r="G3293" i="84"/>
  <c r="D3289" i="84"/>
  <c r="G3289" i="84"/>
  <c r="D3207" i="84"/>
  <c r="G3207" i="84"/>
  <c r="D3203" i="84"/>
  <c r="G3203" i="84"/>
  <c r="D3199" i="84"/>
  <c r="G3199" i="84"/>
  <c r="D3198" i="84"/>
  <c r="G3198" i="84"/>
  <c r="D3190" i="84"/>
  <c r="G3190" i="84"/>
  <c r="D3186" i="84"/>
  <c r="G3186" i="84"/>
  <c r="D3102" i="84"/>
  <c r="G3102" i="84"/>
  <c r="D3098" i="84"/>
  <c r="G3098" i="84"/>
  <c r="D3094" i="84"/>
  <c r="G3094" i="84"/>
  <c r="D3093" i="84"/>
  <c r="G3093" i="84"/>
  <c r="D3085" i="84"/>
  <c r="G3085" i="84"/>
  <c r="D3081" i="84"/>
  <c r="G3081" i="84"/>
  <c r="G3009" i="84"/>
  <c r="D2977" i="84"/>
  <c r="G2977" i="84" s="1"/>
  <c r="D2965" i="84"/>
  <c r="G2965" i="84" s="1"/>
  <c r="D2962" i="84"/>
  <c r="G2962" i="84" s="1"/>
  <c r="D2954" i="84"/>
  <c r="G2954" i="84" s="1"/>
  <c r="C2940" i="84"/>
  <c r="G2940" i="84" s="1"/>
  <c r="C2939" i="84"/>
  <c r="G2939" i="84" s="1"/>
  <c r="D2937" i="84"/>
  <c r="G2937" i="84" s="1"/>
  <c r="D2924" i="84"/>
  <c r="G2924" i="84" s="1"/>
  <c r="D2911" i="84"/>
  <c r="G2911" i="84" s="1"/>
  <c r="D2898" i="84"/>
  <c r="G2898" i="84" s="1"/>
  <c r="D2885" i="84"/>
  <c r="G2885" i="84" s="1"/>
  <c r="D2872" i="84"/>
  <c r="G2872" i="84" s="1"/>
  <c r="G2861" i="84"/>
  <c r="G2859" i="84"/>
  <c r="E2845" i="84"/>
  <c r="D2845" i="84"/>
  <c r="D2844" i="84"/>
  <c r="G2844" i="84" s="1"/>
  <c r="E2842" i="84"/>
  <c r="D2842" i="84"/>
  <c r="E2840" i="84"/>
  <c r="D2840" i="84"/>
  <c r="D2839" i="84"/>
  <c r="G2839" i="84" s="1"/>
  <c r="E2837" i="84"/>
  <c r="D2837" i="84"/>
  <c r="E2835" i="84"/>
  <c r="D2835" i="84"/>
  <c r="D2834" i="84"/>
  <c r="G2834" i="84" s="1"/>
  <c r="E2832" i="84"/>
  <c r="D2832" i="84"/>
  <c r="E2830" i="84"/>
  <c r="D2830" i="84"/>
  <c r="D2829" i="84"/>
  <c r="G2829" i="84" s="1"/>
  <c r="E2827" i="84"/>
  <c r="D2827" i="84"/>
  <c r="E2825" i="84"/>
  <c r="D2825" i="84"/>
  <c r="D2824" i="84"/>
  <c r="G2824" i="84" s="1"/>
  <c r="E2822" i="84"/>
  <c r="D2822" i="84"/>
  <c r="E2820" i="84"/>
  <c r="D2820" i="84"/>
  <c r="D2819" i="84"/>
  <c r="G2819" i="84" s="1"/>
  <c r="E2817" i="84"/>
  <c r="D2817" i="84"/>
  <c r="D2812" i="84"/>
  <c r="G2812" i="84" s="1"/>
  <c r="D2811" i="84"/>
  <c r="G2811" i="84" s="1"/>
  <c r="D2809" i="84"/>
  <c r="G2809" i="84" s="1"/>
  <c r="D2807" i="84"/>
  <c r="G2807" i="84" s="1"/>
  <c r="D2806" i="84"/>
  <c r="G2806" i="84" s="1"/>
  <c r="D2805" i="84"/>
  <c r="G2805" i="84" s="1"/>
  <c r="D2803" i="84"/>
  <c r="G2803" i="84" s="1"/>
  <c r="D2766" i="84"/>
  <c r="G2766" i="84" s="1"/>
  <c r="D2765" i="84"/>
  <c r="G2765" i="84" s="1"/>
  <c r="D2763" i="84"/>
  <c r="G2763" i="84" s="1"/>
  <c r="D2761" i="84"/>
  <c r="G2761" i="84" s="1"/>
  <c r="D2760" i="84"/>
  <c r="G2760" i="84" s="1"/>
  <c r="D2759" i="84"/>
  <c r="G2759" i="84" s="1"/>
  <c r="D2757" i="84"/>
  <c r="G2757" i="84" s="1"/>
  <c r="E2721" i="84"/>
  <c r="G2721" i="84" s="1"/>
  <c r="D2719" i="84"/>
  <c r="G2719" i="84" s="1"/>
  <c r="D2718" i="84"/>
  <c r="G2718" i="84" s="1"/>
  <c r="D2716" i="84"/>
  <c r="G2716" i="84" s="1"/>
  <c r="D2714" i="84"/>
  <c r="G2714" i="84" s="1"/>
  <c r="D2713" i="84"/>
  <c r="G2713" i="84" s="1"/>
  <c r="D2712" i="84"/>
  <c r="G2712" i="84" s="1"/>
  <c r="D2710" i="84"/>
  <c r="G2710" i="84" s="1"/>
  <c r="E2682" i="84"/>
  <c r="D2682" i="84"/>
  <c r="J2677" i="84"/>
  <c r="G2671" i="84"/>
  <c r="D2649" i="84"/>
  <c r="G2649" i="84" s="1"/>
  <c r="D2648" i="84"/>
  <c r="G2648" i="84" s="1"/>
  <c r="D2647" i="84"/>
  <c r="G2647" i="84" s="1"/>
  <c r="D2646" i="84"/>
  <c r="G2646" i="84" s="1"/>
  <c r="D2643" i="84"/>
  <c r="G2643" i="84" s="1"/>
  <c r="D2642" i="84"/>
  <c r="G2642" i="84" s="1"/>
  <c r="D2641" i="84"/>
  <c r="G2641" i="84" s="1"/>
  <c r="D2640" i="84"/>
  <c r="G2640" i="84" s="1"/>
  <c r="D2639" i="84"/>
  <c r="G2639" i="84" s="1"/>
  <c r="D2638" i="84"/>
  <c r="G2638" i="84" s="1"/>
  <c r="E2634" i="84"/>
  <c r="G2634" i="84" s="1"/>
  <c r="E2633" i="84"/>
  <c r="D2633" i="84"/>
  <c r="E2632" i="84"/>
  <c r="D2632" i="84"/>
  <c r="E2631" i="84"/>
  <c r="D2631" i="84"/>
  <c r="E2630" i="84"/>
  <c r="G2630" i="84"/>
  <c r="E2629" i="84"/>
  <c r="D2629" i="84"/>
  <c r="E2628" i="84"/>
  <c r="D2628" i="84"/>
  <c r="E2627" i="84"/>
  <c r="G2627" i="84"/>
  <c r="E2626" i="84"/>
  <c r="G2626" i="84"/>
  <c r="E2625" i="84"/>
  <c r="G2625" i="84"/>
  <c r="E2624" i="84"/>
  <c r="D2624" i="84"/>
  <c r="E2623" i="84"/>
  <c r="G2623" i="84"/>
  <c r="E2622" i="84"/>
  <c r="G2622" i="84"/>
  <c r="E2621" i="84"/>
  <c r="D2621" i="84"/>
  <c r="E2620" i="84"/>
  <c r="G2620" i="84"/>
  <c r="E2619" i="84"/>
  <c r="G2619" i="84"/>
  <c r="E2618" i="84"/>
  <c r="G2618" i="84"/>
  <c r="E2617" i="84"/>
  <c r="D2617" i="84"/>
  <c r="E2616" i="84"/>
  <c r="D2616" i="84"/>
  <c r="D2610" i="84"/>
  <c r="G2610" i="84"/>
  <c r="D2609" i="84"/>
  <c r="G2609" i="84"/>
  <c r="D2605" i="84"/>
  <c r="G2605" i="84"/>
  <c r="D2600" i="84"/>
  <c r="G2600" i="84"/>
  <c r="D2599" i="84"/>
  <c r="G2599" i="84"/>
  <c r="D2598" i="84"/>
  <c r="G2598" i="84"/>
  <c r="D2597" i="84"/>
  <c r="G2597" i="84"/>
  <c r="D2581" i="84"/>
  <c r="G2581" i="84"/>
  <c r="D2579" i="84"/>
  <c r="G2579" i="84"/>
  <c r="D2577" i="84"/>
  <c r="G2577" i="84"/>
  <c r="D2574" i="84"/>
  <c r="G2574" i="84"/>
  <c r="D2569" i="84"/>
  <c r="G2569" i="84"/>
  <c r="E2568" i="84"/>
  <c r="G2568" i="84"/>
  <c r="E2560" i="84"/>
  <c r="G2560" i="84"/>
  <c r="D2555" i="84"/>
  <c r="G2555" i="84"/>
  <c r="D2547" i="84"/>
  <c r="G2547" i="84"/>
  <c r="D2545" i="84"/>
  <c r="G2545" i="84"/>
  <c r="D2538" i="84"/>
  <c r="G2538" i="84"/>
  <c r="D2536" i="84"/>
  <c r="G2536" i="84"/>
  <c r="D2528" i="84"/>
  <c r="G2528" i="84"/>
  <c r="D2526" i="84"/>
  <c r="G2526" i="84"/>
  <c r="D2524" i="84"/>
  <c r="G2524" i="84"/>
  <c r="D2522" i="84"/>
  <c r="G2522" i="84"/>
  <c r="D2520" i="84"/>
  <c r="G2520" i="84"/>
  <c r="D2517" i="84"/>
  <c r="G2517" i="84"/>
  <c r="D2512" i="84"/>
  <c r="G2512" i="84"/>
  <c r="D2510" i="84"/>
  <c r="G2510" i="84"/>
  <c r="D2506" i="84"/>
  <c r="G2506" i="84"/>
  <c r="D2505" i="84"/>
  <c r="G2505" i="84"/>
  <c r="D2503" i="84"/>
  <c r="G2503" i="84"/>
  <c r="D2493" i="84"/>
  <c r="G2493" i="84"/>
  <c r="D2491" i="84"/>
  <c r="G2491" i="84"/>
  <c r="D2490" i="84"/>
  <c r="G2490" i="84"/>
  <c r="D2488" i="84"/>
  <c r="G2488" i="84"/>
  <c r="D2487" i="84"/>
  <c r="G2487" i="84"/>
  <c r="D2460" i="84"/>
  <c r="G2460" i="84"/>
  <c r="D2459" i="84"/>
  <c r="G2459" i="84"/>
  <c r="D2457" i="84"/>
  <c r="G2457" i="84"/>
  <c r="D2456" i="84"/>
  <c r="G2456" i="84"/>
  <c r="D2452" i="84"/>
  <c r="G2452" i="84"/>
  <c r="D2451" i="84"/>
  <c r="G2451" i="84"/>
  <c r="D2446" i="84"/>
  <c r="G2446" i="84"/>
  <c r="D2438" i="84"/>
  <c r="G2438" i="84"/>
  <c r="D2437" i="84"/>
  <c r="G2437" i="84"/>
  <c r="D2430" i="84"/>
  <c r="G2430" i="84"/>
  <c r="F2408" i="84"/>
  <c r="G2408" i="84"/>
  <c r="F2407" i="84"/>
  <c r="D2407" i="84"/>
  <c r="D2406" i="84"/>
  <c r="G2406" i="84"/>
  <c r="F2403" i="84"/>
  <c r="G2403" i="84"/>
  <c r="F2402" i="84"/>
  <c r="G2402" i="84"/>
  <c r="F2401" i="84"/>
  <c r="G2401" i="84"/>
  <c r="F2400" i="84"/>
  <c r="G2400" i="84"/>
  <c r="F2398" i="84"/>
  <c r="G2398" i="84"/>
  <c r="D2391" i="84"/>
  <c r="G2391" i="84"/>
  <c r="F2385" i="84"/>
  <c r="G2385" i="84"/>
  <c r="F2383" i="84"/>
  <c r="G2383" i="84"/>
  <c r="F2381" i="84"/>
  <c r="G2381" i="84"/>
  <c r="F2380" i="84"/>
  <c r="G2380" i="84"/>
  <c r="F2377" i="84"/>
  <c r="G2377" i="84"/>
  <c r="D2367" i="84"/>
  <c r="G2367" i="84"/>
  <c r="D2354" i="84"/>
  <c r="G2354" i="84"/>
  <c r="D2353" i="84"/>
  <c r="G2353" i="84"/>
  <c r="D2352" i="84"/>
  <c r="G2352" i="84"/>
  <c r="D2350" i="84"/>
  <c r="G2350" i="84"/>
  <c r="D2346" i="84"/>
  <c r="G2346" i="84"/>
  <c r="D2345" i="84"/>
  <c r="G2345" i="84"/>
  <c r="D2344" i="84"/>
  <c r="G2344" i="84"/>
  <c r="D2341" i="84"/>
  <c r="G2341" i="84"/>
  <c r="D2334" i="84"/>
  <c r="G2334" i="84"/>
  <c r="D2326" i="84"/>
  <c r="G2326" i="84"/>
  <c r="D2325" i="84"/>
  <c r="G2325" i="84"/>
  <c r="F2317" i="84"/>
  <c r="G2317" i="84"/>
  <c r="F2316" i="84"/>
  <c r="D2316" i="84"/>
  <c r="D2315" i="84"/>
  <c r="G2315" i="84"/>
  <c r="F2312" i="84"/>
  <c r="G2312" i="84"/>
  <c r="F2311" i="84"/>
  <c r="G2311" i="84"/>
  <c r="F2310" i="84"/>
  <c r="G2310" i="84"/>
  <c r="F2309" i="84"/>
  <c r="G2309" i="84"/>
  <c r="F2307" i="84"/>
  <c r="G2307" i="84"/>
  <c r="D2300" i="84"/>
  <c r="G2300" i="84"/>
  <c r="F2294" i="84"/>
  <c r="G2294" i="84"/>
  <c r="F2292" i="84"/>
  <c r="G2292" i="84"/>
  <c r="F2290" i="84"/>
  <c r="G2290" i="84"/>
  <c r="F2289" i="84"/>
  <c r="G2289" i="84"/>
  <c r="F2287" i="84"/>
  <c r="C2287" i="84"/>
  <c r="G2287" i="84" s="1"/>
  <c r="F2285" i="84"/>
  <c r="G2285" i="84" s="1"/>
  <c r="D2275" i="84"/>
  <c r="G2275" i="84" s="1"/>
  <c r="D2266" i="84"/>
  <c r="G2266" i="84" s="1"/>
  <c r="D2265" i="84"/>
  <c r="G2265" i="84" s="1"/>
  <c r="D2250" i="84"/>
  <c r="G2250" i="84" s="1"/>
  <c r="D2236" i="84"/>
  <c r="G2236" i="84" s="1"/>
  <c r="D2235" i="84"/>
  <c r="G2235" i="84" s="1"/>
  <c r="D2224" i="84"/>
  <c r="G2224" i="84" s="1"/>
  <c r="D2214" i="84"/>
  <c r="G2214" i="84" s="1"/>
  <c r="D2212" i="84"/>
  <c r="G2212" i="84" s="1"/>
  <c r="D2211" i="84"/>
  <c r="G2211" i="84" s="1"/>
  <c r="D2208" i="84"/>
  <c r="G2208" i="84" s="1"/>
  <c r="D2204" i="84"/>
  <c r="G2204" i="84" s="1"/>
  <c r="D2203" i="84"/>
  <c r="G2203" i="84" s="1"/>
  <c r="D2192" i="84"/>
  <c r="G2192" i="84" s="1"/>
  <c r="D2184" i="84"/>
  <c r="G2184" i="84" s="1"/>
  <c r="D2183" i="84"/>
  <c r="G2183" i="84" s="1"/>
  <c r="D2180" i="84"/>
  <c r="G2180" i="84" s="1"/>
  <c r="C2175" i="84"/>
  <c r="G2175" i="84" s="1"/>
  <c r="D2174" i="84"/>
  <c r="C2174" i="84"/>
  <c r="D2173" i="84"/>
  <c r="C2173" i="84"/>
  <c r="C2172" i="84"/>
  <c r="G2172" i="84" s="1"/>
  <c r="C2171" i="84"/>
  <c r="G2171" i="84" s="1"/>
  <c r="C2170" i="84"/>
  <c r="G2170" i="84" s="1"/>
  <c r="D2169" i="84"/>
  <c r="C2169" i="84"/>
  <c r="D2168" i="84"/>
  <c r="G2168" i="84" s="1"/>
  <c r="C2167" i="84"/>
  <c r="G2167" i="84" s="1"/>
  <c r="C2166" i="84"/>
  <c r="G2166" i="84" s="1"/>
  <c r="C2165" i="84"/>
  <c r="G2165" i="84" s="1"/>
  <c r="C2164" i="84"/>
  <c r="G2164" i="84" s="1"/>
  <c r="D2158" i="84"/>
  <c r="G2158" i="84" s="1"/>
  <c r="D2132" i="84"/>
  <c r="G2132" i="84" s="1"/>
  <c r="D2121" i="84"/>
  <c r="G2121" i="84" s="1"/>
  <c r="D2094" i="84"/>
  <c r="G2094" i="84" s="1"/>
  <c r="D2085" i="84"/>
  <c r="G2085" i="84" s="1"/>
  <c r="D2083" i="84"/>
  <c r="G2083" i="84" s="1"/>
  <c r="D2082" i="84"/>
  <c r="G2082" i="84" s="1"/>
  <c r="D2077" i="84"/>
  <c r="G2077" i="84" s="1"/>
  <c r="D2075" i="84"/>
  <c r="G2075" i="84" s="1"/>
  <c r="D2064" i="84"/>
  <c r="G2064" i="84" s="1"/>
  <c r="D2063" i="84"/>
  <c r="G2063" i="84" s="1"/>
  <c r="D2062" i="84"/>
  <c r="G2062" i="84" s="1"/>
  <c r="D2061" i="84"/>
  <c r="G2061" i="84" s="1"/>
  <c r="D2060" i="84"/>
  <c r="G2060" i="84" s="1"/>
  <c r="D2059" i="84"/>
  <c r="G2059" i="84" s="1"/>
  <c r="D2058" i="84"/>
  <c r="G2058" i="84" s="1"/>
  <c r="D2057" i="84"/>
  <c r="G2057" i="84" s="1"/>
  <c r="D2045" i="84"/>
  <c r="G2045" i="84" s="1"/>
  <c r="D2030" i="84"/>
  <c r="G2030" i="84" s="1"/>
  <c r="D2029" i="84"/>
  <c r="G2029" i="84" s="1"/>
  <c r="D2028" i="84"/>
  <c r="G2028" i="84" s="1"/>
  <c r="D2027" i="84"/>
  <c r="G2027" i="84" s="1"/>
  <c r="D2026" i="84"/>
  <c r="G2026" i="84" s="1"/>
  <c r="D2025" i="84"/>
  <c r="G2025" i="84" s="1"/>
  <c r="D2020" i="84"/>
  <c r="G2020" i="84" s="1"/>
  <c r="D2014" i="84"/>
  <c r="G2014" i="84" s="1"/>
  <c r="D1987" i="84"/>
  <c r="G1987" i="84" s="1"/>
  <c r="G1984" i="84"/>
  <c r="D1969" i="84"/>
  <c r="G1969" i="84"/>
  <c r="D1968" i="84"/>
  <c r="G1968" i="84"/>
  <c r="D1967" i="84"/>
  <c r="G1967" i="84"/>
  <c r="D1966" i="84"/>
  <c r="G1966" i="84"/>
  <c r="D1963" i="84"/>
  <c r="G1963" i="84"/>
  <c r="D1962" i="84"/>
  <c r="G1962" i="84"/>
  <c r="D1961" i="84"/>
  <c r="G1961" i="84"/>
  <c r="D1960" i="84"/>
  <c r="G1960" i="84"/>
  <c r="D1959" i="84"/>
  <c r="G1959" i="84"/>
  <c r="D1958" i="84"/>
  <c r="G1958" i="84"/>
  <c r="E1954" i="84"/>
  <c r="G1954" i="84"/>
  <c r="E1953" i="84"/>
  <c r="D1953" i="84"/>
  <c r="E1952" i="84"/>
  <c r="D1952" i="84"/>
  <c r="E1951" i="84"/>
  <c r="D1951" i="84"/>
  <c r="E1950" i="84"/>
  <c r="G1950" i="84"/>
  <c r="E1949" i="84"/>
  <c r="D1949" i="84"/>
  <c r="E1948" i="84"/>
  <c r="D1948" i="84"/>
  <c r="E1947" i="84"/>
  <c r="G1947" i="84"/>
  <c r="E1946" i="84"/>
  <c r="G1946" i="84"/>
  <c r="E1945" i="84"/>
  <c r="G1945" i="84"/>
  <c r="E1944" i="84"/>
  <c r="D1944" i="84"/>
  <c r="E1943" i="84"/>
  <c r="G1943" i="84"/>
  <c r="E1942" i="84"/>
  <c r="G1942" i="84"/>
  <c r="E1941" i="84"/>
  <c r="D1941" i="84"/>
  <c r="E1940" i="84"/>
  <c r="G1940" i="84"/>
  <c r="E1939" i="84"/>
  <c r="G1939" i="84"/>
  <c r="E1938" i="84"/>
  <c r="G1938" i="84"/>
  <c r="E1937" i="84"/>
  <c r="D1937" i="84"/>
  <c r="E1936" i="84"/>
  <c r="D1936" i="84"/>
  <c r="D1930" i="84"/>
  <c r="G1930" i="84"/>
  <c r="D1929" i="84"/>
  <c r="G1929" i="84"/>
  <c r="D1925" i="84"/>
  <c r="G1925" i="84"/>
  <c r="D1918" i="84"/>
  <c r="G1918" i="84"/>
  <c r="D1917" i="84"/>
  <c r="G1917" i="84"/>
  <c r="D1916" i="84"/>
  <c r="G1916" i="84"/>
  <c r="D1915" i="84"/>
  <c r="G1915" i="84"/>
  <c r="D1899" i="84"/>
  <c r="G1899" i="84"/>
  <c r="D1897" i="84"/>
  <c r="G1897" i="84"/>
  <c r="D1895" i="84"/>
  <c r="G1895" i="84"/>
  <c r="D1892" i="84"/>
  <c r="G1892" i="84"/>
  <c r="D1887" i="84"/>
  <c r="G1887" i="84"/>
  <c r="E1886" i="84"/>
  <c r="G1886" i="84"/>
  <c r="E1878" i="84"/>
  <c r="G1878" i="84"/>
  <c r="D1873" i="84"/>
  <c r="G1873" i="84"/>
  <c r="D1866" i="84"/>
  <c r="G1866" i="84"/>
  <c r="D1864" i="84"/>
  <c r="G1864" i="84"/>
  <c r="D1857" i="84"/>
  <c r="G1857" i="84"/>
  <c r="D1855" i="84"/>
  <c r="G1855" i="84"/>
  <c r="D1847" i="84"/>
  <c r="G1847" i="84"/>
  <c r="D1845" i="84"/>
  <c r="G1845" i="84"/>
  <c r="D1843" i="84"/>
  <c r="G1843" i="84"/>
  <c r="D1841" i="84"/>
  <c r="G1841" i="84"/>
  <c r="D1839" i="84"/>
  <c r="G1839" i="84"/>
  <c r="D1836" i="84"/>
  <c r="G1836" i="84"/>
  <c r="D1778" i="84"/>
  <c r="G1778" i="84"/>
  <c r="C1776" i="84"/>
  <c r="G1776" i="84"/>
  <c r="D1769" i="84"/>
  <c r="G1769" i="84"/>
  <c r="D1766" i="84"/>
  <c r="G1766" i="84"/>
  <c r="D1760" i="84"/>
  <c r="G1760" i="84"/>
  <c r="D1759" i="84"/>
  <c r="G1759" i="84"/>
  <c r="D1756" i="84"/>
  <c r="G1756" i="84"/>
  <c r="D1738" i="84"/>
  <c r="G1738" i="84"/>
  <c r="D1728" i="84"/>
  <c r="G1728" i="84"/>
  <c r="D1719" i="84"/>
  <c r="G1719" i="84"/>
  <c r="D1707" i="84"/>
  <c r="G1707" i="84"/>
  <c r="D1706" i="84"/>
  <c r="G1706" i="84"/>
  <c r="D1705" i="84"/>
  <c r="G1705" i="84"/>
  <c r="D1703" i="84"/>
  <c r="G1703" i="84"/>
  <c r="D1699" i="84"/>
  <c r="G1699" i="84"/>
  <c r="D1698" i="84"/>
  <c r="G1698" i="84"/>
  <c r="D1697" i="84"/>
  <c r="G1697" i="84"/>
  <c r="D1694" i="84"/>
  <c r="G1694" i="84"/>
  <c r="D1687" i="84"/>
  <c r="G1687" i="84"/>
  <c r="D1679" i="84"/>
  <c r="G1679" i="84"/>
  <c r="D1678" i="84"/>
  <c r="G1678" i="84"/>
  <c r="D1667" i="84"/>
  <c r="G1667" i="84"/>
  <c r="D1657" i="84"/>
  <c r="G1657" i="84"/>
  <c r="D1647" i="84"/>
  <c r="G1647" i="84"/>
  <c r="D1631" i="84"/>
  <c r="G1631" i="84"/>
  <c r="D1622" i="84"/>
  <c r="G1622" i="84"/>
  <c r="D1614" i="84"/>
  <c r="G1614" i="84"/>
  <c r="D1612" i="84"/>
  <c r="G1612" i="84"/>
  <c r="D1610" i="84"/>
  <c r="G1610" i="84"/>
  <c r="D1609" i="84"/>
  <c r="G1609" i="84"/>
  <c r="D1608" i="84"/>
  <c r="G1608" i="84"/>
  <c r="D1606" i="84"/>
  <c r="G1606" i="84"/>
  <c r="D1603" i="84"/>
  <c r="G1603" i="84"/>
  <c r="D1602" i="84"/>
  <c r="G1602" i="84"/>
  <c r="D1585" i="84"/>
  <c r="G1585" i="84"/>
  <c r="D1584" i="84"/>
  <c r="G1584" i="84"/>
  <c r="D1581" i="84"/>
  <c r="G1581" i="84"/>
  <c r="D1572" i="84"/>
  <c r="G1572" i="84"/>
  <c r="D1561" i="84"/>
  <c r="G1561" i="84"/>
  <c r="D1551" i="84"/>
  <c r="G1551" i="84"/>
  <c r="D1540" i="84"/>
  <c r="G1540" i="84"/>
  <c r="D1529" i="84"/>
  <c r="G1529" i="84"/>
  <c r="D1520" i="84"/>
  <c r="G1520" i="84"/>
  <c r="D1511" i="84"/>
  <c r="G1511" i="84"/>
  <c r="D1509" i="84"/>
  <c r="G1509" i="84"/>
  <c r="D1508" i="84"/>
  <c r="G1508" i="84"/>
  <c r="D1503" i="84"/>
  <c r="G1503" i="84"/>
  <c r="D1501" i="84"/>
  <c r="G1501" i="84"/>
  <c r="D1495" i="84"/>
  <c r="G1495" i="84"/>
  <c r="D1494" i="84"/>
  <c r="G1494" i="84"/>
  <c r="D1493" i="84"/>
  <c r="G1493" i="84"/>
  <c r="D1492" i="84"/>
  <c r="G1492" i="84"/>
  <c r="D1491" i="84"/>
  <c r="G1491" i="84"/>
  <c r="D1479" i="84"/>
  <c r="G1479" i="84"/>
  <c r="D1465" i="84"/>
  <c r="G1465" i="84"/>
  <c r="D1464" i="84"/>
  <c r="G1464" i="84"/>
  <c r="D1463" i="84"/>
  <c r="G1463" i="84"/>
  <c r="D1462" i="84"/>
  <c r="G1462" i="84"/>
  <c r="D1457" i="84"/>
  <c r="G1457" i="84"/>
  <c r="D1451" i="84"/>
  <c r="G1451" i="84"/>
  <c r="D1440" i="84"/>
  <c r="G1440" i="84"/>
  <c r="D1430" i="84"/>
  <c r="G1430" i="84"/>
  <c r="G1427" i="84"/>
  <c r="G1425" i="84"/>
  <c r="G3718" i="84"/>
  <c r="G3438" i="84"/>
  <c r="F1419" i="84"/>
  <c r="G1419" i="84"/>
  <c r="F1418" i="84"/>
  <c r="E1418" i="84"/>
  <c r="G4123" i="84"/>
  <c r="G4122" i="84"/>
  <c r="G4121" i="84"/>
  <c r="G4120" i="84"/>
  <c r="G4119" i="84"/>
  <c r="G4118" i="84"/>
  <c r="G4117" i="84"/>
  <c r="G3523" i="84"/>
  <c r="G1982" i="84"/>
  <c r="G1981" i="84"/>
  <c r="F1416" i="84"/>
  <c r="C1416" i="84"/>
  <c r="F1415" i="84"/>
  <c r="G1415" i="84"/>
  <c r="F1414" i="84"/>
  <c r="G1414" i="84"/>
  <c r="F1413" i="84"/>
  <c r="E1413" i="84"/>
  <c r="F1412" i="84"/>
  <c r="G1412" i="84"/>
  <c r="F1411" i="84"/>
  <c r="G1411" i="84"/>
  <c r="F1410" i="84"/>
  <c r="G1410" i="84"/>
  <c r="F1409" i="84"/>
  <c r="G1409" i="84"/>
  <c r="F1408" i="84"/>
  <c r="G1408" i="84"/>
  <c r="D411" i="84"/>
  <c r="G411" i="84"/>
  <c r="D410" i="84"/>
  <c r="G410" i="84"/>
  <c r="D409" i="84"/>
  <c r="G409" i="84"/>
  <c r="D408" i="84"/>
  <c r="G408" i="84"/>
  <c r="D407" i="84"/>
  <c r="G407" i="84"/>
  <c r="D406" i="84"/>
  <c r="G406" i="84"/>
  <c r="D405" i="84"/>
  <c r="G405" i="84"/>
  <c r="D404" i="84"/>
  <c r="G404" i="84"/>
  <c r="D403" i="84"/>
  <c r="G403" i="84"/>
  <c r="D402" i="84"/>
  <c r="G402" i="84"/>
  <c r="D401" i="84"/>
  <c r="G401" i="84"/>
  <c r="D400" i="84"/>
  <c r="G400" i="84"/>
  <c r="G398" i="84"/>
  <c r="G1424" i="84"/>
  <c r="D3457" i="84"/>
  <c r="D3456" i="84"/>
  <c r="G3456" i="84" s="1"/>
  <c r="E3455" i="84"/>
  <c r="E3454" i="84"/>
  <c r="G3454" i="84"/>
  <c r="E3453" i="84"/>
  <c r="D3453" i="84"/>
  <c r="E3452" i="84"/>
  <c r="D3452" i="84"/>
  <c r="D3451" i="84"/>
  <c r="D3450" i="84"/>
  <c r="G3450" i="84" s="1"/>
  <c r="E3449" i="84"/>
  <c r="D3449" i="84"/>
  <c r="E3448" i="84"/>
  <c r="D3448" i="84"/>
  <c r="E3447" i="84"/>
  <c r="D3447" i="84"/>
  <c r="E3446" i="84"/>
  <c r="E3444" i="84"/>
  <c r="D3444" i="84"/>
  <c r="D3443" i="84"/>
  <c r="G3443" i="84"/>
  <c r="G3442" i="84"/>
  <c r="F821" i="84"/>
  <c r="D823" i="84"/>
  <c r="G823" i="84"/>
  <c r="D397" i="84"/>
  <c r="G397" i="84"/>
  <c r="D396" i="84"/>
  <c r="G396" i="84"/>
  <c r="D395" i="84"/>
  <c r="D394" i="84"/>
  <c r="D393" i="84"/>
  <c r="G393" i="84"/>
  <c r="D392" i="84"/>
  <c r="D391" i="84"/>
  <c r="G69" i="84"/>
  <c r="G70" i="84"/>
  <c r="F389" i="84"/>
  <c r="D389" i="84"/>
  <c r="F388" i="84"/>
  <c r="D388" i="84"/>
  <c r="F387" i="84"/>
  <c r="D387" i="84"/>
  <c r="F386" i="84"/>
  <c r="D386" i="84"/>
  <c r="F385" i="84"/>
  <c r="D385" i="84"/>
  <c r="F384" i="84"/>
  <c r="D384" i="84"/>
  <c r="F383" i="84"/>
  <c r="D383" i="84"/>
  <c r="G382" i="84"/>
  <c r="F381" i="84"/>
  <c r="G381" i="84" s="1"/>
  <c r="F380" i="84"/>
  <c r="G380" i="84" s="1"/>
  <c r="D379" i="84"/>
  <c r="G379" i="84" s="1"/>
  <c r="F378" i="84"/>
  <c r="G378" i="84" s="1"/>
  <c r="F377" i="84"/>
  <c r="G377" i="84" s="1"/>
  <c r="D376" i="84"/>
  <c r="G376" i="84" s="1"/>
  <c r="D375" i="84"/>
  <c r="G375" i="84" s="1"/>
  <c r="D374" i="84"/>
  <c r="G374" i="84" s="1"/>
  <c r="D373" i="84"/>
  <c r="G373" i="84" s="1"/>
  <c r="D372" i="84"/>
  <c r="G372" i="84" s="1"/>
  <c r="D371" i="84"/>
  <c r="G371" i="84" s="1"/>
  <c r="F585" i="84"/>
  <c r="G585" i="84" s="1"/>
  <c r="F584" i="84"/>
  <c r="G584" i="84" s="1"/>
  <c r="F583" i="84"/>
  <c r="G583" i="84" s="1"/>
  <c r="F582" i="84"/>
  <c r="G582" i="84" s="1"/>
  <c r="F581" i="84"/>
  <c r="G581" i="84" s="1"/>
  <c r="F580" i="84"/>
  <c r="G580" i="84" s="1"/>
  <c r="F579" i="84"/>
  <c r="G579" i="84" s="1"/>
  <c r="F577" i="84"/>
  <c r="G577" i="84" s="1"/>
  <c r="F575" i="84"/>
  <c r="G575" i="84" s="1"/>
  <c r="F573" i="84"/>
  <c r="D573" i="84"/>
  <c r="E572" i="84"/>
  <c r="D572" i="84"/>
  <c r="F569" i="84"/>
  <c r="D569" i="84"/>
  <c r="E568" i="84"/>
  <c r="D568" i="84"/>
  <c r="F565" i="84"/>
  <c r="D565" i="84"/>
  <c r="E564" i="84"/>
  <c r="D564" i="84"/>
  <c r="G561" i="84"/>
  <c r="E111" i="84"/>
  <c r="D111" i="84"/>
  <c r="E110" i="84"/>
  <c r="D110" i="84"/>
  <c r="E109" i="84"/>
  <c r="D109" i="84"/>
  <c r="E108" i="84"/>
  <c r="D108" i="84"/>
  <c r="E107" i="84"/>
  <c r="D107" i="84"/>
  <c r="E106" i="84"/>
  <c r="D106" i="84"/>
  <c r="E105" i="84"/>
  <c r="D105" i="84"/>
  <c r="E104" i="84"/>
  <c r="D104" i="84"/>
  <c r="E103" i="84"/>
  <c r="D103" i="84"/>
  <c r="E102" i="84"/>
  <c r="D102" i="84"/>
  <c r="E101" i="84"/>
  <c r="D101" i="84"/>
  <c r="G4509" i="84"/>
  <c r="C4510" i="84"/>
  <c r="G4510" i="84" s="1"/>
  <c r="C4511" i="84"/>
  <c r="G4511" i="84" s="1"/>
  <c r="G4512" i="84"/>
  <c r="C4513" i="84"/>
  <c r="G4513" i="84"/>
  <c r="G68" i="84"/>
  <c r="F67" i="84"/>
  <c r="E67" i="84"/>
  <c r="F66" i="84"/>
  <c r="E66" i="84"/>
  <c r="F65" i="84"/>
  <c r="E65" i="84"/>
  <c r="F64" i="84"/>
  <c r="E64" i="84"/>
  <c r="G63" i="84"/>
  <c r="G62" i="84"/>
  <c r="F61" i="84"/>
  <c r="E61" i="84"/>
  <c r="F60" i="84"/>
  <c r="E60" i="84"/>
  <c r="E59" i="84"/>
  <c r="G59" i="84" s="1"/>
  <c r="F58" i="84"/>
  <c r="E58" i="84"/>
  <c r="F57" i="84"/>
  <c r="E57" i="84"/>
  <c r="F56" i="84"/>
  <c r="E56" i="84"/>
  <c r="F55" i="84"/>
  <c r="E55" i="84"/>
  <c r="F54" i="84"/>
  <c r="E54" i="84"/>
  <c r="F53" i="84"/>
  <c r="E53" i="84"/>
  <c r="F52" i="84"/>
  <c r="E52" i="84"/>
  <c r="F51" i="84"/>
  <c r="G51" i="84" s="1"/>
  <c r="F50" i="84"/>
  <c r="E50" i="84"/>
  <c r="F49" i="84"/>
  <c r="E49" i="84"/>
  <c r="E48" i="84"/>
  <c r="G48" i="84" s="1"/>
  <c r="F47" i="84"/>
  <c r="E47" i="84"/>
  <c r="F46" i="84"/>
  <c r="E46" i="84"/>
  <c r="F45" i="84"/>
  <c r="E45" i="84"/>
  <c r="E44" i="84"/>
  <c r="G44" i="84" s="1"/>
  <c r="F43" i="84"/>
  <c r="E43" i="84"/>
  <c r="F42" i="84"/>
  <c r="E42" i="84"/>
  <c r="F41" i="84"/>
  <c r="E41" i="84"/>
  <c r="F40" i="84"/>
  <c r="E40" i="84"/>
  <c r="G39" i="84"/>
  <c r="F38" i="84"/>
  <c r="E38" i="84"/>
  <c r="F37" i="84"/>
  <c r="E37" i="84"/>
  <c r="F36" i="84"/>
  <c r="E36" i="84"/>
  <c r="F35" i="84"/>
  <c r="E35" i="84"/>
  <c r="G34" i="84"/>
  <c r="G33" i="84"/>
  <c r="G32" i="84"/>
  <c r="F31" i="84"/>
  <c r="E31" i="84"/>
  <c r="F30" i="84"/>
  <c r="E30" i="84"/>
  <c r="F29" i="84"/>
  <c r="E29" i="84"/>
  <c r="F28" i="84"/>
  <c r="E28" i="84"/>
  <c r="F27" i="84"/>
  <c r="E27" i="84"/>
  <c r="G26" i="84"/>
  <c r="E25" i="84"/>
  <c r="G25" i="84"/>
  <c r="F24" i="84"/>
  <c r="E24" i="84"/>
  <c r="G23" i="84"/>
  <c r="G22" i="84"/>
  <c r="F21" i="84"/>
  <c r="E21" i="84"/>
  <c r="F20" i="84"/>
  <c r="E20" i="84"/>
  <c r="F19" i="84"/>
  <c r="E19" i="84"/>
  <c r="F18" i="84"/>
  <c r="E18" i="84"/>
  <c r="F17" i="84"/>
  <c r="E17" i="84"/>
  <c r="F16" i="84"/>
  <c r="E16" i="84"/>
  <c r="F15" i="84"/>
  <c r="E15" i="84"/>
  <c r="G365" i="84"/>
  <c r="F364" i="84"/>
  <c r="G364" i="84" s="1"/>
  <c r="G363" i="84"/>
  <c r="F362" i="84"/>
  <c r="G362" i="84"/>
  <c r="G361" i="84"/>
  <c r="D360" i="84"/>
  <c r="G360" i="84" s="1"/>
  <c r="G359" i="84"/>
  <c r="F358" i="84"/>
  <c r="G358" i="84"/>
  <c r="G357" i="84"/>
  <c r="F356" i="84"/>
  <c r="G356" i="84" s="1"/>
  <c r="G355" i="84"/>
  <c r="D354" i="84"/>
  <c r="G354" i="84"/>
  <c r="G353" i="84"/>
  <c r="D352" i="84"/>
  <c r="G352" i="84" s="1"/>
  <c r="G351" i="84"/>
  <c r="D350" i="84"/>
  <c r="G350" i="84"/>
  <c r="G349" i="84"/>
  <c r="D348" i="84"/>
  <c r="G348" i="84" s="1"/>
  <c r="G347" i="84"/>
  <c r="D346" i="84"/>
  <c r="G346" i="84"/>
  <c r="G345" i="84"/>
  <c r="D344" i="84"/>
  <c r="G344" i="84" s="1"/>
  <c r="G13" i="84"/>
  <c r="E12" i="84"/>
  <c r="D12" i="84"/>
  <c r="E11" i="84"/>
  <c r="D11" i="84"/>
  <c r="E10" i="84"/>
  <c r="D10" i="84"/>
  <c r="E9" i="84"/>
  <c r="D9" i="84"/>
  <c r="E8" i="84"/>
  <c r="D8" i="84"/>
  <c r="E7" i="84"/>
  <c r="D7" i="84"/>
  <c r="E6" i="84"/>
  <c r="D6" i="84"/>
  <c r="E5" i="93"/>
  <c r="G5" i="93"/>
  <c r="I5" i="93"/>
  <c r="I21" i="93"/>
  <c r="J21" i="93"/>
  <c r="D6" i="93"/>
  <c r="E6" i="93"/>
  <c r="G6" i="93"/>
  <c r="I6" i="93"/>
  <c r="E7" i="93"/>
  <c r="G7" i="93"/>
  <c r="I7" i="93"/>
  <c r="E8" i="93"/>
  <c r="F8" i="93"/>
  <c r="E9" i="93"/>
  <c r="F9" i="93"/>
  <c r="G9" i="93"/>
  <c r="I9" i="93"/>
  <c r="E11" i="93"/>
  <c r="G11" i="93"/>
  <c r="I11" i="93"/>
  <c r="I20" i="93"/>
  <c r="J20" i="93"/>
  <c r="E12" i="93"/>
  <c r="G12" i="93"/>
  <c r="I12" i="93"/>
  <c r="E13" i="93"/>
  <c r="G13" i="93"/>
  <c r="I13" i="93"/>
  <c r="E14" i="93"/>
  <c r="G14" i="93"/>
  <c r="I14" i="93"/>
  <c r="E15" i="93"/>
  <c r="G15" i="93"/>
  <c r="I15" i="93"/>
  <c r="E17" i="93"/>
  <c r="G17" i="93"/>
  <c r="I17" i="93"/>
  <c r="E18" i="93"/>
  <c r="F18" i="93"/>
  <c r="G18" i="93"/>
  <c r="I18" i="93"/>
  <c r="D4347" i="84"/>
  <c r="G4347" i="84"/>
  <c r="E3649" i="84"/>
  <c r="G3649" i="84"/>
  <c r="D3891" i="84"/>
  <c r="G3891" i="84"/>
  <c r="D3892" i="84"/>
  <c r="G3892" i="84"/>
  <c r="C3658" i="84"/>
  <c r="G3658" i="84"/>
  <c r="E3327" i="84"/>
  <c r="G3327" i="84"/>
  <c r="E2664" i="84"/>
  <c r="G2664" i="84"/>
  <c r="E2663" i="84"/>
  <c r="G2663" i="84"/>
  <c r="D802" i="84"/>
  <c r="G802" i="84" s="1"/>
  <c r="D801" i="84"/>
  <c r="G801" i="84" s="1"/>
  <c r="E89" i="84"/>
  <c r="G89" i="84" s="1"/>
  <c r="E88" i="84"/>
  <c r="D88" i="84"/>
  <c r="E87" i="84"/>
  <c r="D87" i="84"/>
  <c r="E86" i="84"/>
  <c r="D86" i="84"/>
  <c r="C85" i="84"/>
  <c r="G85" i="84" s="1"/>
  <c r="E72" i="84"/>
  <c r="E73" i="84"/>
  <c r="E74" i="84"/>
  <c r="E75" i="84"/>
  <c r="E76" i="84"/>
  <c r="G76" i="84" s="1"/>
  <c r="E77" i="84"/>
  <c r="G77" i="84" s="1"/>
  <c r="E78" i="84"/>
  <c r="G78" i="84" s="1"/>
  <c r="E79" i="84"/>
  <c r="G79" i="84" s="1"/>
  <c r="E80" i="84"/>
  <c r="E81" i="84"/>
  <c r="E82" i="84"/>
  <c r="E83" i="84"/>
  <c r="E84" i="84"/>
  <c r="G84" i="84" s="1"/>
  <c r="E85" i="84"/>
  <c r="E3648" i="84"/>
  <c r="G3648" i="84"/>
  <c r="C813" i="84"/>
  <c r="D3909" i="84"/>
  <c r="G3909" i="84" s="1"/>
  <c r="D3905" i="84"/>
  <c r="G3905" i="84" s="1"/>
  <c r="D3904" i="84"/>
  <c r="G3904" i="84" s="1"/>
  <c r="D3903" i="84"/>
  <c r="G3903" i="84" s="1"/>
  <c r="C4267" i="84"/>
  <c r="G4267" i="84" s="1"/>
  <c r="C3665" i="84"/>
  <c r="G3665" i="84" s="1"/>
  <c r="C3659" i="84"/>
  <c r="G3659" i="84" s="1"/>
  <c r="C3660" i="84"/>
  <c r="G3660" i="84" s="1"/>
  <c r="C1819" i="84"/>
  <c r="G1819" i="84" s="1"/>
  <c r="C1818" i="84"/>
  <c r="G1818" i="84" s="1"/>
  <c r="C3348" i="84"/>
  <c r="D3348" i="84"/>
  <c r="C2665" i="84"/>
  <c r="G2665" i="84" s="1"/>
  <c r="D4348" i="84"/>
  <c r="G4348" i="84" s="1"/>
  <c r="C3650" i="84"/>
  <c r="G3650" i="84" s="1"/>
  <c r="E4244" i="84"/>
  <c r="D4244" i="84"/>
  <c r="E4243" i="84"/>
  <c r="D4243" i="84"/>
  <c r="C4213" i="84"/>
  <c r="C3349" i="84"/>
  <c r="G3349" i="84"/>
  <c r="C3004" i="84"/>
  <c r="G3004" i="84"/>
  <c r="C2854" i="84"/>
  <c r="G2854" i="84"/>
  <c r="C557" i="84"/>
  <c r="C556" i="84"/>
  <c r="G556" i="84" s="1"/>
  <c r="D4338" i="84"/>
  <c r="G4338" i="84" s="1"/>
  <c r="D4337" i="84"/>
  <c r="G4337" i="84" s="1"/>
  <c r="D4336" i="84"/>
  <c r="G4336" i="84" s="1"/>
  <c r="F549" i="84"/>
  <c r="F548" i="84"/>
  <c r="F547" i="84"/>
  <c r="G547" i="84" s="1"/>
  <c r="F546" i="84"/>
  <c r="G546" i="84" s="1"/>
  <c r="F545" i="84"/>
  <c r="G545" i="84" s="1"/>
  <c r="F538" i="84"/>
  <c r="G538" i="84" s="1"/>
  <c r="F539" i="84"/>
  <c r="G539" i="84" s="1"/>
  <c r="F540" i="84"/>
  <c r="F541" i="84"/>
  <c r="F542" i="84"/>
  <c r="F543" i="84"/>
  <c r="G543" i="84"/>
  <c r="F537" i="84"/>
  <c r="G537" i="84"/>
  <c r="D542" i="84"/>
  <c r="D541" i="84"/>
  <c r="D540" i="84"/>
  <c r="D4261" i="84"/>
  <c r="G4261" i="84" s="1"/>
  <c r="D4259" i="84"/>
  <c r="D4257" i="84"/>
  <c r="D4255" i="84"/>
  <c r="D4253" i="84"/>
  <c r="D4251" i="84"/>
  <c r="D4197" i="84"/>
  <c r="E4197" i="84"/>
  <c r="D4196" i="84"/>
  <c r="D4195" i="84"/>
  <c r="D4194" i="84"/>
  <c r="D4203" i="84"/>
  <c r="D4171" i="84"/>
  <c r="G4171" i="84"/>
  <c r="D4170" i="84"/>
  <c r="G4170" i="84"/>
  <c r="D3894" i="84"/>
  <c r="G3894" i="84"/>
  <c r="D3893" i="84"/>
  <c r="G3893" i="84"/>
  <c r="D3886" i="84"/>
  <c r="G3886" i="84"/>
  <c r="D3885" i="84"/>
  <c r="G3885" i="84"/>
  <c r="D3884" i="84"/>
  <c r="G3884" i="84"/>
  <c r="D3883" i="84"/>
  <c r="G3883" i="84"/>
  <c r="D4505" i="84"/>
  <c r="D4504" i="84"/>
  <c r="D4489" i="84"/>
  <c r="G4489" i="84"/>
  <c r="D4486" i="84"/>
  <c r="G4486" i="84"/>
  <c r="G4492" i="84" s="1"/>
  <c r="D4485" i="84"/>
  <c r="G4485" i="84"/>
  <c r="D4292" i="84"/>
  <c r="G4292" i="84"/>
  <c r="D3647" i="84"/>
  <c r="G3647" i="84"/>
  <c r="D3646" i="84"/>
  <c r="G3646" i="84"/>
  <c r="D3645" i="84"/>
  <c r="G3645" i="84"/>
  <c r="D3644" i="84"/>
  <c r="G3644" i="84"/>
  <c r="D3639" i="84"/>
  <c r="G3639" i="84"/>
  <c r="D3638" i="84"/>
  <c r="G3638" i="84"/>
  <c r="D3637" i="84"/>
  <c r="G3637" i="84"/>
  <c r="D3636" i="84"/>
  <c r="G3636" i="84"/>
  <c r="D3464" i="84"/>
  <c r="D3461" i="84"/>
  <c r="E3461" i="84"/>
  <c r="D3462" i="84"/>
  <c r="E3462" i="84"/>
  <c r="D1807" i="84"/>
  <c r="G1807" i="84" s="1"/>
  <c r="K13" i="89"/>
  <c r="K12" i="89"/>
  <c r="K11" i="89"/>
  <c r="K10" i="89"/>
  <c r="K8" i="89"/>
  <c r="K9" i="89"/>
  <c r="K7" i="89"/>
  <c r="K5" i="89"/>
  <c r="K6" i="89"/>
  <c r="D4206" i="84"/>
  <c r="G4206" i="84" s="1"/>
  <c r="D4208" i="84"/>
  <c r="G4208" i="84" s="1"/>
  <c r="E4219" i="84"/>
  <c r="E4215" i="84"/>
  <c r="E4214" i="84"/>
  <c r="G4214" i="84" s="1"/>
  <c r="E4213" i="84"/>
  <c r="G3558" i="84"/>
  <c r="G3557" i="84"/>
  <c r="D3981" i="84"/>
  <c r="G3981" i="84"/>
  <c r="D3977" i="84"/>
  <c r="G3977" i="84"/>
  <c r="D3972" i="84"/>
  <c r="G3972" i="84"/>
  <c r="D3964" i="84"/>
  <c r="G3964" i="84"/>
  <c r="D3960" i="84"/>
  <c r="G3960" i="84"/>
  <c r="I273" i="85"/>
  <c r="I272" i="85"/>
  <c r="I271" i="85"/>
  <c r="I270" i="85"/>
  <c r="I269" i="85"/>
  <c r="I268" i="85"/>
  <c r="I267" i="85"/>
  <c r="I266" i="85"/>
  <c r="I265" i="85"/>
  <c r="I264" i="85"/>
  <c r="I263" i="85"/>
  <c r="J263" i="85" s="1"/>
  <c r="I262" i="85"/>
  <c r="I255" i="85"/>
  <c r="I254" i="85"/>
  <c r="I253" i="85"/>
  <c r="I252" i="85"/>
  <c r="I251" i="85"/>
  <c r="I250" i="85"/>
  <c r="I249" i="85"/>
  <c r="J249" i="85"/>
  <c r="I248" i="85"/>
  <c r="I247" i="85"/>
  <c r="J247" i="85"/>
  <c r="I246" i="85"/>
  <c r="J246" i="85" s="1"/>
  <c r="G3384" i="84"/>
  <c r="E4505" i="84"/>
  <c r="E4504" i="84"/>
  <c r="G4502" i="84"/>
  <c r="G4498" i="84"/>
  <c r="G4500" i="84"/>
  <c r="G322" i="85" s="1"/>
  <c r="G4494" i="84"/>
  <c r="G4496" i="84" s="1"/>
  <c r="G320" i="85" s="1"/>
  <c r="D4491" i="84"/>
  <c r="G4491" i="84"/>
  <c r="D4490" i="84"/>
  <c r="G4490" i="84"/>
  <c r="D4487" i="84"/>
  <c r="G4487" i="84"/>
  <c r="G4484" i="84"/>
  <c r="D557" i="84"/>
  <c r="D825" i="84"/>
  <c r="G825" i="84"/>
  <c r="D2662" i="84"/>
  <c r="G2662" i="84"/>
  <c r="D2661" i="84"/>
  <c r="G2661" i="84"/>
  <c r="D2660" i="84"/>
  <c r="G2660" i="84"/>
  <c r="D2659" i="84"/>
  <c r="G2659" i="84"/>
  <c r="D2654" i="84"/>
  <c r="G2654" i="84"/>
  <c r="D2653" i="84"/>
  <c r="G2653" i="84"/>
  <c r="D2652" i="84"/>
  <c r="G2652" i="84"/>
  <c r="D2651" i="84"/>
  <c r="G2651" i="84"/>
  <c r="D3899" i="84"/>
  <c r="G3899" i="84"/>
  <c r="E4469" i="84"/>
  <c r="G4469" i="84"/>
  <c r="E4468" i="84"/>
  <c r="D4468" i="84"/>
  <c r="E4467" i="84"/>
  <c r="D4467" i="84"/>
  <c r="E4466" i="84"/>
  <c r="D4466" i="84"/>
  <c r="E4465" i="84"/>
  <c r="G4465" i="84"/>
  <c r="E4464" i="84"/>
  <c r="D4464" i="84"/>
  <c r="E4463" i="84"/>
  <c r="D4463" i="84"/>
  <c r="E4462" i="84"/>
  <c r="G4462" i="84"/>
  <c r="E4461" i="84"/>
  <c r="G4461" i="84"/>
  <c r="E4460" i="84"/>
  <c r="G4460" i="84"/>
  <c r="E4459" i="84"/>
  <c r="D4459" i="84"/>
  <c r="E4458" i="84"/>
  <c r="G4458" i="84"/>
  <c r="E4457" i="84"/>
  <c r="G4457" i="84"/>
  <c r="E4456" i="84"/>
  <c r="D4456" i="84"/>
  <c r="E4455" i="84"/>
  <c r="G4455" i="84"/>
  <c r="E4454" i="84"/>
  <c r="G4454" i="84"/>
  <c r="E4453" i="84"/>
  <c r="G4453" i="84"/>
  <c r="E4452" i="84"/>
  <c r="D4452" i="84"/>
  <c r="E4451" i="84"/>
  <c r="D4451" i="84"/>
  <c r="D4445" i="84"/>
  <c r="G4445" i="84"/>
  <c r="D4444" i="84"/>
  <c r="G4444" i="84"/>
  <c r="D4441" i="84"/>
  <c r="G4441" i="84"/>
  <c r="D4437" i="84"/>
  <c r="G4437" i="84"/>
  <c r="D4436" i="84"/>
  <c r="G4436" i="84"/>
  <c r="D4435" i="84"/>
  <c r="G4435" i="84"/>
  <c r="D4434" i="84"/>
  <c r="G4434" i="84"/>
  <c r="D4433" i="84"/>
  <c r="G4433" i="84"/>
  <c r="D4427" i="84"/>
  <c r="G4427" i="84"/>
  <c r="D4421" i="84"/>
  <c r="G4421" i="84"/>
  <c r="D4419" i="84"/>
  <c r="G4419" i="84"/>
  <c r="D4417" i="84"/>
  <c r="G4417" i="84"/>
  <c r="D4415" i="84"/>
  <c r="G4415" i="84"/>
  <c r="D4412" i="84"/>
  <c r="G4412" i="84"/>
  <c r="D4407" i="84"/>
  <c r="G4407" i="84"/>
  <c r="E4406" i="84"/>
  <c r="G4406" i="84"/>
  <c r="E4398" i="84"/>
  <c r="G4398" i="84"/>
  <c r="D4393" i="84"/>
  <c r="G4393" i="84"/>
  <c r="D4386" i="84"/>
  <c r="G4386" i="84"/>
  <c r="D4384" i="84"/>
  <c r="G4384" i="84"/>
  <c r="D4377" i="84"/>
  <c r="G4377" i="84"/>
  <c r="D4375" i="84"/>
  <c r="G4375" i="84"/>
  <c r="D4367" i="84"/>
  <c r="G4367" i="84"/>
  <c r="D4365" i="84"/>
  <c r="G4365" i="84"/>
  <c r="D4363" i="84"/>
  <c r="G4363" i="84"/>
  <c r="D4361" i="84"/>
  <c r="G4361" i="84"/>
  <c r="D4359" i="84"/>
  <c r="G4359" i="84"/>
  <c r="D4356" i="84"/>
  <c r="G4356" i="84"/>
  <c r="G4354" i="84"/>
  <c r="G4352" i="84"/>
  <c r="E4325" i="84"/>
  <c r="G4325" i="84"/>
  <c r="E4320" i="84"/>
  <c r="G4320" i="84"/>
  <c r="E4317" i="84"/>
  <c r="G4317" i="84"/>
  <c r="D4312" i="84"/>
  <c r="G4312" i="84"/>
  <c r="C4303" i="84"/>
  <c r="G4303" i="84"/>
  <c r="C4302" i="84"/>
  <c r="G4302" i="84"/>
  <c r="G4301" i="84"/>
  <c r="D4294" i="84"/>
  <c r="G4294" i="84" s="1"/>
  <c r="D4291" i="84"/>
  <c r="G4291" i="84" s="1"/>
  <c r="C4288" i="84"/>
  <c r="G4288" i="84" s="1"/>
  <c r="C4287" i="84"/>
  <c r="G4287" i="84" s="1"/>
  <c r="G4286" i="84"/>
  <c r="G4278" i="84"/>
  <c r="G4283" i="84"/>
  <c r="G306" i="85" s="1"/>
  <c r="E4199" i="84"/>
  <c r="D4199" i="84"/>
  <c r="E4196" i="84"/>
  <c r="E4195" i="84"/>
  <c r="E4194" i="84"/>
  <c r="E4192" i="84"/>
  <c r="G4192" i="84"/>
  <c r="E4191" i="84"/>
  <c r="D4191" i="84"/>
  <c r="E4190" i="84"/>
  <c r="D4190" i="84"/>
  <c r="E4189" i="84"/>
  <c r="D4189" i="84"/>
  <c r="E4188" i="84"/>
  <c r="D4188" i="84"/>
  <c r="D4169" i="84"/>
  <c r="G4169" i="84"/>
  <c r="D4168" i="84"/>
  <c r="G4168" i="84"/>
  <c r="D4167" i="84"/>
  <c r="G4167" i="84"/>
  <c r="D3851" i="84"/>
  <c r="G3851" i="84"/>
  <c r="D3804" i="84"/>
  <c r="G3804" i="84"/>
  <c r="D3799" i="84"/>
  <c r="G3799" i="84"/>
  <c r="D3796" i="84"/>
  <c r="G3796" i="84"/>
  <c r="D3794" i="84"/>
  <c r="G3794" i="84"/>
  <c r="D3792" i="84"/>
  <c r="G3792" i="84"/>
  <c r="D3791" i="84"/>
  <c r="G3791" i="84"/>
  <c r="D3789" i="84"/>
  <c r="G3789" i="84"/>
  <c r="D3786" i="84"/>
  <c r="G3786" i="84"/>
  <c r="D3785" i="84"/>
  <c r="G3785" i="84"/>
  <c r="D3784" i="84"/>
  <c r="G3784" i="84"/>
  <c r="D3782" i="84"/>
  <c r="G3782" i="84"/>
  <c r="D3781" i="84"/>
  <c r="G3781" i="84"/>
  <c r="D3780" i="84"/>
  <c r="G3780" i="84"/>
  <c r="D3779" i="84"/>
  <c r="G3779" i="84"/>
  <c r="D3775" i="84"/>
  <c r="G3775" i="84"/>
  <c r="D3773" i="84"/>
  <c r="G3773" i="84"/>
  <c r="D3771" i="84"/>
  <c r="G3771" i="84"/>
  <c r="D3769" i="84"/>
  <c r="G3769" i="84"/>
  <c r="D3767" i="84"/>
  <c r="G3767" i="84"/>
  <c r="D3763" i="84"/>
  <c r="G3763" i="84"/>
  <c r="D3760" i="84"/>
  <c r="G3760" i="84"/>
  <c r="D3759" i="84"/>
  <c r="G3759" i="84"/>
  <c r="D3755" i="84"/>
  <c r="G3755" i="84"/>
  <c r="D3754" i="84"/>
  <c r="G3754" i="84"/>
  <c r="G3744" i="84"/>
  <c r="G3749" i="84"/>
  <c r="G264" i="85" s="1"/>
  <c r="F264" i="85" s="1"/>
  <c r="F3683" i="84"/>
  <c r="G3683" i="84" s="1"/>
  <c r="C3674" i="84"/>
  <c r="G3674" i="84" s="1"/>
  <c r="C3657" i="84"/>
  <c r="G3657" i="84" s="1"/>
  <c r="D3655" i="84"/>
  <c r="G3655" i="84" s="1"/>
  <c r="G3612" i="84"/>
  <c r="G3632" i="84" s="1"/>
  <c r="G232" i="85" s="1"/>
  <c r="E3468" i="84"/>
  <c r="D3468" i="84"/>
  <c r="E3467" i="84"/>
  <c r="D3467" i="84"/>
  <c r="E3464" i="84"/>
  <c r="E3463" i="84"/>
  <c r="D3463" i="84"/>
  <c r="D3383" i="84"/>
  <c r="G3383" i="84" s="1"/>
  <c r="D3382" i="84"/>
  <c r="G3382" i="84" s="1"/>
  <c r="D3381" i="84"/>
  <c r="G3381" i="84" s="1"/>
  <c r="D3380" i="84"/>
  <c r="G3380" i="84" s="1"/>
  <c r="D3375" i="84"/>
  <c r="G3375" i="84" s="1"/>
  <c r="D3374" i="84"/>
  <c r="G3374" i="84" s="1"/>
  <c r="D3373" i="84"/>
  <c r="G3373" i="84" s="1"/>
  <c r="D3372" i="84"/>
  <c r="G3372" i="84" s="1"/>
  <c r="D3370" i="84"/>
  <c r="G3370" i="84" s="1"/>
  <c r="D1812" i="84"/>
  <c r="G1812" i="84" s="1"/>
  <c r="D1811" i="84"/>
  <c r="G1811" i="84" s="1"/>
  <c r="C1798" i="84"/>
  <c r="G1798" i="84" s="1"/>
  <c r="C1797" i="84"/>
  <c r="G1797" i="84" s="1"/>
  <c r="D1796" i="84"/>
  <c r="G1796" i="84" s="1"/>
  <c r="D813" i="84"/>
  <c r="G811" i="84"/>
  <c r="G810" i="84"/>
  <c r="D549" i="84"/>
  <c r="D548" i="84"/>
  <c r="D83" i="84"/>
  <c r="D82" i="84"/>
  <c r="D81" i="84"/>
  <c r="D80" i="84"/>
  <c r="D75" i="84"/>
  <c r="D74" i="84"/>
  <c r="D73" i="84"/>
  <c r="D72" i="84"/>
  <c r="C4219" i="84"/>
  <c r="C4215" i="84"/>
  <c r="C4211" i="84"/>
  <c r="G4211" i="84"/>
  <c r="C4210" i="84"/>
  <c r="G4210" i="84"/>
  <c r="C4209" i="84"/>
  <c r="G4209" i="84"/>
  <c r="C4203" i="84"/>
  <c r="D3881" i="84"/>
  <c r="G3881" i="84" s="1"/>
  <c r="D3879" i="84"/>
  <c r="G3879" i="84" s="1"/>
  <c r="D3878" i="84"/>
  <c r="G3878" i="84" s="1"/>
  <c r="D3877" i="84"/>
  <c r="G3877" i="84" s="1"/>
  <c r="D3864" i="84"/>
  <c r="G3864" i="84" s="1"/>
  <c r="D3863" i="84"/>
  <c r="G3863" i="84" s="1"/>
  <c r="D3860" i="84"/>
  <c r="G3860" i="84" s="1"/>
  <c r="D3859" i="84"/>
  <c r="G3859" i="84" s="1"/>
  <c r="D3858" i="84"/>
  <c r="G3858" i="84" s="1"/>
  <c r="D3857" i="84"/>
  <c r="G3857" i="84" s="1"/>
  <c r="D3848" i="84"/>
  <c r="G3848" i="84" s="1"/>
  <c r="D3826" i="84"/>
  <c r="G3826" i="84" s="1"/>
  <c r="D3813" i="84"/>
  <c r="G3813" i="84" s="1"/>
  <c r="G3581" i="84"/>
  <c r="G3572" i="84"/>
  <c r="G3563" i="84"/>
  <c r="G3538" i="84"/>
  <c r="I6" i="88"/>
  <c r="J6" i="88"/>
  <c r="K6" i="88"/>
  <c r="I7" i="88"/>
  <c r="J7" i="88"/>
  <c r="K7" i="88"/>
  <c r="I8" i="88"/>
  <c r="J8" i="88"/>
  <c r="K8" i="88"/>
  <c r="G4172" i="84"/>
  <c r="G3635" i="84"/>
  <c r="G3584" i="84"/>
  <c r="G3582" i="84"/>
  <c r="G3575" i="84"/>
  <c r="G3573" i="84"/>
  <c r="G3567" i="84"/>
  <c r="G3564" i="84"/>
  <c r="I112" i="85"/>
  <c r="J112" i="85" s="1"/>
  <c r="H19" i="86"/>
  <c r="H18" i="86"/>
  <c r="I60" i="87"/>
  <c r="I59" i="87"/>
  <c r="I58" i="87"/>
  <c r="I57" i="87"/>
  <c r="I52" i="87"/>
  <c r="I51" i="87"/>
  <c r="I50" i="87"/>
  <c r="I48" i="87"/>
  <c r="I47" i="87"/>
  <c r="E49" i="87"/>
  <c r="I49" i="87"/>
  <c r="E46" i="87"/>
  <c r="I46" i="87"/>
  <c r="I53" i="87"/>
  <c r="H17" i="86"/>
  <c r="C4259" i="84"/>
  <c r="C4257" i="84"/>
  <c r="G4257" i="84"/>
  <c r="C4255" i="84"/>
  <c r="C4253" i="84"/>
  <c r="C4251" i="84"/>
  <c r="K35" i="87"/>
  <c r="K30" i="87"/>
  <c r="K29" i="87"/>
  <c r="K28" i="87"/>
  <c r="K10" i="87"/>
  <c r="K27" i="87"/>
  <c r="K26" i="87"/>
  <c r="K19" i="87"/>
  <c r="K18" i="87"/>
  <c r="K17" i="87"/>
  <c r="K16" i="87"/>
  <c r="K15" i="87"/>
  <c r="K14" i="87"/>
  <c r="K13" i="87"/>
  <c r="K12" i="87"/>
  <c r="K11" i="87"/>
  <c r="H16" i="86"/>
  <c r="H6" i="86"/>
  <c r="H21" i="86"/>
  <c r="I229" i="85"/>
  <c r="H15" i="86"/>
  <c r="H14" i="86"/>
  <c r="H13" i="86"/>
  <c r="H12" i="86"/>
  <c r="H11" i="86"/>
  <c r="H10" i="86"/>
  <c r="H9" i="86"/>
  <c r="H8" i="86"/>
  <c r="H7" i="86"/>
  <c r="I274" i="85"/>
  <c r="I261" i="85"/>
  <c r="I260" i="85"/>
  <c r="I259" i="85"/>
  <c r="I258" i="85"/>
  <c r="I257" i="85"/>
  <c r="I256" i="85"/>
  <c r="J256" i="85"/>
  <c r="I245" i="85"/>
  <c r="I244" i="85"/>
  <c r="I243" i="85"/>
  <c r="I242" i="85"/>
  <c r="I241" i="85"/>
  <c r="I240" i="85"/>
  <c r="I239" i="85"/>
  <c r="J239" i="85"/>
  <c r="I238" i="85"/>
  <c r="I237" i="85"/>
  <c r="I236" i="85"/>
  <c r="I235" i="85"/>
  <c r="I234" i="85"/>
  <c r="I232" i="85"/>
  <c r="I231" i="85"/>
  <c r="I227" i="85"/>
  <c r="J227" i="85" s="1"/>
  <c r="I226" i="85"/>
  <c r="I225" i="85"/>
  <c r="I224" i="85"/>
  <c r="I223" i="85"/>
  <c r="I222" i="85"/>
  <c r="I221" i="85"/>
  <c r="I220" i="85"/>
  <c r="I219" i="85"/>
  <c r="I218" i="85"/>
  <c r="I217" i="85"/>
  <c r="I216" i="85"/>
  <c r="I215" i="85"/>
  <c r="I214" i="85"/>
  <c r="I213" i="85"/>
  <c r="I212" i="85"/>
  <c r="J212" i="85" s="1"/>
  <c r="I211" i="85"/>
  <c r="J211" i="85" s="1"/>
  <c r="I210" i="85"/>
  <c r="I209" i="85"/>
  <c r="I208" i="85"/>
  <c r="J208" i="85" s="1"/>
  <c r="I207" i="85"/>
  <c r="I206" i="85"/>
  <c r="I205" i="85"/>
  <c r="I204" i="85"/>
  <c r="J204" i="85"/>
  <c r="I203" i="85"/>
  <c r="I202" i="85"/>
  <c r="I201" i="85"/>
  <c r="I200" i="85"/>
  <c r="J200" i="85" s="1"/>
  <c r="I199" i="85"/>
  <c r="I198" i="85"/>
  <c r="I197" i="85"/>
  <c r="I196" i="85"/>
  <c r="I195" i="85"/>
  <c r="J195" i="85" s="1"/>
  <c r="I194" i="85"/>
  <c r="I193" i="85"/>
  <c r="I192" i="85"/>
  <c r="I191" i="85"/>
  <c r="I190" i="85"/>
  <c r="I189" i="85"/>
  <c r="I188" i="85"/>
  <c r="I187" i="85"/>
  <c r="J187" i="85"/>
  <c r="I186" i="85"/>
  <c r="J186" i="85"/>
  <c r="I185" i="85"/>
  <c r="J185" i="85"/>
  <c r="I183" i="85"/>
  <c r="J183" i="85"/>
  <c r="I182" i="85"/>
  <c r="I181" i="85"/>
  <c r="J181" i="85" s="1"/>
  <c r="I180" i="85"/>
  <c r="J180" i="85" s="1"/>
  <c r="I179" i="85"/>
  <c r="J179" i="85" s="1"/>
  <c r="I178" i="85"/>
  <c r="I177" i="85"/>
  <c r="I176" i="85"/>
  <c r="I175" i="85"/>
  <c r="I174" i="85"/>
  <c r="I173" i="85"/>
  <c r="I170" i="85"/>
  <c r="J170" i="85" s="1"/>
  <c r="I169" i="85"/>
  <c r="J169" i="85" s="1"/>
  <c r="I168" i="85"/>
  <c r="I167" i="85"/>
  <c r="J167" i="85"/>
  <c r="I166" i="85"/>
  <c r="I165" i="85"/>
  <c r="J165" i="85" s="1"/>
  <c r="I164" i="85"/>
  <c r="I163" i="85"/>
  <c r="J163" i="85"/>
  <c r="I162" i="85"/>
  <c r="I161" i="85"/>
  <c r="I160" i="85"/>
  <c r="I159" i="85"/>
  <c r="I158" i="85"/>
  <c r="I157" i="85"/>
  <c r="I156" i="85"/>
  <c r="I155" i="85"/>
  <c r="I154" i="85"/>
  <c r="I151" i="85"/>
  <c r="J151" i="85" s="1"/>
  <c r="I150" i="85"/>
  <c r="J150" i="85" s="1"/>
  <c r="I149" i="85"/>
  <c r="J149" i="85" s="1"/>
  <c r="I148" i="85"/>
  <c r="J148" i="85" s="1"/>
  <c r="I147" i="85"/>
  <c r="J147" i="85" s="1"/>
  <c r="I146" i="85"/>
  <c r="I145" i="85"/>
  <c r="J145" i="85"/>
  <c r="I144" i="85"/>
  <c r="I143" i="85"/>
  <c r="J143" i="85" s="1"/>
  <c r="I142" i="85"/>
  <c r="I141" i="85"/>
  <c r="J141" i="85"/>
  <c r="I140" i="85"/>
  <c r="I139" i="85"/>
  <c r="J139" i="85" s="1"/>
  <c r="I138" i="85"/>
  <c r="I137" i="85"/>
  <c r="I136" i="85"/>
  <c r="I135" i="85"/>
  <c r="I134" i="85"/>
  <c r="I133" i="85"/>
  <c r="I132" i="85"/>
  <c r="J132" i="85" s="1"/>
  <c r="I131" i="85"/>
  <c r="I130" i="85"/>
  <c r="I129" i="85"/>
  <c r="I128" i="85"/>
  <c r="I127" i="85"/>
  <c r="I126" i="85"/>
  <c r="I125" i="85"/>
  <c r="I124" i="85"/>
  <c r="I123" i="85"/>
  <c r="I121" i="85"/>
  <c r="I120" i="85"/>
  <c r="J120" i="85" s="1"/>
  <c r="I119" i="85"/>
  <c r="I118" i="85"/>
  <c r="J118" i="85"/>
  <c r="I117" i="85"/>
  <c r="J117" i="85"/>
  <c r="I116" i="85"/>
  <c r="J116" i="85"/>
  <c r="I115" i="85"/>
  <c r="I114" i="85"/>
  <c r="I113" i="85"/>
  <c r="J113" i="85"/>
  <c r="I110" i="85"/>
  <c r="J110" i="85"/>
  <c r="I109" i="85"/>
  <c r="I108" i="85"/>
  <c r="I107" i="85"/>
  <c r="I106" i="85"/>
  <c r="J106" i="85" s="1"/>
  <c r="I105" i="85"/>
  <c r="I104" i="85"/>
  <c r="I103" i="85"/>
  <c r="I102" i="85"/>
  <c r="I101" i="85"/>
  <c r="I100" i="85"/>
  <c r="I99" i="85"/>
  <c r="J99" i="85" s="1"/>
  <c r="I98" i="85"/>
  <c r="I97" i="85"/>
  <c r="I96" i="85"/>
  <c r="I95" i="85"/>
  <c r="I94" i="85"/>
  <c r="I92" i="85"/>
  <c r="I91" i="85"/>
  <c r="I90" i="85"/>
  <c r="I89" i="85"/>
  <c r="I88" i="85"/>
  <c r="I87" i="85"/>
  <c r="I86" i="85"/>
  <c r="J86" i="85"/>
  <c r="I85" i="85"/>
  <c r="I84" i="85"/>
  <c r="I83" i="85"/>
  <c r="I82" i="85"/>
  <c r="I81" i="85"/>
  <c r="I80" i="85"/>
  <c r="I79" i="85"/>
  <c r="J79" i="85"/>
  <c r="I78" i="85"/>
  <c r="I77" i="85"/>
  <c r="I76" i="85"/>
  <c r="I75" i="85"/>
  <c r="I74" i="85"/>
  <c r="I73" i="85"/>
  <c r="I72" i="85"/>
  <c r="I71" i="85"/>
  <c r="I70" i="85"/>
  <c r="I69" i="85"/>
  <c r="I68" i="85"/>
  <c r="I67" i="85"/>
  <c r="I66" i="85"/>
  <c r="I65" i="85"/>
  <c r="I64" i="85"/>
  <c r="I63" i="85"/>
  <c r="I62" i="85"/>
  <c r="I61" i="85"/>
  <c r="I60" i="85"/>
  <c r="I59" i="85"/>
  <c r="I58" i="85"/>
  <c r="J58" i="85"/>
  <c r="I57" i="85"/>
  <c r="J57" i="85"/>
  <c r="I56" i="85"/>
  <c r="J56" i="85"/>
  <c r="I55" i="85"/>
  <c r="J55" i="85"/>
  <c r="I54" i="85"/>
  <c r="I53" i="85"/>
  <c r="I52" i="85"/>
  <c r="I51" i="85"/>
  <c r="I50" i="85"/>
  <c r="I49" i="85"/>
  <c r="I48" i="85"/>
  <c r="I47" i="85"/>
  <c r="I46" i="85"/>
  <c r="I45" i="85"/>
  <c r="I44" i="85"/>
  <c r="I43" i="85"/>
  <c r="J43" i="85"/>
  <c r="I42" i="85"/>
  <c r="J42" i="85" s="1"/>
  <c r="I41" i="85"/>
  <c r="J41" i="85"/>
  <c r="I40" i="85"/>
  <c r="J40" i="85" s="1"/>
  <c r="I39" i="85"/>
  <c r="J39" i="85"/>
  <c r="I38" i="85"/>
  <c r="I37" i="85"/>
  <c r="I36" i="85"/>
  <c r="I35" i="85"/>
  <c r="I34" i="85"/>
  <c r="I33" i="85"/>
  <c r="I32" i="85"/>
  <c r="I31" i="85"/>
  <c r="I30" i="85"/>
  <c r="I29" i="85"/>
  <c r="I28" i="85"/>
  <c r="I27" i="85"/>
  <c r="I26" i="85"/>
  <c r="I25" i="85"/>
  <c r="I24" i="85"/>
  <c r="I23" i="85"/>
  <c r="I22" i="85"/>
  <c r="I21" i="85"/>
  <c r="I20" i="85"/>
  <c r="I19" i="85"/>
  <c r="I18" i="85"/>
  <c r="I17" i="85"/>
  <c r="I16" i="85"/>
  <c r="I15" i="85"/>
  <c r="I14" i="85"/>
  <c r="I13" i="85"/>
  <c r="I12" i="85"/>
  <c r="I11" i="85"/>
  <c r="I10" i="85"/>
  <c r="E9" i="86"/>
  <c r="I9" i="86" s="1"/>
  <c r="G3566" i="84"/>
  <c r="G3565" i="84"/>
  <c r="G3585" i="84"/>
  <c r="G3583" i="84"/>
  <c r="G3576" i="84"/>
  <c r="G3574" i="84"/>
  <c r="E423" i="83"/>
  <c r="G9" i="83"/>
  <c r="G10" i="83"/>
  <c r="G11" i="83"/>
  <c r="G12" i="83"/>
  <c r="G13" i="83"/>
  <c r="G14" i="83"/>
  <c r="G15" i="83"/>
  <c r="G16" i="83"/>
  <c r="G17" i="83"/>
  <c r="G18" i="83"/>
  <c r="G19" i="83"/>
  <c r="G20" i="83"/>
  <c r="G21" i="83"/>
  <c r="G22" i="83"/>
  <c r="G23" i="83"/>
  <c r="G24" i="83"/>
  <c r="G25" i="83"/>
  <c r="G26" i="83"/>
  <c r="G27" i="83"/>
  <c r="G28" i="83"/>
  <c r="G29" i="83"/>
  <c r="G30" i="83"/>
  <c r="G31" i="83"/>
  <c r="G32" i="83"/>
  <c r="G33" i="83"/>
  <c r="G34" i="83"/>
  <c r="G35" i="83"/>
  <c r="G36" i="83"/>
  <c r="G37" i="83"/>
  <c r="G38" i="83"/>
  <c r="G39" i="83"/>
  <c r="G40" i="83"/>
  <c r="G41" i="83"/>
  <c r="G42" i="83"/>
  <c r="G43" i="83"/>
  <c r="G44" i="83"/>
  <c r="G45" i="83"/>
  <c r="G46" i="83"/>
  <c r="G47" i="83"/>
  <c r="G48" i="83"/>
  <c r="G49" i="83"/>
  <c r="G50" i="83"/>
  <c r="G51" i="83"/>
  <c r="G52" i="83"/>
  <c r="G53" i="83"/>
  <c r="G54" i="83"/>
  <c r="G55" i="83"/>
  <c r="G56" i="83"/>
  <c r="G57" i="83"/>
  <c r="G58" i="83"/>
  <c r="G59" i="83"/>
  <c r="G60" i="83"/>
  <c r="G61" i="83"/>
  <c r="G62" i="83"/>
  <c r="G63" i="83"/>
  <c r="G64" i="83"/>
  <c r="G65" i="83"/>
  <c r="G66" i="83"/>
  <c r="G67" i="83"/>
  <c r="G68" i="83"/>
  <c r="G69" i="83"/>
  <c r="G70" i="83"/>
  <c r="G71" i="83"/>
  <c r="G72" i="83"/>
  <c r="G73" i="83"/>
  <c r="G74" i="83"/>
  <c r="G75" i="83"/>
  <c r="G76" i="83"/>
  <c r="G77" i="83"/>
  <c r="G78" i="83"/>
  <c r="G79" i="83"/>
  <c r="G80" i="83"/>
  <c r="G81" i="83"/>
  <c r="G82" i="83"/>
  <c r="G83" i="83"/>
  <c r="G84" i="83"/>
  <c r="G85" i="83"/>
  <c r="G86" i="83"/>
  <c r="G87" i="83"/>
  <c r="G88" i="83"/>
  <c r="G89" i="83"/>
  <c r="G90" i="83"/>
  <c r="G91" i="83"/>
  <c r="G92" i="83"/>
  <c r="G93" i="83"/>
  <c r="G94" i="83"/>
  <c r="G95" i="83"/>
  <c r="G96" i="83"/>
  <c r="G97" i="83"/>
  <c r="G98" i="83"/>
  <c r="G99" i="83"/>
  <c r="G100" i="83"/>
  <c r="G101" i="83"/>
  <c r="G102" i="83"/>
  <c r="G103" i="83"/>
  <c r="G104" i="83"/>
  <c r="G105" i="83"/>
  <c r="G106" i="83"/>
  <c r="G107" i="83"/>
  <c r="G108" i="83"/>
  <c r="G109" i="83"/>
  <c r="G110" i="83"/>
  <c r="G111" i="83"/>
  <c r="G112" i="83"/>
  <c r="G113" i="83"/>
  <c r="G114" i="83"/>
  <c r="G115" i="83"/>
  <c r="G116" i="83"/>
  <c r="G117" i="83"/>
  <c r="G118" i="83"/>
  <c r="G119" i="83"/>
  <c r="G120" i="83"/>
  <c r="G121" i="83"/>
  <c r="G122" i="83"/>
  <c r="G123" i="83"/>
  <c r="G124" i="83"/>
  <c r="G125" i="83"/>
  <c r="G126" i="83"/>
  <c r="G127" i="83"/>
  <c r="G128" i="83"/>
  <c r="G129" i="83"/>
  <c r="G130" i="83"/>
  <c r="G131" i="83"/>
  <c r="G132" i="83"/>
  <c r="G133" i="83"/>
  <c r="G134" i="83"/>
  <c r="G135" i="83"/>
  <c r="G136" i="83"/>
  <c r="G137" i="83"/>
  <c r="G138" i="83"/>
  <c r="G139" i="83"/>
  <c r="G140" i="83"/>
  <c r="G141" i="83"/>
  <c r="G142" i="83"/>
  <c r="G143" i="83"/>
  <c r="G144" i="83"/>
  <c r="G145" i="83"/>
  <c r="G146" i="83"/>
  <c r="G147" i="83"/>
  <c r="G148" i="83"/>
  <c r="G149" i="83"/>
  <c r="G150" i="83"/>
  <c r="G151" i="83"/>
  <c r="G152" i="83"/>
  <c r="G153" i="83"/>
  <c r="G154" i="83"/>
  <c r="G155" i="83"/>
  <c r="G156" i="83"/>
  <c r="G157" i="83"/>
  <c r="G158" i="83"/>
  <c r="G159" i="83"/>
  <c r="G160" i="83"/>
  <c r="G161" i="83"/>
  <c r="G162" i="83"/>
  <c r="G163" i="83"/>
  <c r="G164" i="83"/>
  <c r="G165" i="83"/>
  <c r="G166" i="83"/>
  <c r="G167" i="83"/>
  <c r="G168" i="83"/>
  <c r="G169" i="83"/>
  <c r="G170" i="83"/>
  <c r="G171" i="83"/>
  <c r="G172" i="83"/>
  <c r="G173" i="83"/>
  <c r="G174" i="83"/>
  <c r="G175" i="83"/>
  <c r="G176" i="83"/>
  <c r="G177" i="83"/>
  <c r="G178" i="83"/>
  <c r="G179" i="83"/>
  <c r="G180" i="83"/>
  <c r="G181" i="83"/>
  <c r="G182" i="83"/>
  <c r="G183" i="83"/>
  <c r="G184" i="83"/>
  <c r="G185" i="83"/>
  <c r="G186" i="83"/>
  <c r="G187" i="83"/>
  <c r="G188" i="83"/>
  <c r="G189" i="83"/>
  <c r="G190" i="83"/>
  <c r="G191" i="83"/>
  <c r="G192" i="83"/>
  <c r="G193" i="83"/>
  <c r="G194" i="83"/>
  <c r="G195" i="83"/>
  <c r="G196" i="83"/>
  <c r="G197" i="83"/>
  <c r="G198" i="83"/>
  <c r="G199" i="83"/>
  <c r="G200" i="83"/>
  <c r="G201" i="83"/>
  <c r="G202" i="83"/>
  <c r="G203" i="83"/>
  <c r="G204" i="83"/>
  <c r="G205" i="83"/>
  <c r="G206" i="83"/>
  <c r="G207" i="83"/>
  <c r="G208" i="83"/>
  <c r="G209" i="83"/>
  <c r="G210" i="83"/>
  <c r="G211" i="83"/>
  <c r="G212" i="83"/>
  <c r="G213" i="83"/>
  <c r="G214" i="83"/>
  <c r="G215" i="83"/>
  <c r="G216" i="83"/>
  <c r="G217" i="83"/>
  <c r="G218" i="83"/>
  <c r="G219" i="83"/>
  <c r="G220" i="83"/>
  <c r="G221" i="83"/>
  <c r="G222" i="83"/>
  <c r="G223" i="83"/>
  <c r="G224" i="83"/>
  <c r="G225" i="83"/>
  <c r="G226" i="83"/>
  <c r="G227" i="83"/>
  <c r="G228" i="83"/>
  <c r="G229" i="83"/>
  <c r="G230" i="83"/>
  <c r="G231" i="83"/>
  <c r="G232" i="83"/>
  <c r="G233" i="83"/>
  <c r="G234" i="83"/>
  <c r="G235" i="83"/>
  <c r="G236" i="83"/>
  <c r="G237" i="83"/>
  <c r="G238" i="83"/>
  <c r="G239" i="83"/>
  <c r="G240" i="83"/>
  <c r="G241" i="83"/>
  <c r="G242" i="83"/>
  <c r="G243" i="83"/>
  <c r="G244" i="83"/>
  <c r="G245" i="83"/>
  <c r="G246" i="83"/>
  <c r="G247" i="83"/>
  <c r="G248" i="83"/>
  <c r="G249" i="83"/>
  <c r="G250" i="83"/>
  <c r="G251" i="83"/>
  <c r="G252" i="83"/>
  <c r="G253" i="83"/>
  <c r="G254" i="83"/>
  <c r="G255" i="83"/>
  <c r="G256" i="83"/>
  <c r="G257" i="83"/>
  <c r="G258" i="83"/>
  <c r="G259" i="83"/>
  <c r="G260" i="83"/>
  <c r="G261" i="83"/>
  <c r="G262" i="83"/>
  <c r="G263" i="83"/>
  <c r="G264" i="83"/>
  <c r="G265" i="83"/>
  <c r="G266" i="83"/>
  <c r="G267" i="83"/>
  <c r="G268" i="83"/>
  <c r="G269" i="83"/>
  <c r="G270" i="83"/>
  <c r="G271" i="83"/>
  <c r="G272" i="83"/>
  <c r="G273" i="83"/>
  <c r="G274" i="83"/>
  <c r="G275" i="83"/>
  <c r="G276" i="83"/>
  <c r="G277" i="83"/>
  <c r="G278" i="83"/>
  <c r="G279" i="83"/>
  <c r="G280" i="83"/>
  <c r="G281" i="83"/>
  <c r="G282" i="83"/>
  <c r="G283" i="83"/>
  <c r="G284" i="83"/>
  <c r="G285" i="83"/>
  <c r="G286" i="83"/>
  <c r="G287" i="83"/>
  <c r="G288" i="83"/>
  <c r="G289" i="83"/>
  <c r="G290" i="83"/>
  <c r="G291" i="83"/>
  <c r="G292" i="83"/>
  <c r="G293" i="83"/>
  <c r="G294" i="83"/>
  <c r="G295" i="83"/>
  <c r="G296" i="83"/>
  <c r="G297" i="83"/>
  <c r="G298" i="83"/>
  <c r="G299" i="83"/>
  <c r="G300" i="83"/>
  <c r="G301" i="83"/>
  <c r="G302" i="83"/>
  <c r="G303" i="83"/>
  <c r="G304" i="83"/>
  <c r="G305" i="83"/>
  <c r="G306" i="83"/>
  <c r="G307" i="83"/>
  <c r="G308" i="83"/>
  <c r="G309" i="83"/>
  <c r="G310" i="83"/>
  <c r="G311" i="83"/>
  <c r="G312" i="83"/>
  <c r="G313" i="83"/>
  <c r="G314" i="83"/>
  <c r="G315" i="83"/>
  <c r="G316" i="83"/>
  <c r="G317" i="83"/>
  <c r="G318" i="83"/>
  <c r="G319" i="83"/>
  <c r="G320" i="83"/>
  <c r="G321" i="83"/>
  <c r="G322" i="83"/>
  <c r="G323" i="83"/>
  <c r="G324" i="83"/>
  <c r="G325" i="83"/>
  <c r="G326" i="83"/>
  <c r="G327" i="83"/>
  <c r="G328" i="83"/>
  <c r="G329" i="83"/>
  <c r="G330" i="83"/>
  <c r="G331" i="83"/>
  <c r="G332" i="83"/>
  <c r="G333" i="83"/>
  <c r="G334" i="83"/>
  <c r="G335" i="83"/>
  <c r="G336" i="83"/>
  <c r="G337" i="83"/>
  <c r="G338" i="83"/>
  <c r="G339" i="83"/>
  <c r="G340" i="83"/>
  <c r="G341" i="83"/>
  <c r="G342" i="83"/>
  <c r="G343" i="83"/>
  <c r="G344" i="83"/>
  <c r="G345" i="83"/>
  <c r="G346" i="83"/>
  <c r="G347" i="83"/>
  <c r="G348" i="83"/>
  <c r="G349" i="83"/>
  <c r="G350" i="83"/>
  <c r="G351" i="83"/>
  <c r="I351" i="83"/>
  <c r="G352" i="83"/>
  <c r="G353" i="83"/>
  <c r="G354" i="83"/>
  <c r="G355" i="83"/>
  <c r="G356" i="83"/>
  <c r="G357" i="83"/>
  <c r="G358" i="83"/>
  <c r="G359" i="83"/>
  <c r="G360" i="83"/>
  <c r="G362" i="83"/>
  <c r="G364" i="83"/>
  <c r="G365" i="83"/>
  <c r="G367" i="83"/>
  <c r="G368" i="83"/>
  <c r="G369" i="83"/>
  <c r="G371" i="83"/>
  <c r="G372" i="83"/>
  <c r="G374" i="83"/>
  <c r="G376" i="83"/>
  <c r="G378" i="83"/>
  <c r="G380" i="83"/>
  <c r="G381" i="83"/>
  <c r="G383" i="83"/>
  <c r="G385" i="83"/>
  <c r="G386" i="83"/>
  <c r="G388" i="83"/>
  <c r="G390" i="83"/>
  <c r="G391" i="83"/>
  <c r="G392" i="83"/>
  <c r="G394" i="83"/>
  <c r="G395" i="83"/>
  <c r="G397" i="83"/>
  <c r="G399" i="83"/>
  <c r="G400" i="83"/>
  <c r="G401" i="83"/>
  <c r="G402" i="83"/>
  <c r="G403" i="83"/>
  <c r="G405" i="83"/>
  <c r="G406" i="83"/>
  <c r="G408" i="83"/>
  <c r="G409" i="83"/>
  <c r="G411" i="83"/>
  <c r="G412" i="83"/>
  <c r="G414" i="83"/>
  <c r="G415" i="83"/>
  <c r="G417" i="83"/>
  <c r="G418" i="83"/>
  <c r="G420" i="83"/>
  <c r="G421" i="83"/>
  <c r="G422" i="83"/>
  <c r="G423" i="83"/>
  <c r="E419" i="83"/>
  <c r="G419" i="83"/>
  <c r="I419" i="83"/>
  <c r="E416" i="83"/>
  <c r="G416" i="83"/>
  <c r="E413" i="83"/>
  <c r="G413" i="83"/>
  <c r="E410" i="83"/>
  <c r="G410" i="83"/>
  <c r="E407" i="83"/>
  <c r="G407" i="83"/>
  <c r="E404" i="83"/>
  <c r="G404" i="83"/>
  <c r="H423" i="83"/>
  <c r="H419" i="83"/>
  <c r="H416" i="83"/>
  <c r="I416" i="83"/>
  <c r="H413" i="83"/>
  <c r="I413" i="83"/>
  <c r="H410" i="83"/>
  <c r="I410" i="83"/>
  <c r="H407" i="83"/>
  <c r="I407" i="83"/>
  <c r="H404" i="83"/>
  <c r="I404" i="83"/>
  <c r="H398" i="83"/>
  <c r="I398" i="83"/>
  <c r="E398" i="83"/>
  <c r="G398" i="83"/>
  <c r="H396" i="83"/>
  <c r="I396" i="83"/>
  <c r="E396" i="83"/>
  <c r="G396" i="83"/>
  <c r="H393" i="83"/>
  <c r="E393" i="83"/>
  <c r="G393" i="83"/>
  <c r="I393" i="83"/>
  <c r="H389" i="83"/>
  <c r="E389" i="83"/>
  <c r="G389" i="83"/>
  <c r="H387" i="83"/>
  <c r="E387" i="83"/>
  <c r="G387" i="83"/>
  <c r="H384" i="83"/>
  <c r="I384" i="83"/>
  <c r="E384" i="83"/>
  <c r="G384" i="83"/>
  <c r="H382" i="83"/>
  <c r="E382" i="83"/>
  <c r="G382" i="83"/>
  <c r="H379" i="83"/>
  <c r="E379" i="83"/>
  <c r="G379" i="83"/>
  <c r="H377" i="83"/>
  <c r="E377" i="83"/>
  <c r="G377" i="83"/>
  <c r="I377" i="83"/>
  <c r="H375" i="83"/>
  <c r="E375" i="83"/>
  <c r="G375" i="83"/>
  <c r="H373" i="83"/>
  <c r="I373" i="83"/>
  <c r="E373" i="83"/>
  <c r="G373" i="83"/>
  <c r="E370" i="83"/>
  <c r="G370" i="83"/>
  <c r="I370" i="83"/>
  <c r="E366" i="83"/>
  <c r="G366" i="83"/>
  <c r="E363" i="83"/>
  <c r="G363" i="83"/>
  <c r="I363" i="83"/>
  <c r="E361" i="83"/>
  <c r="G361" i="83"/>
  <c r="I361" i="83"/>
  <c r="H370" i="83"/>
  <c r="H366" i="83"/>
  <c r="I366" i="83"/>
  <c r="H363" i="83"/>
  <c r="H361" i="83"/>
  <c r="H355" i="83"/>
  <c r="I355" i="83"/>
  <c r="H351" i="83"/>
  <c r="H348" i="83"/>
  <c r="I348" i="83"/>
  <c r="H346" i="83"/>
  <c r="H342" i="83"/>
  <c r="I342" i="83"/>
  <c r="H340" i="83"/>
  <c r="H336" i="83"/>
  <c r="I336" i="83"/>
  <c r="H333" i="83"/>
  <c r="I333" i="83"/>
  <c r="H330" i="83"/>
  <c r="I330" i="83"/>
  <c r="H328" i="83"/>
  <c r="H325" i="83"/>
  <c r="I325" i="83"/>
  <c r="H322" i="83"/>
  <c r="H319" i="83"/>
  <c r="I319" i="83"/>
  <c r="H315" i="83"/>
  <c r="I315" i="83"/>
  <c r="H313" i="83"/>
  <c r="I313" i="83"/>
  <c r="H310" i="83"/>
  <c r="H307" i="83"/>
  <c r="H303" i="83"/>
  <c r="I303" i="83"/>
  <c r="H301" i="83"/>
  <c r="H298" i="83"/>
  <c r="I298" i="83"/>
  <c r="H296" i="83"/>
  <c r="I296" i="83"/>
  <c r="H294" i="83"/>
  <c r="H290" i="83"/>
  <c r="I290" i="83"/>
  <c r="H287" i="83"/>
  <c r="H283" i="83"/>
  <c r="I283" i="83"/>
  <c r="H281" i="83"/>
  <c r="H278" i="83"/>
  <c r="I278" i="83"/>
  <c r="H276" i="83"/>
  <c r="H272" i="83"/>
  <c r="I272" i="83"/>
  <c r="H269" i="83"/>
  <c r="I269" i="83"/>
  <c r="H267" i="83"/>
  <c r="H263" i="83"/>
  <c r="H261" i="83"/>
  <c r="I261" i="83"/>
  <c r="H258" i="83"/>
  <c r="I258" i="83"/>
  <c r="H255" i="83"/>
  <c r="H253" i="83"/>
  <c r="H250" i="83"/>
  <c r="H247" i="83"/>
  <c r="I247" i="83"/>
  <c r="H244" i="83"/>
  <c r="H239" i="83"/>
  <c r="I239" i="83"/>
  <c r="H236" i="83"/>
  <c r="I236" i="83"/>
  <c r="H234" i="83"/>
  <c r="H230" i="83"/>
  <c r="H228" i="83"/>
  <c r="I228" i="83"/>
  <c r="H225" i="83"/>
  <c r="I225" i="83"/>
  <c r="H222" i="83"/>
  <c r="H220" i="83"/>
  <c r="I220" i="83"/>
  <c r="H217" i="83"/>
  <c r="H214" i="83"/>
  <c r="I214" i="83"/>
  <c r="H211" i="83"/>
  <c r="I211" i="83"/>
  <c r="H207" i="83"/>
  <c r="H205" i="83"/>
  <c r="H202" i="83"/>
  <c r="H199" i="83"/>
  <c r="I199" i="83"/>
  <c r="H195" i="83"/>
  <c r="H193" i="83"/>
  <c r="H191" i="83"/>
  <c r="I191" i="83"/>
  <c r="H188" i="83"/>
  <c r="I188" i="83"/>
  <c r="H186" i="83"/>
  <c r="I186" i="83"/>
  <c r="H184" i="83"/>
  <c r="I184" i="83"/>
  <c r="H180" i="83"/>
  <c r="I180" i="83"/>
  <c r="H177" i="83"/>
  <c r="H173" i="83"/>
  <c r="I173" i="83"/>
  <c r="H171" i="83"/>
  <c r="H168" i="83"/>
  <c r="I168" i="83"/>
  <c r="H166" i="83"/>
  <c r="H161" i="83"/>
  <c r="I161" i="83"/>
  <c r="H158" i="83"/>
  <c r="I158" i="83"/>
  <c r="H156" i="83"/>
  <c r="I156" i="83"/>
  <c r="H152" i="83"/>
  <c r="I152" i="83"/>
  <c r="H149" i="83"/>
  <c r="H147" i="83"/>
  <c r="I147" i="83"/>
  <c r="H143" i="83"/>
  <c r="I143" i="83"/>
  <c r="H140" i="83"/>
  <c r="I140" i="83"/>
  <c r="H137" i="83"/>
  <c r="I137" i="83"/>
  <c r="H135" i="83"/>
  <c r="H132" i="83"/>
  <c r="I132" i="83"/>
  <c r="H129" i="83"/>
  <c r="I129" i="83"/>
  <c r="H126" i="83"/>
  <c r="H120" i="83"/>
  <c r="I120" i="83"/>
  <c r="H118" i="83"/>
  <c r="I118" i="83"/>
  <c r="H115" i="83"/>
  <c r="I115" i="83"/>
  <c r="H112" i="83"/>
  <c r="I112" i="83"/>
  <c r="H110" i="83"/>
  <c r="I110" i="83"/>
  <c r="H107" i="83"/>
  <c r="H104" i="83"/>
  <c r="I104" i="83"/>
  <c r="H101" i="83"/>
  <c r="H97" i="83"/>
  <c r="I97" i="83"/>
  <c r="H95" i="83"/>
  <c r="H93" i="83"/>
  <c r="H90" i="83"/>
  <c r="I90" i="83"/>
  <c r="H87" i="83"/>
  <c r="H84" i="83"/>
  <c r="I84" i="83"/>
  <c r="H80" i="83"/>
  <c r="I80" i="83"/>
  <c r="H77" i="83"/>
  <c r="H73" i="83"/>
  <c r="H70" i="83"/>
  <c r="H67" i="83"/>
  <c r="I67" i="83"/>
  <c r="H65" i="83"/>
  <c r="I65" i="83"/>
  <c r="H63" i="83"/>
  <c r="I63" i="83"/>
  <c r="H58" i="83"/>
  <c r="H55" i="83"/>
  <c r="H53" i="83"/>
  <c r="I53" i="83"/>
  <c r="H51" i="83"/>
  <c r="I51" i="83"/>
  <c r="H48" i="83"/>
  <c r="I48" i="83"/>
  <c r="H44" i="83"/>
  <c r="I44" i="83"/>
  <c r="H41" i="83"/>
  <c r="H39" i="83"/>
  <c r="I39" i="83"/>
  <c r="H36" i="83"/>
  <c r="I36" i="83"/>
  <c r="H32" i="83"/>
  <c r="I32" i="83"/>
  <c r="H30" i="83"/>
  <c r="I30" i="83"/>
  <c r="H26" i="83"/>
  <c r="H23" i="83"/>
  <c r="I23" i="83"/>
  <c r="H20" i="83"/>
  <c r="I20" i="83"/>
  <c r="H18" i="83"/>
  <c r="I18" i="83"/>
  <c r="H15" i="83"/>
  <c r="I15" i="83"/>
  <c r="H12" i="83"/>
  <c r="I12" i="83"/>
  <c r="G8" i="83"/>
  <c r="H422" i="83"/>
  <c r="H421" i="83"/>
  <c r="I421" i="83"/>
  <c r="H420" i="83"/>
  <c r="H418" i="83"/>
  <c r="H417" i="83"/>
  <c r="I417" i="83"/>
  <c r="H415" i="83"/>
  <c r="I415" i="83"/>
  <c r="H414" i="83"/>
  <c r="H412" i="83"/>
  <c r="H411" i="83"/>
  <c r="H409" i="83"/>
  <c r="H408" i="83"/>
  <c r="H406" i="83"/>
  <c r="H405" i="83"/>
  <c r="H403" i="83"/>
  <c r="I403" i="83"/>
  <c r="H402" i="83"/>
  <c r="H401" i="83"/>
  <c r="I401" i="83"/>
  <c r="H400" i="83"/>
  <c r="H399" i="83"/>
  <c r="I399" i="83"/>
  <c r="H397" i="83"/>
  <c r="I397" i="83"/>
  <c r="H395" i="83"/>
  <c r="I395" i="83"/>
  <c r="H394" i="83"/>
  <c r="H392" i="83"/>
  <c r="I392" i="83"/>
  <c r="H391" i="83"/>
  <c r="H390" i="83"/>
  <c r="H388" i="83"/>
  <c r="H386" i="83"/>
  <c r="H385" i="83"/>
  <c r="I385" i="83"/>
  <c r="H383" i="83"/>
  <c r="H381" i="83"/>
  <c r="I381" i="83"/>
  <c r="H380" i="83"/>
  <c r="I380" i="83"/>
  <c r="H378" i="83"/>
  <c r="H376" i="83"/>
  <c r="H374" i="83"/>
  <c r="H372" i="83"/>
  <c r="I372" i="83"/>
  <c r="H371" i="83"/>
  <c r="I371" i="83"/>
  <c r="H369" i="83"/>
  <c r="I369" i="83"/>
  <c r="H368" i="83"/>
  <c r="H367" i="83"/>
  <c r="I367" i="83"/>
  <c r="H365" i="83"/>
  <c r="H364" i="83"/>
  <c r="H362" i="83"/>
  <c r="H360" i="83"/>
  <c r="I360" i="83"/>
  <c r="H359" i="83"/>
  <c r="I359" i="83"/>
  <c r="H358" i="83"/>
  <c r="I358" i="83"/>
  <c r="H357" i="83"/>
  <c r="H356" i="83"/>
  <c r="I356" i="83"/>
  <c r="H354" i="83"/>
  <c r="H353" i="83"/>
  <c r="I353" i="83"/>
  <c r="H352" i="83"/>
  <c r="H350" i="83"/>
  <c r="H349" i="83"/>
  <c r="I349" i="83"/>
  <c r="H347" i="83"/>
  <c r="H345" i="83"/>
  <c r="H344" i="83"/>
  <c r="I344" i="83"/>
  <c r="H343" i="83"/>
  <c r="I343" i="83"/>
  <c r="H341" i="83"/>
  <c r="H339" i="83"/>
  <c r="I339" i="83"/>
  <c r="H338" i="83"/>
  <c r="I338" i="83"/>
  <c r="H337" i="83"/>
  <c r="I337" i="83"/>
  <c r="H335" i="83"/>
  <c r="H334" i="83"/>
  <c r="I334" i="83"/>
  <c r="H332" i="83"/>
  <c r="I332" i="83"/>
  <c r="H331" i="83"/>
  <c r="I331" i="83"/>
  <c r="H329" i="83"/>
  <c r="H327" i="83"/>
  <c r="I327" i="83"/>
  <c r="H326" i="83"/>
  <c r="I326" i="83"/>
  <c r="H324" i="83"/>
  <c r="I324" i="83"/>
  <c r="H323" i="83"/>
  <c r="I323" i="83"/>
  <c r="H321" i="83"/>
  <c r="I321" i="83"/>
  <c r="H320" i="83"/>
  <c r="I320" i="83"/>
  <c r="H318" i="83"/>
  <c r="I318" i="83"/>
  <c r="H317" i="83"/>
  <c r="H316" i="83"/>
  <c r="I316" i="83"/>
  <c r="H314" i="83"/>
  <c r="H312" i="83"/>
  <c r="H311" i="83"/>
  <c r="I311" i="83"/>
  <c r="H309" i="83"/>
  <c r="H308" i="83"/>
  <c r="H306" i="83"/>
  <c r="H305" i="83"/>
  <c r="I305" i="83"/>
  <c r="H304" i="83"/>
  <c r="I304" i="83"/>
  <c r="H302" i="83"/>
  <c r="I302" i="83"/>
  <c r="H300" i="83"/>
  <c r="H299" i="83"/>
  <c r="I299" i="83"/>
  <c r="H297" i="83"/>
  <c r="I297" i="83"/>
  <c r="H295" i="83"/>
  <c r="I295" i="83"/>
  <c r="H293" i="83"/>
  <c r="I293" i="83"/>
  <c r="H292" i="83"/>
  <c r="H291" i="83"/>
  <c r="I291" i="83"/>
  <c r="H289" i="83"/>
  <c r="H288" i="83"/>
  <c r="H286" i="83"/>
  <c r="H285" i="83"/>
  <c r="I285" i="83"/>
  <c r="H284" i="83"/>
  <c r="H282" i="83"/>
  <c r="H280" i="83"/>
  <c r="I280" i="83"/>
  <c r="H279" i="83"/>
  <c r="H277" i="83"/>
  <c r="H275" i="83"/>
  <c r="H274" i="83"/>
  <c r="H273" i="83"/>
  <c r="I273" i="83"/>
  <c r="H271" i="83"/>
  <c r="I271" i="83"/>
  <c r="H270" i="83"/>
  <c r="H268" i="83"/>
  <c r="I268" i="83"/>
  <c r="H266" i="83"/>
  <c r="H265" i="83"/>
  <c r="H264" i="83"/>
  <c r="H262" i="83"/>
  <c r="H260" i="83"/>
  <c r="H259" i="83"/>
  <c r="H257" i="83"/>
  <c r="I257" i="83"/>
  <c r="H256" i="83"/>
  <c r="I256" i="83"/>
  <c r="H254" i="83"/>
  <c r="H252" i="83"/>
  <c r="H251" i="83"/>
  <c r="H249" i="83"/>
  <c r="I249" i="83"/>
  <c r="H248" i="83"/>
  <c r="I248" i="83"/>
  <c r="H246" i="83"/>
  <c r="I246" i="83"/>
  <c r="H245" i="83"/>
  <c r="I245" i="83"/>
  <c r="H243" i="83"/>
  <c r="I243" i="83"/>
  <c r="H242" i="83"/>
  <c r="I242" i="83"/>
  <c r="H241" i="83"/>
  <c r="H240" i="83"/>
  <c r="I240" i="83"/>
  <c r="H238" i="83"/>
  <c r="I238" i="83"/>
  <c r="H237" i="83"/>
  <c r="H235" i="83"/>
  <c r="H233" i="83"/>
  <c r="H232" i="83"/>
  <c r="I232" i="83"/>
  <c r="H231" i="83"/>
  <c r="H229" i="83"/>
  <c r="H227" i="83"/>
  <c r="I227" i="83"/>
  <c r="H226" i="83"/>
  <c r="I226" i="83"/>
  <c r="H224" i="83"/>
  <c r="I224" i="83"/>
  <c r="H223" i="83"/>
  <c r="I223" i="83"/>
  <c r="H221" i="83"/>
  <c r="I221" i="83"/>
  <c r="H219" i="83"/>
  <c r="H218" i="83"/>
  <c r="I218" i="83"/>
  <c r="H216" i="83"/>
  <c r="I216" i="83"/>
  <c r="H215" i="83"/>
  <c r="H213" i="83"/>
  <c r="H212" i="83"/>
  <c r="I212" i="83"/>
  <c r="H210" i="83"/>
  <c r="H209" i="83"/>
  <c r="H208" i="83"/>
  <c r="I208" i="83"/>
  <c r="H206" i="83"/>
  <c r="H204" i="83"/>
  <c r="I204" i="83"/>
  <c r="H203" i="83"/>
  <c r="I203" i="83"/>
  <c r="H201" i="83"/>
  <c r="I201" i="83"/>
  <c r="H200" i="83"/>
  <c r="I200" i="83"/>
  <c r="H198" i="83"/>
  <c r="H197" i="83"/>
  <c r="H196" i="83"/>
  <c r="I196" i="83"/>
  <c r="H194" i="83"/>
  <c r="H192" i="83"/>
  <c r="I192" i="83"/>
  <c r="H190" i="83"/>
  <c r="I190" i="83"/>
  <c r="H189" i="83"/>
  <c r="H187" i="83"/>
  <c r="I187" i="83"/>
  <c r="H185" i="83"/>
  <c r="H183" i="83"/>
  <c r="H182" i="83"/>
  <c r="H181" i="83"/>
  <c r="I181" i="83"/>
  <c r="H179" i="83"/>
  <c r="I179" i="83"/>
  <c r="H178" i="83"/>
  <c r="I178" i="83"/>
  <c r="H176" i="83"/>
  <c r="I176" i="83"/>
  <c r="H175" i="83"/>
  <c r="I175" i="83"/>
  <c r="H174" i="83"/>
  <c r="I174" i="83"/>
  <c r="H172" i="83"/>
  <c r="I172" i="83"/>
  <c r="H170" i="83"/>
  <c r="I170" i="83"/>
  <c r="H169" i="83"/>
  <c r="H167" i="83"/>
  <c r="H165" i="83"/>
  <c r="I165" i="83"/>
  <c r="H164" i="83"/>
  <c r="I164" i="83"/>
  <c r="H163" i="83"/>
  <c r="H162" i="83"/>
  <c r="H160" i="83"/>
  <c r="I160" i="83"/>
  <c r="H159" i="83"/>
  <c r="I159" i="83"/>
  <c r="H157" i="83"/>
  <c r="I157" i="83"/>
  <c r="H155" i="83"/>
  <c r="H154" i="83"/>
  <c r="I154" i="83"/>
  <c r="H153" i="83"/>
  <c r="H151" i="83"/>
  <c r="I151" i="83"/>
  <c r="H150" i="83"/>
  <c r="I150" i="83"/>
  <c r="H148" i="83"/>
  <c r="I148" i="83"/>
  <c r="H146" i="83"/>
  <c r="I146" i="83"/>
  <c r="H145" i="83"/>
  <c r="H144" i="83"/>
  <c r="I144" i="83"/>
  <c r="H142" i="83"/>
  <c r="H141" i="83"/>
  <c r="H139" i="83"/>
  <c r="H138" i="83"/>
  <c r="H136" i="83"/>
  <c r="I136" i="83"/>
  <c r="H134" i="83"/>
  <c r="I134" i="83"/>
  <c r="H133" i="83"/>
  <c r="H131" i="83"/>
  <c r="I131" i="83"/>
  <c r="H130" i="83"/>
  <c r="H128" i="83"/>
  <c r="I128" i="83"/>
  <c r="H127" i="83"/>
  <c r="I127" i="83"/>
  <c r="H125" i="83"/>
  <c r="I125" i="83"/>
  <c r="H124" i="83"/>
  <c r="I124" i="83"/>
  <c r="H123" i="83"/>
  <c r="I123" i="83"/>
  <c r="H122" i="83"/>
  <c r="H121" i="83"/>
  <c r="H119" i="83"/>
  <c r="H117" i="83"/>
  <c r="I117" i="83"/>
  <c r="H116" i="83"/>
  <c r="I116" i="83"/>
  <c r="H114" i="83"/>
  <c r="I114" i="83"/>
  <c r="H113" i="83"/>
  <c r="I113" i="83"/>
  <c r="H111" i="83"/>
  <c r="H109" i="83"/>
  <c r="H108" i="83"/>
  <c r="I108" i="83"/>
  <c r="H106" i="83"/>
  <c r="I106" i="83"/>
  <c r="H105" i="83"/>
  <c r="H103" i="83"/>
  <c r="I103" i="83"/>
  <c r="H102" i="83"/>
  <c r="I102" i="83"/>
  <c r="H100" i="83"/>
  <c r="I100" i="83"/>
  <c r="H99" i="83"/>
  <c r="H98" i="83"/>
  <c r="I98" i="83"/>
  <c r="H96" i="83"/>
  <c r="I96" i="83"/>
  <c r="H94" i="83"/>
  <c r="I94" i="83"/>
  <c r="H92" i="83"/>
  <c r="I92" i="83"/>
  <c r="H91" i="83"/>
  <c r="I91" i="83"/>
  <c r="H89" i="83"/>
  <c r="H88" i="83"/>
  <c r="I88" i="83"/>
  <c r="H86" i="83"/>
  <c r="H85" i="83"/>
  <c r="I85" i="83"/>
  <c r="H83" i="83"/>
  <c r="H82" i="83"/>
  <c r="I82" i="83"/>
  <c r="H81" i="83"/>
  <c r="I81" i="83"/>
  <c r="H79" i="83"/>
  <c r="H78" i="83"/>
  <c r="H76" i="83"/>
  <c r="I76" i="83"/>
  <c r="H75" i="83"/>
  <c r="I75" i="83"/>
  <c r="H74" i="83"/>
  <c r="H72" i="83"/>
  <c r="I72" i="83"/>
  <c r="H71" i="83"/>
  <c r="I71" i="83"/>
  <c r="H69" i="83"/>
  <c r="I69" i="83"/>
  <c r="H68" i="83"/>
  <c r="I68" i="83"/>
  <c r="H66" i="83"/>
  <c r="H64" i="83"/>
  <c r="I64" i="83"/>
  <c r="H62" i="83"/>
  <c r="I62" i="83"/>
  <c r="H61" i="83"/>
  <c r="I61" i="83"/>
  <c r="H60" i="83"/>
  <c r="I60" i="83"/>
  <c r="H59" i="83"/>
  <c r="I59" i="83"/>
  <c r="H57" i="83"/>
  <c r="H56" i="83"/>
  <c r="I56" i="83"/>
  <c r="H54" i="83"/>
  <c r="H52" i="83"/>
  <c r="I52" i="83"/>
  <c r="H50" i="83"/>
  <c r="H49" i="83"/>
  <c r="I49" i="83"/>
  <c r="H47" i="83"/>
  <c r="I47" i="83"/>
  <c r="H46" i="83"/>
  <c r="H45" i="83"/>
  <c r="I45" i="83"/>
  <c r="H43" i="83"/>
  <c r="I43" i="83"/>
  <c r="H42" i="83"/>
  <c r="H40" i="83"/>
  <c r="I40" i="83"/>
  <c r="H38" i="83"/>
  <c r="H37" i="83"/>
  <c r="H35" i="83"/>
  <c r="H34" i="83"/>
  <c r="H33" i="83"/>
  <c r="I33" i="83"/>
  <c r="H31" i="83"/>
  <c r="I31" i="83"/>
  <c r="H29" i="83"/>
  <c r="I29" i="83"/>
  <c r="H28" i="83"/>
  <c r="I28" i="83"/>
  <c r="H27" i="83"/>
  <c r="I27" i="83"/>
  <c r="H25" i="83"/>
  <c r="I25" i="83"/>
  <c r="H24" i="83"/>
  <c r="I24" i="83"/>
  <c r="H22" i="83"/>
  <c r="H21" i="83"/>
  <c r="I21" i="83"/>
  <c r="H19" i="83"/>
  <c r="I19" i="83"/>
  <c r="H17" i="83"/>
  <c r="I17" i="83"/>
  <c r="H16" i="83"/>
  <c r="I16" i="83"/>
  <c r="H14" i="83"/>
  <c r="I14" i="83"/>
  <c r="H13" i="83"/>
  <c r="I13" i="83"/>
  <c r="H11" i="83"/>
  <c r="I11" i="83"/>
  <c r="H10" i="83"/>
  <c r="H9" i="83"/>
  <c r="H8" i="83"/>
  <c r="I8" i="83"/>
  <c r="I104" i="78"/>
  <c r="M104" i="78"/>
  <c r="T105" i="78"/>
  <c r="S105" i="78"/>
  <c r="R105" i="78"/>
  <c r="Q105" i="78"/>
  <c r="P105" i="78"/>
  <c r="I105" i="78"/>
  <c r="M105" i="78"/>
  <c r="O105" i="78"/>
  <c r="N105" i="78"/>
  <c r="T104" i="78"/>
  <c r="S104" i="78"/>
  <c r="R104" i="78"/>
  <c r="P104" i="78"/>
  <c r="O104" i="78"/>
  <c r="I103" i="78"/>
  <c r="M103" i="78"/>
  <c r="I101" i="78"/>
  <c r="M101" i="78"/>
  <c r="N101" i="78"/>
  <c r="I99" i="78"/>
  <c r="M99" i="78"/>
  <c r="N99" i="78"/>
  <c r="I97" i="78"/>
  <c r="M97" i="78"/>
  <c r="I102" i="78"/>
  <c r="M102" i="78"/>
  <c r="T103" i="78"/>
  <c r="S103" i="78"/>
  <c r="R103" i="78"/>
  <c r="Q103" i="78"/>
  <c r="P103" i="78"/>
  <c r="T102" i="78"/>
  <c r="S102" i="78"/>
  <c r="R102" i="78"/>
  <c r="P102" i="78"/>
  <c r="O102" i="78"/>
  <c r="I100" i="78"/>
  <c r="M100" i="78"/>
  <c r="T101" i="78"/>
  <c r="S101" i="78"/>
  <c r="R101" i="78"/>
  <c r="Q101" i="78"/>
  <c r="P101" i="78"/>
  <c r="T100" i="78"/>
  <c r="S100" i="78"/>
  <c r="R100" i="78"/>
  <c r="P100" i="78"/>
  <c r="O100" i="78"/>
  <c r="I98" i="78"/>
  <c r="M98" i="78"/>
  <c r="T99" i="78"/>
  <c r="S99" i="78"/>
  <c r="R99" i="78"/>
  <c r="Q99" i="78"/>
  <c r="P99" i="78"/>
  <c r="T98" i="78"/>
  <c r="S98" i="78"/>
  <c r="R98" i="78"/>
  <c r="P98" i="78"/>
  <c r="O98" i="78"/>
  <c r="I96" i="78"/>
  <c r="T97" i="78"/>
  <c r="S97" i="78"/>
  <c r="R97" i="78"/>
  <c r="Q97" i="78"/>
  <c r="P97" i="78"/>
  <c r="T96" i="78"/>
  <c r="S96" i="78"/>
  <c r="R96" i="78"/>
  <c r="P96" i="78"/>
  <c r="M96" i="78"/>
  <c r="O96" i="78"/>
  <c r="T95" i="78"/>
  <c r="S95" i="78"/>
  <c r="R95" i="78"/>
  <c r="Q95" i="78"/>
  <c r="P95" i="78"/>
  <c r="O95" i="78"/>
  <c r="M95" i="78"/>
  <c r="M37" i="78"/>
  <c r="T107" i="78"/>
  <c r="S107" i="78"/>
  <c r="R107" i="78"/>
  <c r="Q107" i="78"/>
  <c r="P107" i="78"/>
  <c r="O107" i="78"/>
  <c r="T106" i="78"/>
  <c r="S106" i="78"/>
  <c r="R106" i="78"/>
  <c r="Q106" i="78"/>
  <c r="P106" i="78"/>
  <c r="O106" i="78"/>
  <c r="T94" i="78"/>
  <c r="S94" i="78"/>
  <c r="R94" i="78"/>
  <c r="Q94" i="78"/>
  <c r="P94" i="78"/>
  <c r="T93" i="78"/>
  <c r="S93" i="78"/>
  <c r="R93" i="78"/>
  <c r="Q93" i="78"/>
  <c r="P93" i="78"/>
  <c r="T92" i="78"/>
  <c r="S92" i="78"/>
  <c r="R92" i="78"/>
  <c r="Q92" i="78"/>
  <c r="P92" i="78"/>
  <c r="T91" i="78"/>
  <c r="S91" i="78"/>
  <c r="R91" i="78"/>
  <c r="Q91" i="78"/>
  <c r="P91" i="78"/>
  <c r="T90" i="78"/>
  <c r="S90" i="78"/>
  <c r="R90" i="78"/>
  <c r="Q90" i="78"/>
  <c r="P90" i="78"/>
  <c r="O90" i="78"/>
  <c r="T89" i="78"/>
  <c r="S89" i="78"/>
  <c r="R89" i="78"/>
  <c r="P89" i="78"/>
  <c r="O89" i="78"/>
  <c r="T88" i="78"/>
  <c r="S88" i="78"/>
  <c r="R88" i="78"/>
  <c r="P88" i="78"/>
  <c r="O88" i="78"/>
  <c r="T87" i="78"/>
  <c r="S87" i="78"/>
  <c r="R87" i="78"/>
  <c r="P87" i="78"/>
  <c r="O87" i="78"/>
  <c r="T86" i="78"/>
  <c r="S86" i="78"/>
  <c r="R86" i="78"/>
  <c r="P86" i="78"/>
  <c r="O86" i="78"/>
  <c r="T85" i="78"/>
  <c r="S85" i="78"/>
  <c r="R85" i="78"/>
  <c r="P85" i="78"/>
  <c r="O85" i="78"/>
  <c r="T84" i="78"/>
  <c r="S84" i="78"/>
  <c r="R84" i="78"/>
  <c r="P84" i="78"/>
  <c r="O84" i="78"/>
  <c r="T83" i="78"/>
  <c r="S83" i="78"/>
  <c r="R83" i="78"/>
  <c r="P83" i="78"/>
  <c r="O83" i="78"/>
  <c r="T82" i="78"/>
  <c r="S82" i="78"/>
  <c r="R82" i="78"/>
  <c r="P82" i="78"/>
  <c r="O82" i="78"/>
  <c r="T81" i="78"/>
  <c r="S81" i="78"/>
  <c r="R81" i="78"/>
  <c r="Q81" i="78"/>
  <c r="P81" i="78"/>
  <c r="O81" i="78"/>
  <c r="T80" i="78"/>
  <c r="S80" i="78"/>
  <c r="R80" i="78"/>
  <c r="Q80" i="78"/>
  <c r="P80" i="78"/>
  <c r="O80" i="78"/>
  <c r="T79" i="78"/>
  <c r="S79" i="78"/>
  <c r="R79" i="78"/>
  <c r="Q79" i="78"/>
  <c r="P79" i="78"/>
  <c r="T78" i="78"/>
  <c r="S78" i="78"/>
  <c r="R78" i="78"/>
  <c r="Q78" i="78"/>
  <c r="P78" i="78"/>
  <c r="T77" i="78"/>
  <c r="S77" i="78"/>
  <c r="R77" i="78"/>
  <c r="Q77" i="78"/>
  <c r="P77" i="78"/>
  <c r="T76" i="78"/>
  <c r="S76" i="78"/>
  <c r="R76" i="78"/>
  <c r="Q76" i="78"/>
  <c r="P76" i="78"/>
  <c r="T75" i="78"/>
  <c r="S75" i="78"/>
  <c r="R75" i="78"/>
  <c r="Q75" i="78"/>
  <c r="P75" i="78"/>
  <c r="T74" i="78"/>
  <c r="S74" i="78"/>
  <c r="R74" i="78"/>
  <c r="Q74" i="78"/>
  <c r="P74" i="78"/>
  <c r="T73" i="78"/>
  <c r="S73" i="78"/>
  <c r="R73" i="78"/>
  <c r="Q73" i="78"/>
  <c r="P73" i="78"/>
  <c r="T72" i="78"/>
  <c r="S72" i="78"/>
  <c r="R72" i="78"/>
  <c r="Q72" i="78"/>
  <c r="P72" i="78"/>
  <c r="T71" i="78"/>
  <c r="S71" i="78"/>
  <c r="R71" i="78"/>
  <c r="Q71" i="78"/>
  <c r="P71" i="78"/>
  <c r="T70" i="78"/>
  <c r="S70" i="78"/>
  <c r="R70" i="78"/>
  <c r="Q70" i="78"/>
  <c r="P70" i="78"/>
  <c r="T69" i="78"/>
  <c r="S69" i="78"/>
  <c r="R69" i="78"/>
  <c r="Q69" i="78"/>
  <c r="P69" i="78"/>
  <c r="T68" i="78"/>
  <c r="S68" i="78"/>
  <c r="R68" i="78"/>
  <c r="Q68" i="78"/>
  <c r="P68" i="78"/>
  <c r="T67" i="78"/>
  <c r="S67" i="78"/>
  <c r="R67" i="78"/>
  <c r="Q67" i="78"/>
  <c r="P67" i="78"/>
  <c r="T66" i="78"/>
  <c r="S66" i="78"/>
  <c r="R66" i="78"/>
  <c r="Q66" i="78"/>
  <c r="P66" i="78"/>
  <c r="T65" i="78"/>
  <c r="S65" i="78"/>
  <c r="R65" i="78"/>
  <c r="Q65" i="78"/>
  <c r="P65" i="78"/>
  <c r="T64" i="78"/>
  <c r="S64" i="78"/>
  <c r="R64" i="78"/>
  <c r="Q64" i="78"/>
  <c r="P64" i="78"/>
  <c r="T63" i="78"/>
  <c r="S63" i="78"/>
  <c r="R63" i="78"/>
  <c r="Q63" i="78"/>
  <c r="P63" i="78"/>
  <c r="O63" i="78"/>
  <c r="T62" i="78"/>
  <c r="S62" i="78"/>
  <c r="R62" i="78"/>
  <c r="Q62" i="78"/>
  <c r="P62" i="78"/>
  <c r="T61" i="78"/>
  <c r="S61" i="78"/>
  <c r="R61" i="78"/>
  <c r="Q61" i="78"/>
  <c r="P61" i="78"/>
  <c r="T60" i="78"/>
  <c r="S60" i="78"/>
  <c r="R60" i="78"/>
  <c r="Q60" i="78"/>
  <c r="P60" i="78"/>
  <c r="O60" i="78"/>
  <c r="T59" i="78"/>
  <c r="S59" i="78"/>
  <c r="R59" i="78"/>
  <c r="Q59" i="78"/>
  <c r="P59" i="78"/>
  <c r="T58" i="78"/>
  <c r="S58" i="78"/>
  <c r="R58" i="78"/>
  <c r="Q58" i="78"/>
  <c r="P58" i="78"/>
  <c r="T57" i="78"/>
  <c r="S57" i="78"/>
  <c r="R57" i="78"/>
  <c r="Q57" i="78"/>
  <c r="P57" i="78"/>
  <c r="O57" i="78"/>
  <c r="T56" i="78"/>
  <c r="S56" i="78"/>
  <c r="R56" i="78"/>
  <c r="Q56" i="78"/>
  <c r="P56" i="78"/>
  <c r="T55" i="78"/>
  <c r="S55" i="78"/>
  <c r="R55" i="78"/>
  <c r="Q55" i="78"/>
  <c r="P55" i="78"/>
  <c r="T54" i="78"/>
  <c r="S54" i="78"/>
  <c r="R54" i="78"/>
  <c r="Q54" i="78"/>
  <c r="P54" i="78"/>
  <c r="T53" i="78"/>
  <c r="S53" i="78"/>
  <c r="R53" i="78"/>
  <c r="Q53" i="78"/>
  <c r="P53" i="78"/>
  <c r="T52" i="78"/>
  <c r="S52" i="78"/>
  <c r="R52" i="78"/>
  <c r="Q52" i="78"/>
  <c r="P52" i="78"/>
  <c r="T51" i="78"/>
  <c r="S51" i="78"/>
  <c r="R51" i="78"/>
  <c r="Q51" i="78"/>
  <c r="P51" i="78"/>
  <c r="T50" i="78"/>
  <c r="S50" i="78"/>
  <c r="R50" i="78"/>
  <c r="Q50" i="78"/>
  <c r="P50" i="78"/>
  <c r="T49" i="78"/>
  <c r="S49" i="78"/>
  <c r="R49" i="78"/>
  <c r="Q49" i="78"/>
  <c r="P49" i="78"/>
  <c r="T48" i="78"/>
  <c r="S48" i="78"/>
  <c r="R48" i="78"/>
  <c r="Q48" i="78"/>
  <c r="P48" i="78"/>
  <c r="T47" i="78"/>
  <c r="S47" i="78"/>
  <c r="R47" i="78"/>
  <c r="Q47" i="78"/>
  <c r="P47" i="78"/>
  <c r="T46" i="78"/>
  <c r="S46" i="78"/>
  <c r="R46" i="78"/>
  <c r="Q46" i="78"/>
  <c r="P46" i="78"/>
  <c r="O46" i="78"/>
  <c r="T45" i="78"/>
  <c r="S45" i="78"/>
  <c r="R45" i="78"/>
  <c r="Q45" i="78"/>
  <c r="P45" i="78"/>
  <c r="O45" i="78"/>
  <c r="T44" i="78"/>
  <c r="S44" i="78"/>
  <c r="R44" i="78"/>
  <c r="Q44" i="78"/>
  <c r="P44" i="78"/>
  <c r="T43" i="78"/>
  <c r="S43" i="78"/>
  <c r="R43" i="78"/>
  <c r="Q43" i="78"/>
  <c r="P43" i="78"/>
  <c r="T42" i="78"/>
  <c r="S42" i="78"/>
  <c r="R42" i="78"/>
  <c r="Q42" i="78"/>
  <c r="P42" i="78"/>
  <c r="T41" i="78"/>
  <c r="S41" i="78"/>
  <c r="R41" i="78"/>
  <c r="Q41" i="78"/>
  <c r="P41" i="78"/>
  <c r="T40" i="78"/>
  <c r="S40" i="78"/>
  <c r="R40" i="78"/>
  <c r="Q40" i="78"/>
  <c r="P40" i="78"/>
  <c r="T39" i="78"/>
  <c r="S39" i="78"/>
  <c r="R39" i="78"/>
  <c r="Q39" i="78"/>
  <c r="P39" i="78"/>
  <c r="T38" i="78"/>
  <c r="S38" i="78"/>
  <c r="R38" i="78"/>
  <c r="Q38" i="78"/>
  <c r="P38" i="78"/>
  <c r="T37" i="78"/>
  <c r="S37" i="78"/>
  <c r="R37" i="78"/>
  <c r="Q37" i="78"/>
  <c r="P37" i="78"/>
  <c r="T36" i="78"/>
  <c r="S36" i="78"/>
  <c r="R36" i="78"/>
  <c r="Q36" i="78"/>
  <c r="P36" i="78"/>
  <c r="T35" i="78"/>
  <c r="S35" i="78"/>
  <c r="R35" i="78"/>
  <c r="Q35" i="78"/>
  <c r="P35" i="78"/>
  <c r="T34" i="78"/>
  <c r="S34" i="78"/>
  <c r="R34" i="78"/>
  <c r="Q34" i="78"/>
  <c r="P34" i="78"/>
  <c r="T33" i="78"/>
  <c r="S33" i="78"/>
  <c r="R33" i="78"/>
  <c r="Q33" i="78"/>
  <c r="P33" i="78"/>
  <c r="T32" i="78"/>
  <c r="S32" i="78"/>
  <c r="R32" i="78"/>
  <c r="Q32" i="78"/>
  <c r="P32" i="78"/>
  <c r="T31" i="78"/>
  <c r="S31" i="78"/>
  <c r="R31" i="78"/>
  <c r="Q31" i="78"/>
  <c r="P31" i="78"/>
  <c r="T30" i="78"/>
  <c r="S30" i="78"/>
  <c r="R30" i="78"/>
  <c r="Q30" i="78"/>
  <c r="P30" i="78"/>
  <c r="T29" i="78"/>
  <c r="S29" i="78"/>
  <c r="R29" i="78"/>
  <c r="Q29" i="78"/>
  <c r="P29" i="78"/>
  <c r="T28" i="78"/>
  <c r="S28" i="78"/>
  <c r="R28" i="78"/>
  <c r="Q28" i="78"/>
  <c r="P28" i="78"/>
  <c r="T27" i="78"/>
  <c r="S27" i="78"/>
  <c r="R27" i="78"/>
  <c r="Q27" i="78"/>
  <c r="P27" i="78"/>
  <c r="T26" i="78"/>
  <c r="S26" i="78"/>
  <c r="R26" i="78"/>
  <c r="Q26" i="78"/>
  <c r="P26" i="78"/>
  <c r="T25" i="78"/>
  <c r="S25" i="78"/>
  <c r="R25" i="78"/>
  <c r="Q25" i="78"/>
  <c r="P25" i="78"/>
  <c r="T24" i="78"/>
  <c r="S24" i="78"/>
  <c r="R24" i="78"/>
  <c r="Q24" i="78"/>
  <c r="P24" i="78"/>
  <c r="T23" i="78"/>
  <c r="S23" i="78"/>
  <c r="R23" i="78"/>
  <c r="Q23" i="78"/>
  <c r="P23" i="78"/>
  <c r="T22" i="78"/>
  <c r="S22" i="78"/>
  <c r="R22" i="78"/>
  <c r="Q22" i="78"/>
  <c r="P22" i="78"/>
  <c r="O22" i="78"/>
  <c r="T21" i="78"/>
  <c r="S21" i="78"/>
  <c r="R21" i="78"/>
  <c r="Q21" i="78"/>
  <c r="P21" i="78"/>
  <c r="T20" i="78"/>
  <c r="S20" i="78"/>
  <c r="R20" i="78"/>
  <c r="Q20" i="78"/>
  <c r="P20" i="78"/>
  <c r="T19" i="78"/>
  <c r="S19" i="78"/>
  <c r="R19" i="78"/>
  <c r="Q19" i="78"/>
  <c r="P19" i="78"/>
  <c r="O19" i="78"/>
  <c r="T18" i="78"/>
  <c r="S18" i="78"/>
  <c r="R18" i="78"/>
  <c r="Q18" i="78"/>
  <c r="P18" i="78"/>
  <c r="T17" i="78"/>
  <c r="S17" i="78"/>
  <c r="R17" i="78"/>
  <c r="Q17" i="78"/>
  <c r="P17" i="78"/>
  <c r="T16" i="78"/>
  <c r="S16" i="78"/>
  <c r="R16" i="78"/>
  <c r="Q16" i="78"/>
  <c r="P16" i="78"/>
  <c r="O16" i="78"/>
  <c r="T15" i="78"/>
  <c r="S15" i="78"/>
  <c r="R15" i="78"/>
  <c r="Q15" i="78"/>
  <c r="P15" i="78"/>
  <c r="T14" i="78"/>
  <c r="S14" i="78"/>
  <c r="R14" i="78"/>
  <c r="Q14" i="78"/>
  <c r="P14" i="78"/>
  <c r="T13" i="78"/>
  <c r="S13" i="78"/>
  <c r="R13" i="78"/>
  <c r="Q13" i="78"/>
  <c r="P13" i="78"/>
  <c r="T12" i="78"/>
  <c r="S12" i="78"/>
  <c r="R12" i="78"/>
  <c r="Q12" i="78"/>
  <c r="P12" i="78"/>
  <c r="T11" i="78"/>
  <c r="S11" i="78"/>
  <c r="R11" i="78"/>
  <c r="Q11" i="78"/>
  <c r="P11" i="78"/>
  <c r="T10" i="78"/>
  <c r="S10" i="78"/>
  <c r="R10" i="78"/>
  <c r="Q10" i="78"/>
  <c r="P10" i="78"/>
  <c r="T9" i="78"/>
  <c r="S9" i="78"/>
  <c r="R9" i="78"/>
  <c r="Q9" i="78"/>
  <c r="P9" i="78"/>
  <c r="T8" i="78"/>
  <c r="S8" i="78"/>
  <c r="R8" i="78"/>
  <c r="R108" i="78"/>
  <c r="R110" i="78"/>
  <c r="R111" i="78"/>
  <c r="Q8" i="78"/>
  <c r="P8" i="78"/>
  <c r="T7" i="78"/>
  <c r="S7" i="78"/>
  <c r="R7" i="78"/>
  <c r="Q7" i="78"/>
  <c r="P7" i="78"/>
  <c r="T6" i="78"/>
  <c r="S6" i="78"/>
  <c r="R6" i="78"/>
  <c r="Q6" i="78"/>
  <c r="P6" i="78"/>
  <c r="M94" i="78"/>
  <c r="M93" i="78"/>
  <c r="N93" i="78"/>
  <c r="O93" i="78"/>
  <c r="M92" i="78"/>
  <c r="N92" i="78"/>
  <c r="M91" i="78"/>
  <c r="M90" i="78"/>
  <c r="M89" i="78"/>
  <c r="M88" i="78"/>
  <c r="M87" i="78"/>
  <c r="M86" i="78"/>
  <c r="M85" i="78"/>
  <c r="M84" i="78"/>
  <c r="N84" i="78"/>
  <c r="Q84" i="78"/>
  <c r="M83" i="78"/>
  <c r="M82" i="78"/>
  <c r="M81" i="78"/>
  <c r="M80" i="78"/>
  <c r="M79" i="78"/>
  <c r="M78" i="78"/>
  <c r="M77" i="78"/>
  <c r="M76" i="78"/>
  <c r="M75" i="78"/>
  <c r="M74" i="78"/>
  <c r="M73" i="78"/>
  <c r="M72" i="78"/>
  <c r="M71" i="78"/>
  <c r="M70" i="78"/>
  <c r="M69" i="78"/>
  <c r="M68" i="78"/>
  <c r="M67" i="78"/>
  <c r="M66" i="78"/>
  <c r="M65" i="78"/>
  <c r="O65" i="78"/>
  <c r="N65" i="78"/>
  <c r="M64" i="78"/>
  <c r="M63" i="78"/>
  <c r="M62" i="78"/>
  <c r="M61" i="78"/>
  <c r="N61" i="78"/>
  <c r="O61" i="78"/>
  <c r="M60" i="78"/>
  <c r="M59" i="78"/>
  <c r="M58" i="78"/>
  <c r="M57" i="78"/>
  <c r="M56" i="78"/>
  <c r="M55" i="78"/>
  <c r="M54" i="78"/>
  <c r="M53" i="78"/>
  <c r="M52" i="78"/>
  <c r="M51" i="78"/>
  <c r="M50" i="78"/>
  <c r="M49" i="78"/>
  <c r="M48" i="78"/>
  <c r="M47" i="78"/>
  <c r="M46" i="78"/>
  <c r="M45" i="78"/>
  <c r="M44" i="78"/>
  <c r="M43" i="78"/>
  <c r="M42" i="78"/>
  <c r="M41" i="78"/>
  <c r="O41" i="78"/>
  <c r="N41" i="78"/>
  <c r="M40" i="78"/>
  <c r="N40" i="78"/>
  <c r="M39" i="78"/>
  <c r="M38" i="78"/>
  <c r="M36" i="78"/>
  <c r="M35" i="78"/>
  <c r="M32" i="78"/>
  <c r="M31" i="78"/>
  <c r="M30" i="78"/>
  <c r="M29" i="78"/>
  <c r="M28" i="78"/>
  <c r="M27" i="78"/>
  <c r="M26" i="78"/>
  <c r="N26" i="78"/>
  <c r="O26" i="78"/>
  <c r="M25" i="78"/>
  <c r="N25" i="78"/>
  <c r="M24" i="78"/>
  <c r="M23" i="78"/>
  <c r="M22" i="78"/>
  <c r="M21" i="78"/>
  <c r="M20" i="78"/>
  <c r="M19" i="78"/>
  <c r="M18" i="78"/>
  <c r="N18" i="78"/>
  <c r="O18" i="78"/>
  <c r="M17" i="78"/>
  <c r="O17" i="78"/>
  <c r="M16" i="78"/>
  <c r="M15" i="78"/>
  <c r="N15" i="78"/>
  <c r="O15" i="78"/>
  <c r="M14" i="78"/>
  <c r="M13" i="78"/>
  <c r="M12" i="78"/>
  <c r="O12" i="78"/>
  <c r="N12" i="78"/>
  <c r="M11" i="78"/>
  <c r="M10" i="78"/>
  <c r="M9" i="78"/>
  <c r="N9" i="78"/>
  <c r="M8" i="78"/>
  <c r="N8" i="78"/>
  <c r="O8" i="78"/>
  <c r="M7" i="78"/>
  <c r="M6" i="78"/>
  <c r="I34" i="78"/>
  <c r="M34" i="78"/>
  <c r="I33" i="78"/>
  <c r="M33" i="78"/>
  <c r="G68" i="78"/>
  <c r="G27" i="78"/>
  <c r="I307" i="83"/>
  <c r="I259" i="83"/>
  <c r="I263" i="83"/>
  <c r="I287" i="83"/>
  <c r="I279" i="83"/>
  <c r="I255" i="83"/>
  <c r="I267" i="83"/>
  <c r="I171" i="83"/>
  <c r="I310" i="83"/>
  <c r="I99" i="83"/>
  <c r="I111" i="83"/>
  <c r="I87" i="83"/>
  <c r="I135" i="83"/>
  <c r="I119" i="83"/>
  <c r="I357" i="83"/>
  <c r="I368" i="83"/>
  <c r="I207" i="83"/>
  <c r="I155" i="83"/>
  <c r="I167" i="83"/>
  <c r="I306" i="83"/>
  <c r="I55" i="83"/>
  <c r="I183" i="83"/>
  <c r="I362" i="83"/>
  <c r="I374" i="83"/>
  <c r="I195" i="83"/>
  <c r="I79" i="83"/>
  <c r="I139" i="83"/>
  <c r="I163" i="83"/>
  <c r="I95" i="83"/>
  <c r="I107" i="83"/>
  <c r="I391" i="83"/>
  <c r="I414" i="83"/>
  <c r="I408" i="83"/>
  <c r="I420" i="83"/>
  <c r="I73" i="83"/>
  <c r="I193" i="83"/>
  <c r="I205" i="83"/>
  <c r="I217" i="83"/>
  <c r="I276" i="83"/>
  <c r="I9" i="83"/>
  <c r="I57" i="83"/>
  <c r="I105" i="83"/>
  <c r="I141" i="83"/>
  <c r="I153" i="83"/>
  <c r="I189" i="83"/>
  <c r="I213" i="83"/>
  <c r="I260" i="83"/>
  <c r="I418" i="83"/>
  <c r="I253" i="83"/>
  <c r="I37" i="83"/>
  <c r="I109" i="83"/>
  <c r="I133" i="83"/>
  <c r="I145" i="83"/>
  <c r="I169" i="83"/>
  <c r="I237" i="83"/>
  <c r="I241" i="83"/>
  <c r="I252" i="83"/>
  <c r="I265" i="83"/>
  <c r="I277" i="83"/>
  <c r="I284" i="83"/>
  <c r="I289" i="83"/>
  <c r="I308" i="83"/>
  <c r="I388" i="83"/>
  <c r="I41" i="83"/>
  <c r="I77" i="83"/>
  <c r="I101" i="83"/>
  <c r="I149" i="83"/>
  <c r="I244" i="83"/>
  <c r="I309" i="83"/>
  <c r="I411" i="83"/>
  <c r="I301" i="83"/>
  <c r="I42" i="83"/>
  <c r="I54" i="83"/>
  <c r="I89" i="83"/>
  <c r="I121" i="83"/>
  <c r="I138" i="83"/>
  <c r="I185" i="83"/>
  <c r="I229" i="83"/>
  <c r="I264" i="83"/>
  <c r="I288" i="83"/>
  <c r="I300" i="83"/>
  <c r="I312" i="83"/>
  <c r="I58" i="83"/>
  <c r="I70" i="83"/>
  <c r="I375" i="83"/>
  <c r="I389" i="83"/>
  <c r="I423" i="83"/>
  <c r="I345" i="83"/>
  <c r="I365" i="83"/>
  <c r="I378" i="83"/>
  <c r="I230" i="83"/>
  <c r="I34" i="83"/>
  <c r="I46" i="83"/>
  <c r="I197" i="83"/>
  <c r="I209" i="83"/>
  <c r="I233" i="83"/>
  <c r="I292" i="83"/>
  <c r="I317" i="83"/>
  <c r="I329" i="83"/>
  <c r="I341" i="83"/>
  <c r="I352" i="83"/>
  <c r="I93" i="83"/>
  <c r="I177" i="83"/>
  <c r="I281" i="83"/>
  <c r="I328" i="83"/>
  <c r="I340" i="83"/>
  <c r="N102" i="78"/>
  <c r="N100" i="78"/>
  <c r="N13" i="78"/>
  <c r="O13" i="78"/>
  <c r="N24" i="78"/>
  <c r="O24" i="78"/>
  <c r="N38" i="78"/>
  <c r="O38" i="78"/>
  <c r="N42" i="78"/>
  <c r="O42" i="78"/>
  <c r="N50" i="78"/>
  <c r="O50" i="78"/>
  <c r="N54" i="78"/>
  <c r="O54" i="78"/>
  <c r="N59" i="78"/>
  <c r="O59" i="78"/>
  <c r="N62" i="78"/>
  <c r="O62" i="78"/>
  <c r="N67" i="78"/>
  <c r="O67" i="78"/>
  <c r="N71" i="78"/>
  <c r="O71" i="78"/>
  <c r="N73" i="78"/>
  <c r="O73" i="78"/>
  <c r="N75" i="78"/>
  <c r="O75" i="78"/>
  <c r="N79" i="78"/>
  <c r="O79" i="78"/>
  <c r="N94" i="78"/>
  <c r="O94" i="78"/>
  <c r="N10" i="78"/>
  <c r="O10" i="78"/>
  <c r="N14" i="78"/>
  <c r="O14" i="78"/>
  <c r="N17" i="78"/>
  <c r="N20" i="78"/>
  <c r="O20" i="78"/>
  <c r="N23" i="78"/>
  <c r="O23" i="78"/>
  <c r="N27" i="78"/>
  <c r="O27" i="78"/>
  <c r="N37" i="78"/>
  <c r="O37" i="78"/>
  <c r="N39" i="78"/>
  <c r="O39" i="78"/>
  <c r="N43" i="78"/>
  <c r="O43" i="78"/>
  <c r="N47" i="78"/>
  <c r="O47" i="78"/>
  <c r="N51" i="78"/>
  <c r="O51" i="78"/>
  <c r="N53" i="78"/>
  <c r="O53" i="78"/>
  <c r="N55" i="78"/>
  <c r="O55" i="78"/>
  <c r="N58" i="78"/>
  <c r="N66" i="78"/>
  <c r="O66" i="78"/>
  <c r="N70" i="78"/>
  <c r="O70" i="78"/>
  <c r="N74" i="78"/>
  <c r="O74" i="78"/>
  <c r="N78" i="78"/>
  <c r="O78" i="78"/>
  <c r="N91" i="78"/>
  <c r="O91" i="78"/>
  <c r="N87" i="78"/>
  <c r="Q87" i="78"/>
  <c r="N32" i="78"/>
  <c r="O32" i="78"/>
  <c r="N86" i="78"/>
  <c r="Q86" i="78"/>
  <c r="N31" i="78"/>
  <c r="O31" i="78"/>
  <c r="N83" i="78"/>
  <c r="Q83" i="78"/>
  <c r="N28" i="78"/>
  <c r="O28" i="78"/>
  <c r="N82" i="78"/>
  <c r="Q82" i="78"/>
  <c r="K12" i="68"/>
  <c r="L12" i="68"/>
  <c r="T109" i="78"/>
  <c r="S109" i="78"/>
  <c r="R109" i="78"/>
  <c r="Q109" i="78"/>
  <c r="P109" i="78"/>
  <c r="O109" i="78"/>
  <c r="U63" i="77"/>
  <c r="T63" i="77"/>
  <c r="S63" i="77"/>
  <c r="R63" i="77"/>
  <c r="Q63" i="77"/>
  <c r="P63" i="77"/>
  <c r="X12" i="70"/>
  <c r="W12" i="70"/>
  <c r="V12" i="70"/>
  <c r="U12" i="70"/>
  <c r="T12" i="70"/>
  <c r="S12" i="70"/>
  <c r="X462" i="69"/>
  <c r="W462" i="69"/>
  <c r="V462" i="69"/>
  <c r="U462" i="69"/>
  <c r="T462" i="69"/>
  <c r="S462" i="69"/>
  <c r="X12" i="71"/>
  <c r="W12" i="71"/>
  <c r="V12" i="71"/>
  <c r="U12" i="71"/>
  <c r="T12" i="71"/>
  <c r="S12" i="71"/>
  <c r="X29" i="72"/>
  <c r="W29" i="72"/>
  <c r="V29" i="72"/>
  <c r="U29" i="72"/>
  <c r="T29" i="72"/>
  <c r="S29" i="72"/>
  <c r="P8" i="70"/>
  <c r="P9" i="70"/>
  <c r="M106" i="78"/>
  <c r="M107" i="78"/>
  <c r="N5" i="77"/>
  <c r="O5" i="77"/>
  <c r="P5" i="77"/>
  <c r="Q5" i="77"/>
  <c r="R5" i="77"/>
  <c r="S5" i="77"/>
  <c r="T5" i="77"/>
  <c r="U5" i="77"/>
  <c r="N6" i="77"/>
  <c r="O6" i="77"/>
  <c r="P6" i="77"/>
  <c r="Q6" i="77"/>
  <c r="R6" i="77"/>
  <c r="S6" i="77"/>
  <c r="T6" i="77"/>
  <c r="U6" i="77"/>
  <c r="N7" i="77"/>
  <c r="O7" i="77"/>
  <c r="P7" i="77"/>
  <c r="Q7" i="77"/>
  <c r="R7" i="77"/>
  <c r="S7" i="77"/>
  <c r="T7" i="77"/>
  <c r="U7" i="77"/>
  <c r="N8" i="77"/>
  <c r="Q8" i="77"/>
  <c r="R8" i="77"/>
  <c r="S8" i="77"/>
  <c r="T8" i="77"/>
  <c r="U8" i="77"/>
  <c r="N9" i="77"/>
  <c r="Q9" i="77"/>
  <c r="R9" i="77"/>
  <c r="S9" i="77"/>
  <c r="T9" i="77"/>
  <c r="U9" i="77"/>
  <c r="N10" i="77"/>
  <c r="O10" i="77"/>
  <c r="P10" i="77"/>
  <c r="Q10" i="77"/>
  <c r="R10" i="77"/>
  <c r="S10" i="77"/>
  <c r="T10" i="77"/>
  <c r="U10" i="77"/>
  <c r="N11" i="77"/>
  <c r="O11" i="77"/>
  <c r="P11" i="77"/>
  <c r="Q11" i="77"/>
  <c r="R11" i="77"/>
  <c r="S11" i="77"/>
  <c r="T11" i="77"/>
  <c r="U11" i="77"/>
  <c r="N12" i="77"/>
  <c r="Q12" i="77"/>
  <c r="R12" i="77"/>
  <c r="S12" i="77"/>
  <c r="T12" i="77"/>
  <c r="U12" i="77"/>
  <c r="N13" i="77"/>
  <c r="Q13" i="77"/>
  <c r="R13" i="77"/>
  <c r="S13" i="77"/>
  <c r="T13" i="77"/>
  <c r="U13" i="77"/>
  <c r="N14" i="77"/>
  <c r="O14" i="77"/>
  <c r="P14" i="77"/>
  <c r="Q14" i="77"/>
  <c r="R14" i="77"/>
  <c r="S14" i="77"/>
  <c r="T14" i="77"/>
  <c r="U14" i="77"/>
  <c r="N15" i="77"/>
  <c r="Q15" i="77"/>
  <c r="R15" i="77"/>
  <c r="S15" i="77"/>
  <c r="T15" i="77"/>
  <c r="U15" i="77"/>
  <c r="N16" i="77"/>
  <c r="Q16" i="77"/>
  <c r="R16" i="77"/>
  <c r="S16" i="77"/>
  <c r="T16" i="77"/>
  <c r="U16" i="77"/>
  <c r="N17" i="77"/>
  <c r="O17" i="77"/>
  <c r="P17" i="77"/>
  <c r="Q17" i="77"/>
  <c r="R17" i="77"/>
  <c r="S17" i="77"/>
  <c r="T17" i="77"/>
  <c r="U17" i="77"/>
  <c r="N18" i="77"/>
  <c r="Q18" i="77"/>
  <c r="R18" i="77"/>
  <c r="S18" i="77"/>
  <c r="T18" i="77"/>
  <c r="U18" i="77"/>
  <c r="N19" i="77"/>
  <c r="Q19" i="77"/>
  <c r="R19" i="77"/>
  <c r="S19" i="77"/>
  <c r="T19" i="77"/>
  <c r="U19" i="77"/>
  <c r="N20" i="77"/>
  <c r="O20" i="77"/>
  <c r="P20" i="77"/>
  <c r="Q20" i="77"/>
  <c r="R20" i="77"/>
  <c r="S20" i="77"/>
  <c r="T20" i="77"/>
  <c r="U20" i="77"/>
  <c r="N21" i="77"/>
  <c r="Q21" i="77"/>
  <c r="R21" i="77"/>
  <c r="S21" i="77"/>
  <c r="T21" i="77"/>
  <c r="U21" i="77"/>
  <c r="N22" i="77"/>
  <c r="Q22" i="77"/>
  <c r="R22" i="77"/>
  <c r="S22" i="77"/>
  <c r="T22" i="77"/>
  <c r="U22" i="77"/>
  <c r="N23" i="77"/>
  <c r="O23" i="77"/>
  <c r="P23" i="77"/>
  <c r="Q23" i="77"/>
  <c r="R23" i="77"/>
  <c r="S23" i="77"/>
  <c r="T23" i="77"/>
  <c r="U23" i="77"/>
  <c r="N24" i="77"/>
  <c r="Q24" i="77"/>
  <c r="R24" i="77"/>
  <c r="S24" i="77"/>
  <c r="T24" i="77"/>
  <c r="U24" i="77"/>
  <c r="N25" i="77"/>
  <c r="Q25" i="77"/>
  <c r="R25" i="77"/>
  <c r="S25" i="77"/>
  <c r="T25" i="77"/>
  <c r="U25" i="77"/>
  <c r="N26" i="77"/>
  <c r="O26" i="77"/>
  <c r="P26" i="77"/>
  <c r="Q26" i="77"/>
  <c r="R26" i="77"/>
  <c r="S26" i="77"/>
  <c r="T26" i="77"/>
  <c r="U26" i="77"/>
  <c r="N27" i="77"/>
  <c r="O27" i="77"/>
  <c r="P27" i="77"/>
  <c r="Q27" i="77"/>
  <c r="R27" i="77"/>
  <c r="S27" i="77"/>
  <c r="T27" i="77"/>
  <c r="U27" i="77"/>
  <c r="N28" i="77"/>
  <c r="Q28" i="77"/>
  <c r="R28" i="77"/>
  <c r="S28" i="77"/>
  <c r="T28" i="77"/>
  <c r="U28" i="77"/>
  <c r="N29" i="77"/>
  <c r="Q29" i="77"/>
  <c r="R29" i="77"/>
  <c r="S29" i="77"/>
  <c r="T29" i="77"/>
  <c r="U29" i="77"/>
  <c r="N30" i="77"/>
  <c r="O30" i="77"/>
  <c r="P30" i="77"/>
  <c r="Q30" i="77"/>
  <c r="R30" i="77"/>
  <c r="S30" i="77"/>
  <c r="T30" i="77"/>
  <c r="U30" i="77"/>
  <c r="N31" i="77"/>
  <c r="Q31" i="77"/>
  <c r="R31" i="77"/>
  <c r="S31" i="77"/>
  <c r="T31" i="77"/>
  <c r="U31" i="77"/>
  <c r="N32" i="77"/>
  <c r="Q32" i="77"/>
  <c r="R32" i="77"/>
  <c r="S32" i="77"/>
  <c r="T32" i="77"/>
  <c r="U32" i="77"/>
  <c r="N33" i="77"/>
  <c r="O33" i="77"/>
  <c r="P33" i="77"/>
  <c r="Q33" i="77"/>
  <c r="R33" i="77"/>
  <c r="S33" i="77"/>
  <c r="T33" i="77"/>
  <c r="U33" i="77"/>
  <c r="N34" i="77"/>
  <c r="O34" i="77"/>
  <c r="P34" i="77"/>
  <c r="Q34" i="77"/>
  <c r="R34" i="77"/>
  <c r="S34" i="77"/>
  <c r="T34" i="77"/>
  <c r="U34" i="77"/>
  <c r="N35" i="77"/>
  <c r="O35" i="77"/>
  <c r="P35" i="77"/>
  <c r="Q35" i="77"/>
  <c r="R35" i="77"/>
  <c r="S35" i="77"/>
  <c r="T35" i="77"/>
  <c r="U35" i="77"/>
  <c r="N36" i="77"/>
  <c r="Q36" i="77"/>
  <c r="R36" i="77"/>
  <c r="S36" i="77"/>
  <c r="T36" i="77"/>
  <c r="U36" i="77"/>
  <c r="N37" i="77"/>
  <c r="Q37" i="77"/>
  <c r="R37" i="77"/>
  <c r="S37" i="77"/>
  <c r="T37" i="77"/>
  <c r="U37" i="77"/>
  <c r="N38" i="77"/>
  <c r="Q38" i="77"/>
  <c r="R38" i="77"/>
  <c r="S38" i="77"/>
  <c r="T38" i="77"/>
  <c r="U38" i="77"/>
  <c r="N39" i="77"/>
  <c r="Q39" i="77"/>
  <c r="R39" i="77"/>
  <c r="S39" i="77"/>
  <c r="T39" i="77"/>
  <c r="U39" i="77"/>
  <c r="N40" i="77"/>
  <c r="Q40" i="77"/>
  <c r="R40" i="77"/>
  <c r="S40" i="77"/>
  <c r="T40" i="77"/>
  <c r="U40" i="77"/>
  <c r="N41" i="77"/>
  <c r="Q41" i="77"/>
  <c r="R41" i="77"/>
  <c r="S41" i="77"/>
  <c r="T41" i="77"/>
  <c r="U41" i="77"/>
  <c r="N42" i="77"/>
  <c r="Q42" i="77"/>
  <c r="R42" i="77"/>
  <c r="S42" i="77"/>
  <c r="T42" i="77"/>
  <c r="U42" i="77"/>
  <c r="N43" i="77"/>
  <c r="Q43" i="77"/>
  <c r="R43" i="77"/>
  <c r="S43" i="77"/>
  <c r="T43" i="77"/>
  <c r="U43" i="77"/>
  <c r="N44" i="77"/>
  <c r="Q44" i="77"/>
  <c r="R44" i="77"/>
  <c r="S44" i="77"/>
  <c r="T44" i="77"/>
  <c r="U44" i="77"/>
  <c r="N45" i="77"/>
  <c r="Q45" i="77"/>
  <c r="R45" i="77"/>
  <c r="S45" i="77"/>
  <c r="T45" i="77"/>
  <c r="U45" i="77"/>
  <c r="N46" i="77"/>
  <c r="Q46" i="77"/>
  <c r="R46" i="77"/>
  <c r="S46" i="77"/>
  <c r="T46" i="77"/>
  <c r="U46" i="77"/>
  <c r="N47" i="77"/>
  <c r="Q47" i="77"/>
  <c r="R47" i="77"/>
  <c r="S47" i="77"/>
  <c r="T47" i="77"/>
  <c r="U47" i="77"/>
  <c r="N48" i="77"/>
  <c r="Q48" i="77"/>
  <c r="R48" i="77"/>
  <c r="S48" i="77"/>
  <c r="T48" i="77"/>
  <c r="U48" i="77"/>
  <c r="N49" i="77"/>
  <c r="Q49" i="77"/>
  <c r="R49" i="77"/>
  <c r="S49" i="77"/>
  <c r="T49" i="77"/>
  <c r="U49" i="77"/>
  <c r="N50" i="77"/>
  <c r="Q50" i="77"/>
  <c r="R50" i="77"/>
  <c r="S50" i="77"/>
  <c r="T50" i="77"/>
  <c r="U50" i="77"/>
  <c r="N51" i="77"/>
  <c r="Q51" i="77"/>
  <c r="R51" i="77"/>
  <c r="S51" i="77"/>
  <c r="T51" i="77"/>
  <c r="U51" i="77"/>
  <c r="N52" i="77"/>
  <c r="Q52" i="77"/>
  <c r="R52" i="77"/>
  <c r="S52" i="77"/>
  <c r="T52" i="77"/>
  <c r="U52" i="77"/>
  <c r="N53" i="77"/>
  <c r="Q53" i="77"/>
  <c r="R53" i="77"/>
  <c r="S53" i="77"/>
  <c r="T53" i="77"/>
  <c r="U53" i="77"/>
  <c r="N54" i="77"/>
  <c r="Q54" i="77"/>
  <c r="R54" i="77"/>
  <c r="S54" i="77"/>
  <c r="T54" i="77"/>
  <c r="U54" i="77"/>
  <c r="N55" i="77"/>
  <c r="Q55" i="77"/>
  <c r="R55" i="77"/>
  <c r="S55" i="77"/>
  <c r="T55" i="77"/>
  <c r="U55" i="77"/>
  <c r="N56" i="77"/>
  <c r="Q56" i="77"/>
  <c r="R56" i="77"/>
  <c r="S56" i="77"/>
  <c r="T56" i="77"/>
  <c r="U56" i="77"/>
  <c r="N57" i="77"/>
  <c r="Q57" i="77"/>
  <c r="R57" i="77"/>
  <c r="S57" i="77"/>
  <c r="T57" i="77"/>
  <c r="U57" i="77"/>
  <c r="N58" i="77"/>
  <c r="Q58" i="77"/>
  <c r="R58" i="77"/>
  <c r="S58" i="77"/>
  <c r="T58" i="77"/>
  <c r="U58" i="77"/>
  <c r="N59" i="77"/>
  <c r="O59" i="77"/>
  <c r="P59" i="77"/>
  <c r="Q59" i="77"/>
  <c r="R59" i="77"/>
  <c r="S59" i="77"/>
  <c r="T59" i="77"/>
  <c r="U59" i="77"/>
  <c r="N60" i="77"/>
  <c r="O60" i="77"/>
  <c r="P60" i="77"/>
  <c r="Q60" i="77"/>
  <c r="R60" i="77"/>
  <c r="S60" i="77"/>
  <c r="T60" i="77"/>
  <c r="U60" i="77"/>
  <c r="N61" i="77"/>
  <c r="O61" i="77"/>
  <c r="P61" i="77"/>
  <c r="Q61" i="77"/>
  <c r="R61" i="77"/>
  <c r="S61" i="77"/>
  <c r="T61" i="77"/>
  <c r="U61" i="77"/>
  <c r="G58" i="78"/>
  <c r="O58" i="78"/>
  <c r="G51" i="78"/>
  <c r="G17" i="78"/>
  <c r="G10" i="78"/>
  <c r="N62" i="77"/>
  <c r="O62" i="77"/>
  <c r="U4" i="77"/>
  <c r="T4" i="77"/>
  <c r="S4" i="77"/>
  <c r="R4" i="77"/>
  <c r="Q4" i="77"/>
  <c r="N4" i="77"/>
  <c r="O4" i="77"/>
  <c r="T108" i="78"/>
  <c r="T110" i="78"/>
  <c r="T111" i="78"/>
  <c r="O7" i="71"/>
  <c r="O8" i="71"/>
  <c r="O9" i="71"/>
  <c r="K6" i="71"/>
  <c r="O6" i="71"/>
  <c r="P8" i="71"/>
  <c r="G458" i="69"/>
  <c r="G457" i="69"/>
  <c r="O455" i="69"/>
  <c r="R455" i="69"/>
  <c r="P455" i="69"/>
  <c r="S455" i="69"/>
  <c r="T455" i="69"/>
  <c r="U455" i="69"/>
  <c r="V455" i="69"/>
  <c r="W455" i="69"/>
  <c r="X455" i="69"/>
  <c r="O456" i="69"/>
  <c r="P456" i="69"/>
  <c r="S456" i="69"/>
  <c r="T456" i="69"/>
  <c r="U456" i="69"/>
  <c r="V456" i="69"/>
  <c r="W456" i="69"/>
  <c r="X456" i="69"/>
  <c r="O457" i="69"/>
  <c r="R457" i="69"/>
  <c r="P457" i="69"/>
  <c r="S457" i="69"/>
  <c r="T457" i="69"/>
  <c r="V457" i="69"/>
  <c r="W457" i="69"/>
  <c r="X457" i="69"/>
  <c r="O458" i="69"/>
  <c r="P458" i="69"/>
  <c r="T458" i="69"/>
  <c r="U458" i="69"/>
  <c r="V458" i="69"/>
  <c r="W458" i="69"/>
  <c r="X458" i="69"/>
  <c r="O459" i="69"/>
  <c r="P459" i="69"/>
  <c r="R459" i="69"/>
  <c r="S459" i="69"/>
  <c r="T459" i="69"/>
  <c r="U459" i="69"/>
  <c r="V459" i="69"/>
  <c r="W459" i="69"/>
  <c r="X459" i="69"/>
  <c r="O460" i="69"/>
  <c r="P460" i="69"/>
  <c r="S460" i="69"/>
  <c r="T460" i="69"/>
  <c r="U460" i="69"/>
  <c r="W460" i="69"/>
  <c r="X460" i="69"/>
  <c r="O110" i="69"/>
  <c r="P110" i="69"/>
  <c r="R110" i="69"/>
  <c r="U110" i="69"/>
  <c r="S110" i="69"/>
  <c r="T110" i="69"/>
  <c r="V110" i="69"/>
  <c r="W110" i="69"/>
  <c r="X110" i="69"/>
  <c r="R456" i="69"/>
  <c r="O221" i="69"/>
  <c r="P221" i="69"/>
  <c r="R221" i="69"/>
  <c r="U221" i="69"/>
  <c r="S221" i="69"/>
  <c r="T221" i="69"/>
  <c r="V221" i="69"/>
  <c r="W221" i="69"/>
  <c r="X221" i="69"/>
  <c r="O7" i="69"/>
  <c r="P7" i="69"/>
  <c r="S7" i="69"/>
  <c r="T7" i="69"/>
  <c r="U7" i="69"/>
  <c r="W7" i="69"/>
  <c r="X7" i="69"/>
  <c r="O8" i="69"/>
  <c r="P8" i="69"/>
  <c r="S8" i="69"/>
  <c r="T8" i="69"/>
  <c r="U8" i="69"/>
  <c r="W8" i="69"/>
  <c r="X8" i="69"/>
  <c r="O9" i="69"/>
  <c r="P9" i="69"/>
  <c r="S9" i="69"/>
  <c r="T9" i="69"/>
  <c r="U9" i="69"/>
  <c r="W9" i="69"/>
  <c r="X9" i="69"/>
  <c r="O10" i="69"/>
  <c r="P10" i="69"/>
  <c r="S10" i="69"/>
  <c r="T10" i="69"/>
  <c r="U10" i="69"/>
  <c r="W10" i="69"/>
  <c r="X10" i="69"/>
  <c r="O11" i="69"/>
  <c r="P11" i="69"/>
  <c r="T11" i="69"/>
  <c r="U11" i="69"/>
  <c r="V11" i="69"/>
  <c r="W11" i="69"/>
  <c r="X11" i="69"/>
  <c r="O12" i="69"/>
  <c r="P12" i="69"/>
  <c r="S12" i="69"/>
  <c r="T12" i="69"/>
  <c r="V12" i="69"/>
  <c r="W12" i="69"/>
  <c r="X12" i="69"/>
  <c r="P13" i="69"/>
  <c r="S13" i="69"/>
  <c r="T13" i="69"/>
  <c r="U13" i="69"/>
  <c r="W13" i="69"/>
  <c r="X13" i="69"/>
  <c r="P14" i="69"/>
  <c r="S14" i="69"/>
  <c r="T14" i="69"/>
  <c r="U14" i="69"/>
  <c r="W14" i="69"/>
  <c r="X14" i="69"/>
  <c r="O15" i="69"/>
  <c r="P15" i="69"/>
  <c r="S15" i="69"/>
  <c r="T15" i="69"/>
  <c r="V15" i="69"/>
  <c r="W15" i="69"/>
  <c r="X15" i="69"/>
  <c r="O16" i="69"/>
  <c r="P16" i="69"/>
  <c r="S16" i="69"/>
  <c r="T16" i="69"/>
  <c r="U16" i="69"/>
  <c r="W16" i="69"/>
  <c r="X16" i="69"/>
  <c r="P17" i="69"/>
  <c r="S17" i="69"/>
  <c r="T17" i="69"/>
  <c r="U17" i="69"/>
  <c r="W17" i="69"/>
  <c r="X17" i="69"/>
  <c r="O18" i="69"/>
  <c r="R18" i="69"/>
  <c r="P18" i="69"/>
  <c r="S18" i="69"/>
  <c r="T18" i="69"/>
  <c r="V18" i="69"/>
  <c r="W18" i="69"/>
  <c r="X18" i="69"/>
  <c r="O19" i="69"/>
  <c r="P19" i="69"/>
  <c r="S19" i="69"/>
  <c r="T19" i="69"/>
  <c r="U19" i="69"/>
  <c r="W19" i="69"/>
  <c r="X19" i="69"/>
  <c r="O20" i="69"/>
  <c r="P20" i="69"/>
  <c r="T20" i="69"/>
  <c r="U20" i="69"/>
  <c r="V20" i="69"/>
  <c r="W20" i="69"/>
  <c r="X20" i="69"/>
  <c r="O21" i="69"/>
  <c r="P21" i="69"/>
  <c r="S21" i="69"/>
  <c r="T21" i="69"/>
  <c r="V21" i="69"/>
  <c r="W21" i="69"/>
  <c r="X21" i="69"/>
  <c r="O22" i="69"/>
  <c r="P22" i="69"/>
  <c r="S22" i="69"/>
  <c r="T22" i="69"/>
  <c r="V22" i="69"/>
  <c r="W22" i="69"/>
  <c r="X22" i="69"/>
  <c r="O23" i="69"/>
  <c r="P23" i="69"/>
  <c r="S23" i="69"/>
  <c r="T23" i="69"/>
  <c r="V23" i="69"/>
  <c r="W23" i="69"/>
  <c r="X23" i="69"/>
  <c r="O24" i="69"/>
  <c r="P24" i="69"/>
  <c r="S24" i="69"/>
  <c r="T24" i="69"/>
  <c r="V24" i="69"/>
  <c r="W24" i="69"/>
  <c r="X24" i="69"/>
  <c r="O25" i="69"/>
  <c r="P25" i="69"/>
  <c r="S25" i="69"/>
  <c r="T25" i="69"/>
  <c r="V25" i="69"/>
  <c r="W25" i="69"/>
  <c r="X25" i="69"/>
  <c r="O26" i="69"/>
  <c r="P26" i="69"/>
  <c r="S26" i="69"/>
  <c r="T26" i="69"/>
  <c r="V26" i="69"/>
  <c r="W26" i="69"/>
  <c r="X26" i="69"/>
  <c r="O27" i="69"/>
  <c r="P27" i="69"/>
  <c r="S27" i="69"/>
  <c r="T27" i="69"/>
  <c r="V27" i="69"/>
  <c r="W27" i="69"/>
  <c r="X27" i="69"/>
  <c r="O28" i="69"/>
  <c r="P28" i="69"/>
  <c r="S28" i="69"/>
  <c r="T28" i="69"/>
  <c r="V28" i="69"/>
  <c r="W28" i="69"/>
  <c r="X28" i="69"/>
  <c r="O29" i="69"/>
  <c r="P29" i="69"/>
  <c r="T29" i="69"/>
  <c r="U29" i="69"/>
  <c r="V29" i="69"/>
  <c r="W29" i="69"/>
  <c r="X29" i="69"/>
  <c r="O30" i="69"/>
  <c r="P30" i="69"/>
  <c r="S30" i="69"/>
  <c r="T30" i="69"/>
  <c r="V30" i="69"/>
  <c r="W30" i="69"/>
  <c r="X30" i="69"/>
  <c r="O31" i="69"/>
  <c r="P31" i="69"/>
  <c r="S31" i="69"/>
  <c r="T31" i="69"/>
  <c r="U31" i="69"/>
  <c r="W31" i="69"/>
  <c r="X31" i="69"/>
  <c r="O32" i="69"/>
  <c r="P32" i="69"/>
  <c r="S32" i="69"/>
  <c r="T32" i="69"/>
  <c r="U32" i="69"/>
  <c r="W32" i="69"/>
  <c r="X32" i="69"/>
  <c r="O33" i="69"/>
  <c r="P33" i="69"/>
  <c r="S33" i="69"/>
  <c r="T33" i="69"/>
  <c r="U33" i="69"/>
  <c r="W33" i="69"/>
  <c r="X33" i="69"/>
  <c r="O34" i="69"/>
  <c r="P34" i="69"/>
  <c r="S34" i="69"/>
  <c r="T34" i="69"/>
  <c r="U34" i="69"/>
  <c r="W34" i="69"/>
  <c r="X34" i="69"/>
  <c r="O35" i="69"/>
  <c r="P35" i="69"/>
  <c r="S35" i="69"/>
  <c r="T35" i="69"/>
  <c r="U35" i="69"/>
  <c r="W35" i="69"/>
  <c r="X35" i="69"/>
  <c r="O36" i="69"/>
  <c r="P36" i="69"/>
  <c r="S36" i="69"/>
  <c r="U36" i="69"/>
  <c r="V36" i="69"/>
  <c r="W36" i="69"/>
  <c r="X36" i="69"/>
  <c r="O37" i="69"/>
  <c r="P37" i="69"/>
  <c r="S37" i="69"/>
  <c r="T37" i="69"/>
  <c r="U37" i="69"/>
  <c r="W37" i="69"/>
  <c r="X37" i="69"/>
  <c r="O38" i="69"/>
  <c r="P38" i="69"/>
  <c r="S38" i="69"/>
  <c r="T38" i="69"/>
  <c r="V38" i="69"/>
  <c r="W38" i="69"/>
  <c r="X38" i="69"/>
  <c r="O39" i="69"/>
  <c r="P39" i="69"/>
  <c r="S39" i="69"/>
  <c r="T39" i="69"/>
  <c r="U39" i="69"/>
  <c r="W39" i="69"/>
  <c r="X39" i="69"/>
  <c r="O40" i="69"/>
  <c r="P40" i="69"/>
  <c r="S40" i="69"/>
  <c r="T40" i="69"/>
  <c r="U40" i="69"/>
  <c r="W40" i="69"/>
  <c r="X40" i="69"/>
  <c r="O41" i="69"/>
  <c r="P41" i="69"/>
  <c r="S41" i="69"/>
  <c r="T41" i="69"/>
  <c r="U41" i="69"/>
  <c r="W41" i="69"/>
  <c r="X41" i="69"/>
  <c r="O42" i="69"/>
  <c r="P42" i="69"/>
  <c r="S42" i="69"/>
  <c r="T42" i="69"/>
  <c r="U42" i="69"/>
  <c r="W42" i="69"/>
  <c r="X42" i="69"/>
  <c r="O43" i="69"/>
  <c r="P43" i="69"/>
  <c r="S43" i="69"/>
  <c r="T43" i="69"/>
  <c r="U43" i="69"/>
  <c r="W43" i="69"/>
  <c r="X43" i="69"/>
  <c r="O44" i="69"/>
  <c r="P44" i="69"/>
  <c r="S44" i="69"/>
  <c r="T44" i="69"/>
  <c r="V44" i="69"/>
  <c r="W44" i="69"/>
  <c r="X44" i="69"/>
  <c r="O45" i="69"/>
  <c r="P45" i="69"/>
  <c r="S45" i="69"/>
  <c r="T45" i="69"/>
  <c r="V45" i="69"/>
  <c r="W45" i="69"/>
  <c r="X45" i="69"/>
  <c r="O46" i="69"/>
  <c r="P46" i="69"/>
  <c r="T46" i="69"/>
  <c r="U46" i="69"/>
  <c r="V46" i="69"/>
  <c r="W46" i="69"/>
  <c r="X46" i="69"/>
  <c r="P47" i="69"/>
  <c r="S47" i="69"/>
  <c r="T47" i="69"/>
  <c r="V47" i="69"/>
  <c r="W47" i="69"/>
  <c r="X47" i="69"/>
  <c r="O48" i="69"/>
  <c r="P48" i="69"/>
  <c r="S48" i="69"/>
  <c r="T48" i="69"/>
  <c r="U48" i="69"/>
  <c r="W48" i="69"/>
  <c r="X48" i="69"/>
  <c r="O49" i="69"/>
  <c r="P49" i="69"/>
  <c r="S49" i="69"/>
  <c r="T49" i="69"/>
  <c r="U49" i="69"/>
  <c r="W49" i="69"/>
  <c r="X49" i="69"/>
  <c r="O50" i="69"/>
  <c r="P50" i="69"/>
  <c r="S50" i="69"/>
  <c r="T50" i="69"/>
  <c r="V50" i="69"/>
  <c r="W50" i="69"/>
  <c r="X50" i="69"/>
  <c r="O51" i="69"/>
  <c r="P51" i="69"/>
  <c r="S51" i="69"/>
  <c r="T51" i="69"/>
  <c r="V51" i="69"/>
  <c r="W51" i="69"/>
  <c r="X51" i="69"/>
  <c r="O52" i="69"/>
  <c r="P52" i="69"/>
  <c r="S52" i="69"/>
  <c r="T52" i="69"/>
  <c r="V52" i="69"/>
  <c r="W52" i="69"/>
  <c r="X52" i="69"/>
  <c r="O53" i="69"/>
  <c r="P53" i="69"/>
  <c r="S53" i="69"/>
  <c r="T53" i="69"/>
  <c r="V53" i="69"/>
  <c r="W53" i="69"/>
  <c r="X53" i="69"/>
  <c r="O54" i="69"/>
  <c r="P54" i="69"/>
  <c r="S54" i="69"/>
  <c r="T54" i="69"/>
  <c r="V54" i="69"/>
  <c r="W54" i="69"/>
  <c r="X54" i="69"/>
  <c r="O55" i="69"/>
  <c r="P55" i="69"/>
  <c r="S55" i="69"/>
  <c r="T55" i="69"/>
  <c r="V55" i="69"/>
  <c r="W55" i="69"/>
  <c r="X55" i="69"/>
  <c r="O56" i="69"/>
  <c r="P56" i="69"/>
  <c r="S56" i="69"/>
  <c r="T56" i="69"/>
  <c r="V56" i="69"/>
  <c r="W56" i="69"/>
  <c r="X56" i="69"/>
  <c r="O57" i="69"/>
  <c r="P57" i="69"/>
  <c r="S57" i="69"/>
  <c r="T57" i="69"/>
  <c r="V57" i="69"/>
  <c r="W57" i="69"/>
  <c r="X57" i="69"/>
  <c r="O58" i="69"/>
  <c r="P58" i="69"/>
  <c r="S58" i="69"/>
  <c r="T58" i="69"/>
  <c r="V58" i="69"/>
  <c r="W58" i="69"/>
  <c r="X58" i="69"/>
  <c r="O59" i="69"/>
  <c r="P59" i="69"/>
  <c r="S59" i="69"/>
  <c r="T59" i="69"/>
  <c r="V59" i="69"/>
  <c r="W59" i="69"/>
  <c r="X59" i="69"/>
  <c r="O60" i="69"/>
  <c r="P60" i="69"/>
  <c r="S60" i="69"/>
  <c r="T60" i="69"/>
  <c r="V60" i="69"/>
  <c r="W60" i="69"/>
  <c r="X60" i="69"/>
  <c r="O61" i="69"/>
  <c r="P61" i="69"/>
  <c r="S61" i="69"/>
  <c r="T61" i="69"/>
  <c r="U61" i="69"/>
  <c r="W61" i="69"/>
  <c r="X61" i="69"/>
  <c r="O62" i="69"/>
  <c r="P62" i="69"/>
  <c r="S62" i="69"/>
  <c r="T62" i="69"/>
  <c r="V62" i="69"/>
  <c r="W62" i="69"/>
  <c r="X62" i="69"/>
  <c r="O63" i="69"/>
  <c r="P63" i="69"/>
  <c r="S63" i="69"/>
  <c r="T63" i="69"/>
  <c r="U63" i="69"/>
  <c r="W63" i="69"/>
  <c r="X63" i="69"/>
  <c r="O64" i="69"/>
  <c r="P64" i="69"/>
  <c r="S64" i="69"/>
  <c r="T64" i="69"/>
  <c r="V64" i="69"/>
  <c r="W64" i="69"/>
  <c r="X64" i="69"/>
  <c r="O65" i="69"/>
  <c r="P65" i="69"/>
  <c r="S65" i="69"/>
  <c r="T65" i="69"/>
  <c r="V65" i="69"/>
  <c r="W65" i="69"/>
  <c r="X65" i="69"/>
  <c r="O66" i="69"/>
  <c r="P66" i="69"/>
  <c r="S66" i="69"/>
  <c r="T66" i="69"/>
  <c r="U66" i="69"/>
  <c r="W66" i="69"/>
  <c r="X66" i="69"/>
  <c r="O67" i="69"/>
  <c r="P67" i="69"/>
  <c r="T67" i="69"/>
  <c r="U67" i="69"/>
  <c r="V67" i="69"/>
  <c r="W67" i="69"/>
  <c r="X67" i="69"/>
  <c r="O68" i="69"/>
  <c r="P68" i="69"/>
  <c r="S68" i="69"/>
  <c r="T68" i="69"/>
  <c r="V68" i="69"/>
  <c r="W68" i="69"/>
  <c r="X68" i="69"/>
  <c r="O69" i="69"/>
  <c r="P69" i="69"/>
  <c r="S69" i="69"/>
  <c r="T69" i="69"/>
  <c r="V69" i="69"/>
  <c r="W69" i="69"/>
  <c r="X69" i="69"/>
  <c r="O70" i="69"/>
  <c r="P70" i="69"/>
  <c r="S70" i="69"/>
  <c r="T70" i="69"/>
  <c r="U70" i="69"/>
  <c r="W70" i="69"/>
  <c r="X70" i="69"/>
  <c r="O71" i="69"/>
  <c r="P71" i="69"/>
  <c r="S71" i="69"/>
  <c r="T71" i="69"/>
  <c r="U71" i="69"/>
  <c r="W71" i="69"/>
  <c r="X71" i="69"/>
  <c r="O72" i="69"/>
  <c r="P72" i="69"/>
  <c r="S72" i="69"/>
  <c r="T72" i="69"/>
  <c r="U72" i="69"/>
  <c r="W72" i="69"/>
  <c r="X72" i="69"/>
  <c r="O73" i="69"/>
  <c r="P73" i="69"/>
  <c r="S73" i="69"/>
  <c r="T73" i="69"/>
  <c r="U73" i="69"/>
  <c r="W73" i="69"/>
  <c r="X73" i="69"/>
  <c r="O74" i="69"/>
  <c r="P74" i="69"/>
  <c r="S74" i="69"/>
  <c r="T74" i="69"/>
  <c r="U74" i="69"/>
  <c r="W74" i="69"/>
  <c r="X74" i="69"/>
  <c r="O75" i="69"/>
  <c r="P75" i="69"/>
  <c r="S75" i="69"/>
  <c r="T75" i="69"/>
  <c r="V75" i="69"/>
  <c r="W75" i="69"/>
  <c r="X75" i="69"/>
  <c r="O76" i="69"/>
  <c r="P76" i="69"/>
  <c r="S76" i="69"/>
  <c r="T76" i="69"/>
  <c r="V76" i="69"/>
  <c r="W76" i="69"/>
  <c r="X76" i="69"/>
  <c r="O77" i="69"/>
  <c r="P77" i="69"/>
  <c r="R77" i="69"/>
  <c r="V77" i="69"/>
  <c r="S77" i="69"/>
  <c r="T77" i="69"/>
  <c r="U77" i="69"/>
  <c r="W77" i="69"/>
  <c r="X77" i="69"/>
  <c r="O78" i="69"/>
  <c r="P78" i="69"/>
  <c r="T78" i="69"/>
  <c r="U78" i="69"/>
  <c r="V78" i="69"/>
  <c r="W78" i="69"/>
  <c r="X78" i="69"/>
  <c r="O79" i="69"/>
  <c r="P79" i="69"/>
  <c r="S79" i="69"/>
  <c r="T79" i="69"/>
  <c r="U79" i="69"/>
  <c r="V79" i="69"/>
  <c r="W79" i="69"/>
  <c r="X79" i="69"/>
  <c r="O80" i="69"/>
  <c r="P80" i="69"/>
  <c r="S80" i="69"/>
  <c r="T80" i="69"/>
  <c r="U80" i="69"/>
  <c r="W80" i="69"/>
  <c r="X80" i="69"/>
  <c r="O81" i="69"/>
  <c r="P81" i="69"/>
  <c r="S81" i="69"/>
  <c r="T81" i="69"/>
  <c r="V81" i="69"/>
  <c r="W81" i="69"/>
  <c r="X81" i="69"/>
  <c r="O82" i="69"/>
  <c r="P82" i="69"/>
  <c r="T82" i="69"/>
  <c r="U82" i="69"/>
  <c r="V82" i="69"/>
  <c r="W82" i="69"/>
  <c r="X82" i="69"/>
  <c r="O83" i="69"/>
  <c r="P83" i="69"/>
  <c r="S83" i="69"/>
  <c r="T83" i="69"/>
  <c r="V83" i="69"/>
  <c r="W83" i="69"/>
  <c r="X83" i="69"/>
  <c r="O84" i="69"/>
  <c r="P84" i="69"/>
  <c r="S84" i="69"/>
  <c r="T84" i="69"/>
  <c r="V84" i="69"/>
  <c r="W84" i="69"/>
  <c r="X84" i="69"/>
  <c r="O85" i="69"/>
  <c r="P85" i="69"/>
  <c r="S85" i="69"/>
  <c r="T85" i="69"/>
  <c r="V85" i="69"/>
  <c r="W85" i="69"/>
  <c r="X85" i="69"/>
  <c r="O86" i="69"/>
  <c r="P86" i="69"/>
  <c r="S86" i="69"/>
  <c r="T86" i="69"/>
  <c r="V86" i="69"/>
  <c r="W86" i="69"/>
  <c r="X86" i="69"/>
  <c r="O87" i="69"/>
  <c r="P87" i="69"/>
  <c r="S87" i="69"/>
  <c r="T87" i="69"/>
  <c r="V87" i="69"/>
  <c r="W87" i="69"/>
  <c r="X87" i="69"/>
  <c r="O88" i="69"/>
  <c r="P88" i="69"/>
  <c r="S88" i="69"/>
  <c r="T88" i="69"/>
  <c r="V88" i="69"/>
  <c r="W88" i="69"/>
  <c r="X88" i="69"/>
  <c r="O89" i="69"/>
  <c r="P89" i="69"/>
  <c r="S89" i="69"/>
  <c r="T89" i="69"/>
  <c r="V89" i="69"/>
  <c r="W89" i="69"/>
  <c r="X89" i="69"/>
  <c r="O90" i="69"/>
  <c r="P90" i="69"/>
  <c r="R90" i="69"/>
  <c r="S90" i="69"/>
  <c r="T90" i="69"/>
  <c r="V90" i="69"/>
  <c r="W90" i="69"/>
  <c r="X90" i="69"/>
  <c r="O91" i="69"/>
  <c r="P91" i="69"/>
  <c r="S91" i="69"/>
  <c r="T91" i="69"/>
  <c r="V91" i="69"/>
  <c r="W91" i="69"/>
  <c r="X91" i="69"/>
  <c r="O92" i="69"/>
  <c r="P92" i="69"/>
  <c r="S92" i="69"/>
  <c r="T92" i="69"/>
  <c r="V92" i="69"/>
  <c r="W92" i="69"/>
  <c r="X92" i="69"/>
  <c r="O93" i="69"/>
  <c r="P93" i="69"/>
  <c r="S93" i="69"/>
  <c r="T93" i="69"/>
  <c r="V93" i="69"/>
  <c r="W93" i="69"/>
  <c r="X93" i="69"/>
  <c r="O94" i="69"/>
  <c r="P94" i="69"/>
  <c r="S94" i="69"/>
  <c r="T94" i="69"/>
  <c r="V94" i="69"/>
  <c r="W94" i="69"/>
  <c r="X94" i="69"/>
  <c r="O95" i="69"/>
  <c r="P95" i="69"/>
  <c r="S95" i="69"/>
  <c r="T95" i="69"/>
  <c r="V95" i="69"/>
  <c r="W95" i="69"/>
  <c r="X95" i="69"/>
  <c r="O96" i="69"/>
  <c r="P96" i="69"/>
  <c r="T96" i="69"/>
  <c r="U96" i="69"/>
  <c r="V96" i="69"/>
  <c r="W96" i="69"/>
  <c r="X96" i="69"/>
  <c r="O97" i="69"/>
  <c r="P97" i="69"/>
  <c r="S97" i="69"/>
  <c r="T97" i="69"/>
  <c r="V97" i="69"/>
  <c r="W97" i="69"/>
  <c r="X97" i="69"/>
  <c r="O98" i="69"/>
  <c r="R98" i="69"/>
  <c r="U98" i="69"/>
  <c r="P98" i="69"/>
  <c r="S98" i="69"/>
  <c r="T98" i="69"/>
  <c r="V98" i="69"/>
  <c r="W98" i="69"/>
  <c r="X98" i="69"/>
  <c r="O99" i="69"/>
  <c r="P99" i="69"/>
  <c r="T99" i="69"/>
  <c r="U99" i="69"/>
  <c r="V99" i="69"/>
  <c r="W99" i="69"/>
  <c r="X99" i="69"/>
  <c r="O100" i="69"/>
  <c r="P100" i="69"/>
  <c r="S100" i="69"/>
  <c r="T100" i="69"/>
  <c r="V100" i="69"/>
  <c r="W100" i="69"/>
  <c r="X100" i="69"/>
  <c r="O101" i="69"/>
  <c r="P101" i="69"/>
  <c r="S101" i="69"/>
  <c r="T101" i="69"/>
  <c r="U101" i="69"/>
  <c r="W101" i="69"/>
  <c r="X101" i="69"/>
  <c r="O102" i="69"/>
  <c r="P102" i="69"/>
  <c r="S102" i="69"/>
  <c r="T102" i="69"/>
  <c r="U102" i="69"/>
  <c r="W102" i="69"/>
  <c r="X102" i="69"/>
  <c r="O103" i="69"/>
  <c r="P103" i="69"/>
  <c r="S103" i="69"/>
  <c r="T103" i="69"/>
  <c r="U103" i="69"/>
  <c r="W103" i="69"/>
  <c r="X103" i="69"/>
  <c r="O104" i="69"/>
  <c r="P104" i="69"/>
  <c r="S104" i="69"/>
  <c r="T104" i="69"/>
  <c r="U104" i="69"/>
  <c r="W104" i="69"/>
  <c r="X104" i="69"/>
  <c r="O105" i="69"/>
  <c r="P105" i="69"/>
  <c r="S105" i="69"/>
  <c r="T105" i="69"/>
  <c r="U105" i="69"/>
  <c r="W105" i="69"/>
  <c r="X105" i="69"/>
  <c r="O106" i="69"/>
  <c r="P106" i="69"/>
  <c r="R106" i="69"/>
  <c r="U106" i="69"/>
  <c r="S106" i="69"/>
  <c r="T106" i="69"/>
  <c r="V106" i="69"/>
  <c r="W106" i="69"/>
  <c r="X106" i="69"/>
  <c r="O107" i="69"/>
  <c r="P107" i="69"/>
  <c r="S107" i="69"/>
  <c r="T107" i="69"/>
  <c r="V107" i="69"/>
  <c r="W107" i="69"/>
  <c r="X107" i="69"/>
  <c r="O108" i="69"/>
  <c r="P108" i="69"/>
  <c r="S108" i="69"/>
  <c r="T108" i="69"/>
  <c r="U108" i="69"/>
  <c r="W108" i="69"/>
  <c r="X108" i="69"/>
  <c r="O109" i="69"/>
  <c r="P109" i="69"/>
  <c r="T109" i="69"/>
  <c r="U109" i="69"/>
  <c r="V109" i="69"/>
  <c r="W109" i="69"/>
  <c r="X109" i="69"/>
  <c r="O111" i="69"/>
  <c r="R111" i="69"/>
  <c r="V111" i="69"/>
  <c r="P111" i="69"/>
  <c r="S111" i="69"/>
  <c r="T111" i="69"/>
  <c r="U111" i="69"/>
  <c r="W111" i="69"/>
  <c r="X111" i="69"/>
  <c r="O112" i="69"/>
  <c r="P112" i="69"/>
  <c r="S112" i="69"/>
  <c r="T112" i="69"/>
  <c r="V112" i="69"/>
  <c r="W112" i="69"/>
  <c r="X112" i="69"/>
  <c r="O113" i="69"/>
  <c r="P113" i="69"/>
  <c r="S113" i="69"/>
  <c r="T113" i="69"/>
  <c r="V113" i="69"/>
  <c r="W113" i="69"/>
  <c r="X113" i="69"/>
  <c r="O114" i="69"/>
  <c r="P114" i="69"/>
  <c r="S114" i="69"/>
  <c r="T114" i="69"/>
  <c r="U114" i="69"/>
  <c r="W114" i="69"/>
  <c r="X114" i="69"/>
  <c r="O115" i="69"/>
  <c r="P115" i="69"/>
  <c r="T115" i="69"/>
  <c r="U115" i="69"/>
  <c r="V115" i="69"/>
  <c r="W115" i="69"/>
  <c r="X115" i="69"/>
  <c r="O116" i="69"/>
  <c r="P116" i="69"/>
  <c r="S116" i="69"/>
  <c r="T116" i="69"/>
  <c r="V116" i="69"/>
  <c r="W116" i="69"/>
  <c r="X116" i="69"/>
  <c r="O117" i="69"/>
  <c r="P117" i="69"/>
  <c r="S117" i="69"/>
  <c r="T117" i="69"/>
  <c r="V117" i="69"/>
  <c r="W117" i="69"/>
  <c r="X117" i="69"/>
  <c r="O118" i="69"/>
  <c r="P118" i="69"/>
  <c r="S118" i="69"/>
  <c r="T118" i="69"/>
  <c r="V118" i="69"/>
  <c r="W118" i="69"/>
  <c r="X118" i="69"/>
  <c r="O119" i="69"/>
  <c r="P119" i="69"/>
  <c r="R119" i="69"/>
  <c r="S119" i="69"/>
  <c r="T119" i="69"/>
  <c r="V119" i="69"/>
  <c r="W119" i="69"/>
  <c r="X119" i="69"/>
  <c r="O120" i="69"/>
  <c r="P120" i="69"/>
  <c r="S120" i="69"/>
  <c r="T120" i="69"/>
  <c r="V120" i="69"/>
  <c r="W120" i="69"/>
  <c r="X120" i="69"/>
  <c r="O121" i="69"/>
  <c r="P121" i="69"/>
  <c r="S121" i="69"/>
  <c r="T121" i="69"/>
  <c r="V121" i="69"/>
  <c r="W121" i="69"/>
  <c r="X121" i="69"/>
  <c r="O122" i="69"/>
  <c r="P122" i="69"/>
  <c r="S122" i="69"/>
  <c r="T122" i="69"/>
  <c r="V122" i="69"/>
  <c r="W122" i="69"/>
  <c r="X122" i="69"/>
  <c r="O123" i="69"/>
  <c r="P123" i="69"/>
  <c r="S123" i="69"/>
  <c r="T123" i="69"/>
  <c r="V123" i="69"/>
  <c r="W123" i="69"/>
  <c r="X123" i="69"/>
  <c r="O124" i="69"/>
  <c r="P124" i="69"/>
  <c r="S124" i="69"/>
  <c r="T124" i="69"/>
  <c r="V124" i="69"/>
  <c r="W124" i="69"/>
  <c r="X124" i="69"/>
  <c r="O125" i="69"/>
  <c r="P125" i="69"/>
  <c r="S125" i="69"/>
  <c r="T125" i="69"/>
  <c r="V125" i="69"/>
  <c r="W125" i="69"/>
  <c r="X125" i="69"/>
  <c r="O126" i="69"/>
  <c r="P126" i="69"/>
  <c r="S126" i="69"/>
  <c r="T126" i="69"/>
  <c r="V126" i="69"/>
  <c r="W126" i="69"/>
  <c r="X126" i="69"/>
  <c r="O127" i="69"/>
  <c r="P127" i="69"/>
  <c r="R127" i="69"/>
  <c r="U127" i="69"/>
  <c r="S127" i="69"/>
  <c r="T127" i="69"/>
  <c r="V127" i="69"/>
  <c r="W127" i="69"/>
  <c r="X127" i="69"/>
  <c r="O128" i="69"/>
  <c r="P128" i="69"/>
  <c r="S128" i="69"/>
  <c r="T128" i="69"/>
  <c r="V128" i="69"/>
  <c r="W128" i="69"/>
  <c r="X128" i="69"/>
  <c r="O129" i="69"/>
  <c r="P129" i="69"/>
  <c r="S129" i="69"/>
  <c r="T129" i="69"/>
  <c r="V129" i="69"/>
  <c r="W129" i="69"/>
  <c r="X129" i="69"/>
  <c r="O130" i="69"/>
  <c r="P130" i="69"/>
  <c r="S130" i="69"/>
  <c r="T130" i="69"/>
  <c r="V130" i="69"/>
  <c r="W130" i="69"/>
  <c r="X130" i="69"/>
  <c r="O131" i="69"/>
  <c r="P131" i="69"/>
  <c r="T131" i="69"/>
  <c r="U131" i="69"/>
  <c r="V131" i="69"/>
  <c r="W131" i="69"/>
  <c r="X131" i="69"/>
  <c r="O132" i="69"/>
  <c r="P132" i="69"/>
  <c r="S132" i="69"/>
  <c r="T132" i="69"/>
  <c r="V132" i="69"/>
  <c r="W132" i="69"/>
  <c r="X132" i="69"/>
  <c r="O133" i="69"/>
  <c r="P133" i="69"/>
  <c r="S133" i="69"/>
  <c r="T133" i="69"/>
  <c r="V133" i="69"/>
  <c r="W133" i="69"/>
  <c r="X133" i="69"/>
  <c r="O134" i="69"/>
  <c r="P134" i="69"/>
  <c r="S134" i="69"/>
  <c r="T134" i="69"/>
  <c r="V134" i="69"/>
  <c r="W134" i="69"/>
  <c r="X134" i="69"/>
  <c r="O135" i="69"/>
  <c r="P135" i="69"/>
  <c r="S135" i="69"/>
  <c r="T135" i="69"/>
  <c r="V135" i="69"/>
  <c r="W135" i="69"/>
  <c r="X135" i="69"/>
  <c r="O136" i="69"/>
  <c r="P136" i="69"/>
  <c r="S136" i="69"/>
  <c r="T136" i="69"/>
  <c r="V136" i="69"/>
  <c r="W136" i="69"/>
  <c r="X136" i="69"/>
  <c r="O137" i="69"/>
  <c r="P137" i="69"/>
  <c r="S137" i="69"/>
  <c r="T137" i="69"/>
  <c r="V137" i="69"/>
  <c r="W137" i="69"/>
  <c r="X137" i="69"/>
  <c r="O138" i="69"/>
  <c r="P138" i="69"/>
  <c r="S138" i="69"/>
  <c r="T138" i="69"/>
  <c r="V138" i="69"/>
  <c r="W138" i="69"/>
  <c r="X138" i="69"/>
  <c r="O139" i="69"/>
  <c r="R139" i="69"/>
  <c r="S139" i="69"/>
  <c r="P139" i="69"/>
  <c r="T139" i="69"/>
  <c r="U139" i="69"/>
  <c r="V139" i="69"/>
  <c r="W139" i="69"/>
  <c r="X139" i="69"/>
  <c r="O140" i="69"/>
  <c r="P140" i="69"/>
  <c r="S140" i="69"/>
  <c r="T140" i="69"/>
  <c r="U140" i="69"/>
  <c r="V140" i="69"/>
  <c r="W140" i="69"/>
  <c r="X140" i="69"/>
  <c r="O141" i="69"/>
  <c r="P141" i="69"/>
  <c r="S141" i="69"/>
  <c r="T141" i="69"/>
  <c r="V141" i="69"/>
  <c r="W141" i="69"/>
  <c r="X141" i="69"/>
  <c r="O142" i="69"/>
  <c r="P142" i="69"/>
  <c r="S142" i="69"/>
  <c r="T142" i="69"/>
  <c r="V142" i="69"/>
  <c r="W142" i="69"/>
  <c r="X142" i="69"/>
  <c r="O143" i="69"/>
  <c r="P143" i="69"/>
  <c r="S143" i="69"/>
  <c r="T143" i="69"/>
  <c r="V143" i="69"/>
  <c r="W143" i="69"/>
  <c r="X143" i="69"/>
  <c r="O144" i="69"/>
  <c r="P144" i="69"/>
  <c r="S144" i="69"/>
  <c r="T144" i="69"/>
  <c r="V144" i="69"/>
  <c r="W144" i="69"/>
  <c r="X144" i="69"/>
  <c r="O145" i="69"/>
  <c r="P145" i="69"/>
  <c r="S145" i="69"/>
  <c r="T145" i="69"/>
  <c r="V145" i="69"/>
  <c r="W145" i="69"/>
  <c r="X145" i="69"/>
  <c r="O146" i="69"/>
  <c r="P146" i="69"/>
  <c r="S146" i="69"/>
  <c r="T146" i="69"/>
  <c r="V146" i="69"/>
  <c r="W146" i="69"/>
  <c r="X146" i="69"/>
  <c r="O147" i="69"/>
  <c r="P147" i="69"/>
  <c r="S147" i="69"/>
  <c r="T147" i="69"/>
  <c r="V147" i="69"/>
  <c r="W147" i="69"/>
  <c r="X147" i="69"/>
  <c r="O148" i="69"/>
  <c r="P148" i="69"/>
  <c r="R148" i="69"/>
  <c r="U148" i="69"/>
  <c r="S148" i="69"/>
  <c r="T148" i="69"/>
  <c r="V148" i="69"/>
  <c r="W148" i="69"/>
  <c r="X148" i="69"/>
  <c r="O149" i="69"/>
  <c r="P149" i="69"/>
  <c r="S149" i="69"/>
  <c r="T149" i="69"/>
  <c r="V149" i="69"/>
  <c r="W149" i="69"/>
  <c r="X149" i="69"/>
  <c r="O150" i="69"/>
  <c r="P150" i="69"/>
  <c r="T150" i="69"/>
  <c r="U150" i="69"/>
  <c r="V150" i="69"/>
  <c r="W150" i="69"/>
  <c r="X150" i="69"/>
  <c r="O151" i="69"/>
  <c r="P151" i="69"/>
  <c r="S151" i="69"/>
  <c r="T151" i="69"/>
  <c r="U151" i="69"/>
  <c r="V151" i="69"/>
  <c r="W151" i="69"/>
  <c r="X151" i="69"/>
  <c r="O152" i="69"/>
  <c r="P152" i="69"/>
  <c r="S152" i="69"/>
  <c r="T152" i="69"/>
  <c r="V152" i="69"/>
  <c r="W152" i="69"/>
  <c r="X152" i="69"/>
  <c r="O153" i="69"/>
  <c r="R153" i="69"/>
  <c r="U153" i="69"/>
  <c r="P153" i="69"/>
  <c r="S153" i="69"/>
  <c r="T153" i="69"/>
  <c r="V153" i="69"/>
  <c r="W153" i="69"/>
  <c r="X153" i="69"/>
  <c r="O154" i="69"/>
  <c r="P154" i="69"/>
  <c r="S154" i="69"/>
  <c r="T154" i="69"/>
  <c r="V154" i="69"/>
  <c r="W154" i="69"/>
  <c r="X154" i="69"/>
  <c r="O155" i="69"/>
  <c r="P155" i="69"/>
  <c r="S155" i="69"/>
  <c r="T155" i="69"/>
  <c r="V155" i="69"/>
  <c r="W155" i="69"/>
  <c r="X155" i="69"/>
  <c r="O156" i="69"/>
  <c r="R156" i="69"/>
  <c r="P156" i="69"/>
  <c r="T156" i="69"/>
  <c r="U156" i="69"/>
  <c r="V156" i="69"/>
  <c r="W156" i="69"/>
  <c r="X156" i="69"/>
  <c r="O157" i="69"/>
  <c r="R157" i="69"/>
  <c r="P157" i="69"/>
  <c r="S157" i="69"/>
  <c r="T157" i="69"/>
  <c r="U157" i="69"/>
  <c r="V157" i="69"/>
  <c r="W157" i="69"/>
  <c r="X157" i="69"/>
  <c r="O158" i="69"/>
  <c r="R158" i="69"/>
  <c r="U158" i="69"/>
  <c r="P158" i="69"/>
  <c r="S158" i="69"/>
  <c r="T158" i="69"/>
  <c r="V158" i="69"/>
  <c r="W158" i="69"/>
  <c r="X158" i="69"/>
  <c r="O159" i="69"/>
  <c r="P159" i="69"/>
  <c r="S159" i="69"/>
  <c r="T159" i="69"/>
  <c r="V159" i="69"/>
  <c r="W159" i="69"/>
  <c r="X159" i="69"/>
  <c r="O160" i="69"/>
  <c r="P160" i="69"/>
  <c r="S160" i="69"/>
  <c r="T160" i="69"/>
  <c r="V160" i="69"/>
  <c r="W160" i="69"/>
  <c r="X160" i="69"/>
  <c r="O161" i="69"/>
  <c r="R161" i="69"/>
  <c r="U161" i="69"/>
  <c r="P161" i="69"/>
  <c r="S161" i="69"/>
  <c r="T161" i="69"/>
  <c r="V161" i="69"/>
  <c r="W161" i="69"/>
  <c r="X161" i="69"/>
  <c r="O162" i="69"/>
  <c r="R162" i="69"/>
  <c r="U162" i="69"/>
  <c r="P162" i="69"/>
  <c r="S162" i="69"/>
  <c r="T162" i="69"/>
  <c r="V162" i="69"/>
  <c r="W162" i="69"/>
  <c r="X162" i="69"/>
  <c r="O163" i="69"/>
  <c r="P163" i="69"/>
  <c r="R163" i="69"/>
  <c r="U163" i="69"/>
  <c r="S163" i="69"/>
  <c r="T163" i="69"/>
  <c r="V163" i="69"/>
  <c r="W163" i="69"/>
  <c r="X163" i="69"/>
  <c r="O164" i="69"/>
  <c r="P164" i="69"/>
  <c r="S164" i="69"/>
  <c r="T164" i="69"/>
  <c r="V164" i="69"/>
  <c r="W164" i="69"/>
  <c r="X164" i="69"/>
  <c r="O165" i="69"/>
  <c r="P165" i="69"/>
  <c r="R165" i="69"/>
  <c r="U165" i="69"/>
  <c r="S165" i="69"/>
  <c r="T165" i="69"/>
  <c r="V165" i="69"/>
  <c r="W165" i="69"/>
  <c r="X165" i="69"/>
  <c r="O166" i="69"/>
  <c r="P166" i="69"/>
  <c r="R166" i="69"/>
  <c r="U166" i="69"/>
  <c r="S166" i="69"/>
  <c r="T166" i="69"/>
  <c r="V166" i="69"/>
  <c r="W166" i="69"/>
  <c r="X166" i="69"/>
  <c r="O167" i="69"/>
  <c r="R167" i="69"/>
  <c r="U167" i="69"/>
  <c r="P167" i="69"/>
  <c r="S167" i="69"/>
  <c r="T167" i="69"/>
  <c r="V167" i="69"/>
  <c r="W167" i="69"/>
  <c r="X167" i="69"/>
  <c r="O168" i="69"/>
  <c r="P168" i="69"/>
  <c r="T168" i="69"/>
  <c r="U168" i="69"/>
  <c r="V168" i="69"/>
  <c r="W168" i="69"/>
  <c r="X168" i="69"/>
  <c r="O169" i="69"/>
  <c r="R169" i="69"/>
  <c r="U169" i="69"/>
  <c r="P169" i="69"/>
  <c r="S169" i="69"/>
  <c r="T169" i="69"/>
  <c r="V169" i="69"/>
  <c r="W169" i="69"/>
  <c r="X169" i="69"/>
  <c r="O170" i="69"/>
  <c r="R170" i="69"/>
  <c r="V170" i="69"/>
  <c r="P170" i="69"/>
  <c r="S170" i="69"/>
  <c r="T170" i="69"/>
  <c r="U170" i="69"/>
  <c r="W170" i="69"/>
  <c r="X170" i="69"/>
  <c r="O171" i="69"/>
  <c r="P171" i="69"/>
  <c r="S171" i="69"/>
  <c r="T171" i="69"/>
  <c r="V171" i="69"/>
  <c r="W171" i="69"/>
  <c r="X171" i="69"/>
  <c r="O172" i="69"/>
  <c r="P172" i="69"/>
  <c r="S172" i="69"/>
  <c r="T172" i="69"/>
  <c r="V172" i="69"/>
  <c r="W172" i="69"/>
  <c r="X172" i="69"/>
  <c r="O173" i="69"/>
  <c r="R173" i="69"/>
  <c r="U173" i="69"/>
  <c r="P173" i="69"/>
  <c r="S173" i="69"/>
  <c r="T173" i="69"/>
  <c r="V173" i="69"/>
  <c r="W173" i="69"/>
  <c r="X173" i="69"/>
  <c r="O174" i="69"/>
  <c r="R174" i="69"/>
  <c r="P174" i="69"/>
  <c r="S174" i="69"/>
  <c r="T174" i="69"/>
  <c r="U174" i="69"/>
  <c r="W174" i="69"/>
  <c r="X174" i="69"/>
  <c r="O175" i="69"/>
  <c r="P175" i="69"/>
  <c r="T175" i="69"/>
  <c r="U175" i="69"/>
  <c r="V175" i="69"/>
  <c r="W175" i="69"/>
  <c r="X175" i="69"/>
  <c r="O176" i="69"/>
  <c r="P176" i="69"/>
  <c r="S176" i="69"/>
  <c r="T176" i="69"/>
  <c r="U176" i="69"/>
  <c r="V176" i="69"/>
  <c r="W176" i="69"/>
  <c r="X176" i="69"/>
  <c r="O177" i="69"/>
  <c r="P177" i="69"/>
  <c r="S177" i="69"/>
  <c r="T177" i="69"/>
  <c r="V177" i="69"/>
  <c r="W177" i="69"/>
  <c r="X177" i="69"/>
  <c r="O178" i="69"/>
  <c r="R178" i="69"/>
  <c r="U178" i="69"/>
  <c r="P178" i="69"/>
  <c r="S178" i="69"/>
  <c r="T178" i="69"/>
  <c r="V178" i="69"/>
  <c r="W178" i="69"/>
  <c r="X178" i="69"/>
  <c r="O179" i="69"/>
  <c r="R179" i="69"/>
  <c r="U179" i="69"/>
  <c r="P179" i="69"/>
  <c r="S179" i="69"/>
  <c r="T179" i="69"/>
  <c r="V179" i="69"/>
  <c r="W179" i="69"/>
  <c r="X179" i="69"/>
  <c r="O180" i="69"/>
  <c r="P180" i="69"/>
  <c r="T180" i="69"/>
  <c r="U180" i="69"/>
  <c r="V180" i="69"/>
  <c r="W180" i="69"/>
  <c r="X180" i="69"/>
  <c r="O181" i="69"/>
  <c r="P181" i="69"/>
  <c r="S181" i="69"/>
  <c r="T181" i="69"/>
  <c r="U181" i="69"/>
  <c r="V181" i="69"/>
  <c r="W181" i="69"/>
  <c r="X181" i="69"/>
  <c r="O182" i="69"/>
  <c r="P182" i="69"/>
  <c r="S182" i="69"/>
  <c r="T182" i="69"/>
  <c r="V182" i="69"/>
  <c r="W182" i="69"/>
  <c r="X182" i="69"/>
  <c r="O183" i="69"/>
  <c r="R183" i="69"/>
  <c r="U183" i="69"/>
  <c r="P183" i="69"/>
  <c r="S183" i="69"/>
  <c r="T183" i="69"/>
  <c r="V183" i="69"/>
  <c r="W183" i="69"/>
  <c r="X183" i="69"/>
  <c r="O184" i="69"/>
  <c r="R184" i="69"/>
  <c r="S184" i="69"/>
  <c r="P184" i="69"/>
  <c r="T184" i="69"/>
  <c r="U184" i="69"/>
  <c r="V184" i="69"/>
  <c r="W184" i="69"/>
  <c r="X184" i="69"/>
  <c r="O185" i="69"/>
  <c r="P185" i="69"/>
  <c r="S185" i="69"/>
  <c r="T185" i="69"/>
  <c r="V185" i="69"/>
  <c r="W185" i="69"/>
  <c r="X185" i="69"/>
  <c r="O186" i="69"/>
  <c r="P186" i="69"/>
  <c r="S186" i="69"/>
  <c r="T186" i="69"/>
  <c r="V186" i="69"/>
  <c r="W186" i="69"/>
  <c r="X186" i="69"/>
  <c r="O187" i="69"/>
  <c r="R187" i="69"/>
  <c r="U187" i="69"/>
  <c r="P187" i="69"/>
  <c r="S187" i="69"/>
  <c r="T187" i="69"/>
  <c r="V187" i="69"/>
  <c r="W187" i="69"/>
  <c r="X187" i="69"/>
  <c r="O188" i="69"/>
  <c r="R188" i="69"/>
  <c r="U188" i="69"/>
  <c r="P188" i="69"/>
  <c r="S188" i="69"/>
  <c r="T188" i="69"/>
  <c r="V188" i="69"/>
  <c r="W188" i="69"/>
  <c r="X188" i="69"/>
  <c r="O189" i="69"/>
  <c r="P189" i="69"/>
  <c r="R189" i="69"/>
  <c r="S189" i="69"/>
  <c r="T189" i="69"/>
  <c r="V189" i="69"/>
  <c r="W189" i="69"/>
  <c r="X189" i="69"/>
  <c r="O190" i="69"/>
  <c r="P190" i="69"/>
  <c r="S190" i="69"/>
  <c r="T190" i="69"/>
  <c r="V190" i="69"/>
  <c r="W190" i="69"/>
  <c r="X190" i="69"/>
  <c r="O191" i="69"/>
  <c r="R191" i="69"/>
  <c r="U191" i="69"/>
  <c r="P191" i="69"/>
  <c r="S191" i="69"/>
  <c r="T191" i="69"/>
  <c r="V191" i="69"/>
  <c r="W191" i="69"/>
  <c r="X191" i="69"/>
  <c r="O192" i="69"/>
  <c r="P192" i="69"/>
  <c r="R192" i="69"/>
  <c r="U192" i="69"/>
  <c r="S192" i="69"/>
  <c r="T192" i="69"/>
  <c r="V192" i="69"/>
  <c r="W192" i="69"/>
  <c r="X192" i="69"/>
  <c r="O193" i="69"/>
  <c r="P193" i="69"/>
  <c r="S193" i="69"/>
  <c r="T193" i="69"/>
  <c r="U193" i="69"/>
  <c r="W193" i="69"/>
  <c r="X193" i="69"/>
  <c r="O194" i="69"/>
  <c r="P194" i="69"/>
  <c r="S194" i="69"/>
  <c r="T194" i="69"/>
  <c r="U194" i="69"/>
  <c r="W194" i="69"/>
  <c r="X194" i="69"/>
  <c r="O195" i="69"/>
  <c r="R195" i="69"/>
  <c r="V195" i="69"/>
  <c r="P195" i="69"/>
  <c r="S195" i="69"/>
  <c r="T195" i="69"/>
  <c r="U195" i="69"/>
  <c r="W195" i="69"/>
  <c r="X195" i="69"/>
  <c r="O196" i="69"/>
  <c r="P196" i="69"/>
  <c r="S196" i="69"/>
  <c r="T196" i="69"/>
  <c r="U196" i="69"/>
  <c r="W196" i="69"/>
  <c r="X196" i="69"/>
  <c r="O197" i="69"/>
  <c r="R197" i="69"/>
  <c r="P197" i="69"/>
  <c r="S197" i="69"/>
  <c r="T197" i="69"/>
  <c r="V197" i="69"/>
  <c r="W197" i="69"/>
  <c r="X197" i="69"/>
  <c r="O198" i="69"/>
  <c r="P198" i="69"/>
  <c r="S198" i="69"/>
  <c r="T198" i="69"/>
  <c r="V198" i="69"/>
  <c r="W198" i="69"/>
  <c r="X198" i="69"/>
  <c r="O199" i="69"/>
  <c r="R199" i="69"/>
  <c r="U199" i="69"/>
  <c r="P199" i="69"/>
  <c r="S199" i="69"/>
  <c r="T199" i="69"/>
  <c r="V199" i="69"/>
  <c r="W199" i="69"/>
  <c r="X199" i="69"/>
  <c r="O200" i="69"/>
  <c r="R200" i="69"/>
  <c r="U200" i="69"/>
  <c r="P200" i="69"/>
  <c r="S200" i="69"/>
  <c r="T200" i="69"/>
  <c r="V200" i="69"/>
  <c r="W200" i="69"/>
  <c r="X200" i="69"/>
  <c r="O201" i="69"/>
  <c r="P201" i="69"/>
  <c r="S201" i="69"/>
  <c r="T201" i="69"/>
  <c r="V201" i="69"/>
  <c r="W201" i="69"/>
  <c r="X201" i="69"/>
  <c r="O202" i="69"/>
  <c r="P202" i="69"/>
  <c r="S202" i="69"/>
  <c r="T202" i="69"/>
  <c r="V202" i="69"/>
  <c r="W202" i="69"/>
  <c r="X202" i="69"/>
  <c r="O203" i="69"/>
  <c r="R203" i="69"/>
  <c r="U203" i="69"/>
  <c r="P203" i="69"/>
  <c r="S203" i="69"/>
  <c r="T203" i="69"/>
  <c r="V203" i="69"/>
  <c r="W203" i="69"/>
  <c r="X203" i="69"/>
  <c r="O204" i="69"/>
  <c r="P204" i="69"/>
  <c r="S204" i="69"/>
  <c r="T204" i="69"/>
  <c r="U204" i="69"/>
  <c r="W204" i="69"/>
  <c r="X204" i="69"/>
  <c r="O205" i="69"/>
  <c r="R205" i="69"/>
  <c r="P205" i="69"/>
  <c r="S205" i="69"/>
  <c r="T205" i="69"/>
  <c r="U205" i="69"/>
  <c r="W205" i="69"/>
  <c r="X205" i="69"/>
  <c r="O206" i="69"/>
  <c r="P206" i="69"/>
  <c r="S206" i="69"/>
  <c r="T206" i="69"/>
  <c r="V206" i="69"/>
  <c r="W206" i="69"/>
  <c r="X206" i="69"/>
  <c r="O207" i="69"/>
  <c r="P207" i="69"/>
  <c r="R207" i="69"/>
  <c r="S207" i="69"/>
  <c r="T207" i="69"/>
  <c r="V207" i="69"/>
  <c r="W207" i="69"/>
  <c r="X207" i="69"/>
  <c r="O208" i="69"/>
  <c r="P208" i="69"/>
  <c r="R208" i="69"/>
  <c r="S208" i="69"/>
  <c r="T208" i="69"/>
  <c r="U208" i="69"/>
  <c r="V208" i="69"/>
  <c r="W208" i="69"/>
  <c r="X208" i="69"/>
  <c r="O209" i="69"/>
  <c r="R209" i="69"/>
  <c r="P209" i="69"/>
  <c r="S209" i="69"/>
  <c r="U209" i="69"/>
  <c r="V209" i="69"/>
  <c r="W209" i="69"/>
  <c r="X209" i="69"/>
  <c r="O210" i="69"/>
  <c r="P210" i="69"/>
  <c r="S210" i="69"/>
  <c r="T210" i="69"/>
  <c r="U210" i="69"/>
  <c r="V210" i="69"/>
  <c r="W210" i="69"/>
  <c r="X210" i="69"/>
  <c r="O211" i="69"/>
  <c r="P211" i="69"/>
  <c r="S211" i="69"/>
  <c r="T211" i="69"/>
  <c r="V211" i="69"/>
  <c r="W211" i="69"/>
  <c r="X211" i="69"/>
  <c r="O212" i="69"/>
  <c r="R212" i="69"/>
  <c r="S212" i="69"/>
  <c r="P212" i="69"/>
  <c r="T212" i="69"/>
  <c r="U212" i="69"/>
  <c r="V212" i="69"/>
  <c r="W212" i="69"/>
  <c r="X212" i="69"/>
  <c r="O213" i="69"/>
  <c r="R213" i="69"/>
  <c r="U213" i="69"/>
  <c r="P213" i="69"/>
  <c r="S213" i="69"/>
  <c r="T213" i="69"/>
  <c r="V213" i="69"/>
  <c r="W213" i="69"/>
  <c r="X213" i="69"/>
  <c r="O214" i="69"/>
  <c r="P214" i="69"/>
  <c r="T214" i="69"/>
  <c r="U214" i="69"/>
  <c r="V214" i="69"/>
  <c r="W214" i="69"/>
  <c r="X214" i="69"/>
  <c r="O215" i="69"/>
  <c r="P215" i="69"/>
  <c r="S215" i="69"/>
  <c r="T215" i="69"/>
  <c r="U215" i="69"/>
  <c r="V215" i="69"/>
  <c r="W215" i="69"/>
  <c r="X215" i="69"/>
  <c r="O216" i="69"/>
  <c r="P216" i="69"/>
  <c r="S216" i="69"/>
  <c r="T216" i="69"/>
  <c r="V216" i="69"/>
  <c r="W216" i="69"/>
  <c r="X216" i="69"/>
  <c r="O217" i="69"/>
  <c r="P217" i="69"/>
  <c r="R217" i="69"/>
  <c r="T217" i="69"/>
  <c r="U217" i="69"/>
  <c r="V217" i="69"/>
  <c r="W217" i="69"/>
  <c r="X217" i="69"/>
  <c r="O218" i="69"/>
  <c r="P218" i="69"/>
  <c r="R218" i="69"/>
  <c r="U218" i="69"/>
  <c r="S218" i="69"/>
  <c r="T218" i="69"/>
  <c r="V218" i="69"/>
  <c r="W218" i="69"/>
  <c r="X218" i="69"/>
  <c r="O219" i="69"/>
  <c r="P219" i="69"/>
  <c r="S219" i="69"/>
  <c r="T219" i="69"/>
  <c r="V219" i="69"/>
  <c r="W219" i="69"/>
  <c r="X219" i="69"/>
  <c r="O220" i="69"/>
  <c r="P220" i="69"/>
  <c r="S220" i="69"/>
  <c r="T220" i="69"/>
  <c r="V220" i="69"/>
  <c r="W220" i="69"/>
  <c r="X220" i="69"/>
  <c r="O222" i="69"/>
  <c r="R222" i="69"/>
  <c r="U222" i="69"/>
  <c r="P222" i="69"/>
  <c r="S222" i="69"/>
  <c r="T222" i="69"/>
  <c r="V222" i="69"/>
  <c r="W222" i="69"/>
  <c r="X222" i="69"/>
  <c r="O223" i="69"/>
  <c r="P223" i="69"/>
  <c r="R223" i="69"/>
  <c r="U223" i="69"/>
  <c r="S223" i="69"/>
  <c r="T223" i="69"/>
  <c r="V223" i="69"/>
  <c r="W223" i="69"/>
  <c r="X223" i="69"/>
  <c r="O224" i="69"/>
  <c r="P224" i="69"/>
  <c r="S224" i="69"/>
  <c r="T224" i="69"/>
  <c r="V224" i="69"/>
  <c r="W224" i="69"/>
  <c r="X224" i="69"/>
  <c r="O225" i="69"/>
  <c r="P225" i="69"/>
  <c r="S225" i="69"/>
  <c r="T225" i="69"/>
  <c r="V225" i="69"/>
  <c r="W225" i="69"/>
  <c r="X225" i="69"/>
  <c r="O226" i="69"/>
  <c r="R226" i="69"/>
  <c r="U226" i="69"/>
  <c r="P226" i="69"/>
  <c r="S226" i="69"/>
  <c r="T226" i="69"/>
  <c r="V226" i="69"/>
  <c r="W226" i="69"/>
  <c r="X226" i="69"/>
  <c r="O227" i="69"/>
  <c r="P227" i="69"/>
  <c r="S227" i="69"/>
  <c r="T227" i="69"/>
  <c r="V227" i="69"/>
  <c r="W227" i="69"/>
  <c r="X227" i="69"/>
  <c r="O228" i="69"/>
  <c r="P228" i="69"/>
  <c r="R228" i="69"/>
  <c r="U228" i="69"/>
  <c r="S228" i="69"/>
  <c r="T228" i="69"/>
  <c r="V228" i="69"/>
  <c r="W228" i="69"/>
  <c r="X228" i="69"/>
  <c r="O229" i="69"/>
  <c r="P229" i="69"/>
  <c r="S229" i="69"/>
  <c r="T229" i="69"/>
  <c r="V229" i="69"/>
  <c r="W229" i="69"/>
  <c r="X229" i="69"/>
  <c r="O230" i="69"/>
  <c r="R230" i="69"/>
  <c r="U230" i="69"/>
  <c r="P230" i="69"/>
  <c r="S230" i="69"/>
  <c r="T230" i="69"/>
  <c r="V230" i="69"/>
  <c r="W230" i="69"/>
  <c r="X230" i="69"/>
  <c r="O231" i="69"/>
  <c r="P231" i="69"/>
  <c r="R231" i="69"/>
  <c r="U231" i="69"/>
  <c r="S231" i="69"/>
  <c r="T231" i="69"/>
  <c r="V231" i="69"/>
  <c r="W231" i="69"/>
  <c r="X231" i="69"/>
  <c r="O232" i="69"/>
  <c r="P232" i="69"/>
  <c r="S232" i="69"/>
  <c r="T232" i="69"/>
  <c r="V232" i="69"/>
  <c r="W232" i="69"/>
  <c r="X232" i="69"/>
  <c r="O233" i="69"/>
  <c r="P233" i="69"/>
  <c r="S233" i="69"/>
  <c r="T233" i="69"/>
  <c r="V233" i="69"/>
  <c r="W233" i="69"/>
  <c r="X233" i="69"/>
  <c r="O234" i="69"/>
  <c r="R234" i="69"/>
  <c r="U234" i="69"/>
  <c r="P234" i="69"/>
  <c r="S234" i="69"/>
  <c r="T234" i="69"/>
  <c r="V234" i="69"/>
  <c r="W234" i="69"/>
  <c r="X234" i="69"/>
  <c r="O235" i="69"/>
  <c r="P235" i="69"/>
  <c r="R235" i="69"/>
  <c r="U235" i="69"/>
  <c r="S235" i="69"/>
  <c r="T235" i="69"/>
  <c r="V235" i="69"/>
  <c r="W235" i="69"/>
  <c r="X235" i="69"/>
  <c r="O236" i="69"/>
  <c r="R236" i="69"/>
  <c r="U236" i="69"/>
  <c r="P236" i="69"/>
  <c r="S236" i="69"/>
  <c r="T236" i="69"/>
  <c r="V236" i="69"/>
  <c r="W236" i="69"/>
  <c r="X236" i="69"/>
  <c r="O237" i="69"/>
  <c r="P237" i="69"/>
  <c r="S237" i="69"/>
  <c r="T237" i="69"/>
  <c r="V237" i="69"/>
  <c r="W237" i="69"/>
  <c r="X237" i="69"/>
  <c r="O238" i="69"/>
  <c r="R238" i="69"/>
  <c r="U238" i="69"/>
  <c r="P238" i="69"/>
  <c r="S238" i="69"/>
  <c r="T238" i="69"/>
  <c r="V238" i="69"/>
  <c r="W238" i="69"/>
  <c r="X238" i="69"/>
  <c r="O239" i="69"/>
  <c r="P239" i="69"/>
  <c r="T239" i="69"/>
  <c r="U239" i="69"/>
  <c r="V239" i="69"/>
  <c r="W239" i="69"/>
  <c r="X239" i="69"/>
  <c r="O240" i="69"/>
  <c r="P240" i="69"/>
  <c r="S240" i="69"/>
  <c r="T240" i="69"/>
  <c r="U240" i="69"/>
  <c r="V240" i="69"/>
  <c r="W240" i="69"/>
  <c r="X240" i="69"/>
  <c r="O241" i="69"/>
  <c r="P241" i="69"/>
  <c r="S241" i="69"/>
  <c r="T241" i="69"/>
  <c r="V241" i="69"/>
  <c r="W241" i="69"/>
  <c r="X241" i="69"/>
  <c r="O242" i="69"/>
  <c r="P242" i="69"/>
  <c r="S242" i="69"/>
  <c r="T242" i="69"/>
  <c r="V242" i="69"/>
  <c r="W242" i="69"/>
  <c r="X242" i="69"/>
  <c r="O243" i="69"/>
  <c r="R243" i="69"/>
  <c r="U243" i="69"/>
  <c r="P243" i="69"/>
  <c r="S243" i="69"/>
  <c r="T243" i="69"/>
  <c r="V243" i="69"/>
  <c r="W243" i="69"/>
  <c r="X243" i="69"/>
  <c r="O244" i="69"/>
  <c r="P244" i="69"/>
  <c r="R244" i="69"/>
  <c r="U244" i="69"/>
  <c r="S244" i="69"/>
  <c r="T244" i="69"/>
  <c r="V244" i="69"/>
  <c r="W244" i="69"/>
  <c r="X244" i="69"/>
  <c r="O245" i="69"/>
  <c r="P245" i="69"/>
  <c r="S245" i="69"/>
  <c r="T245" i="69"/>
  <c r="V245" i="69"/>
  <c r="W245" i="69"/>
  <c r="X245" i="69"/>
  <c r="O246" i="69"/>
  <c r="P246" i="69"/>
  <c r="S246" i="69"/>
  <c r="T246" i="69"/>
  <c r="V246" i="69"/>
  <c r="W246" i="69"/>
  <c r="X246" i="69"/>
  <c r="O247" i="69"/>
  <c r="R247" i="69"/>
  <c r="U247" i="69"/>
  <c r="P247" i="69"/>
  <c r="S247" i="69"/>
  <c r="T247" i="69"/>
  <c r="V247" i="69"/>
  <c r="W247" i="69"/>
  <c r="X247" i="69"/>
  <c r="O248" i="69"/>
  <c r="P248" i="69"/>
  <c r="R248" i="69"/>
  <c r="U248" i="69"/>
  <c r="S248" i="69"/>
  <c r="T248" i="69"/>
  <c r="V248" i="69"/>
  <c r="W248" i="69"/>
  <c r="X248" i="69"/>
  <c r="O249" i="69"/>
  <c r="P249" i="69"/>
  <c r="S249" i="69"/>
  <c r="T249" i="69"/>
  <c r="V249" i="69"/>
  <c r="W249" i="69"/>
  <c r="X249" i="69"/>
  <c r="O250" i="69"/>
  <c r="P250" i="69"/>
  <c r="S250" i="69"/>
  <c r="T250" i="69"/>
  <c r="V250" i="69"/>
  <c r="W250" i="69"/>
  <c r="X250" i="69"/>
  <c r="O251" i="69"/>
  <c r="R251" i="69"/>
  <c r="U251" i="69"/>
  <c r="P251" i="69"/>
  <c r="S251" i="69"/>
  <c r="T251" i="69"/>
  <c r="V251" i="69"/>
  <c r="W251" i="69"/>
  <c r="X251" i="69"/>
  <c r="O252" i="69"/>
  <c r="P252" i="69"/>
  <c r="R252" i="69"/>
  <c r="U252" i="69"/>
  <c r="S252" i="69"/>
  <c r="T252" i="69"/>
  <c r="V252" i="69"/>
  <c r="W252" i="69"/>
  <c r="X252" i="69"/>
  <c r="O253" i="69"/>
  <c r="P253" i="69"/>
  <c r="S253" i="69"/>
  <c r="T253" i="69"/>
  <c r="V253" i="69"/>
  <c r="W253" i="69"/>
  <c r="X253" i="69"/>
  <c r="O254" i="69"/>
  <c r="P254" i="69"/>
  <c r="S254" i="69"/>
  <c r="T254" i="69"/>
  <c r="V254" i="69"/>
  <c r="W254" i="69"/>
  <c r="X254" i="69"/>
  <c r="O255" i="69"/>
  <c r="P255" i="69"/>
  <c r="S255" i="69"/>
  <c r="T255" i="69"/>
  <c r="V255" i="69"/>
  <c r="W255" i="69"/>
  <c r="X255" i="69"/>
  <c r="O256" i="69"/>
  <c r="P256" i="69"/>
  <c r="R256" i="69"/>
  <c r="U256" i="69"/>
  <c r="S256" i="69"/>
  <c r="T256" i="69"/>
  <c r="V256" i="69"/>
  <c r="W256" i="69"/>
  <c r="X256" i="69"/>
  <c r="O257" i="69"/>
  <c r="P257" i="69"/>
  <c r="R257" i="69"/>
  <c r="S257" i="69"/>
  <c r="T257" i="69"/>
  <c r="V257" i="69"/>
  <c r="W257" i="69"/>
  <c r="X257" i="69"/>
  <c r="O258" i="69"/>
  <c r="P258" i="69"/>
  <c r="S258" i="69"/>
  <c r="T258" i="69"/>
  <c r="V258" i="69"/>
  <c r="W258" i="69"/>
  <c r="X258" i="69"/>
  <c r="O259" i="69"/>
  <c r="P259" i="69"/>
  <c r="R259" i="69"/>
  <c r="U259" i="69"/>
  <c r="S259" i="69"/>
  <c r="T259" i="69"/>
  <c r="V259" i="69"/>
  <c r="W259" i="69"/>
  <c r="X259" i="69"/>
  <c r="O260" i="69"/>
  <c r="P260" i="69"/>
  <c r="R260" i="69"/>
  <c r="S260" i="69"/>
  <c r="T260" i="69"/>
  <c r="U260" i="69"/>
  <c r="V260" i="69"/>
  <c r="W260" i="69"/>
  <c r="X260" i="69"/>
  <c r="O261" i="69"/>
  <c r="R261" i="69"/>
  <c r="P261" i="69"/>
  <c r="S261" i="69"/>
  <c r="T261" i="69"/>
  <c r="U261" i="69"/>
  <c r="V261" i="69"/>
  <c r="W261" i="69"/>
  <c r="X261" i="69"/>
  <c r="O262" i="69"/>
  <c r="P262" i="69"/>
  <c r="S262" i="69"/>
  <c r="T262" i="69"/>
  <c r="V262" i="69"/>
  <c r="W262" i="69"/>
  <c r="X262" i="69"/>
  <c r="O263" i="69"/>
  <c r="P263" i="69"/>
  <c r="S263" i="69"/>
  <c r="T263" i="69"/>
  <c r="V263" i="69"/>
  <c r="W263" i="69"/>
  <c r="X263" i="69"/>
  <c r="O264" i="69"/>
  <c r="R264" i="69"/>
  <c r="U264" i="69"/>
  <c r="P264" i="69"/>
  <c r="S264" i="69"/>
  <c r="T264" i="69"/>
  <c r="V264" i="69"/>
  <c r="W264" i="69"/>
  <c r="X264" i="69"/>
  <c r="O265" i="69"/>
  <c r="P265" i="69"/>
  <c r="S265" i="69"/>
  <c r="T265" i="69"/>
  <c r="U265" i="69"/>
  <c r="W265" i="69"/>
  <c r="X265" i="69"/>
  <c r="O266" i="69"/>
  <c r="P266" i="69"/>
  <c r="S266" i="69"/>
  <c r="T266" i="69"/>
  <c r="U266" i="69"/>
  <c r="W266" i="69"/>
  <c r="X266" i="69"/>
  <c r="O267" i="69"/>
  <c r="P267" i="69"/>
  <c r="S267" i="69"/>
  <c r="U267" i="69"/>
  <c r="V267" i="69"/>
  <c r="W267" i="69"/>
  <c r="X267" i="69"/>
  <c r="O268" i="69"/>
  <c r="R268" i="69"/>
  <c r="P268" i="69"/>
  <c r="S268" i="69"/>
  <c r="T268" i="69"/>
  <c r="U268" i="69"/>
  <c r="V268" i="69"/>
  <c r="W268" i="69"/>
  <c r="X268" i="69"/>
  <c r="O269" i="69"/>
  <c r="R269" i="69"/>
  <c r="V269" i="69"/>
  <c r="P269" i="69"/>
  <c r="S269" i="69"/>
  <c r="T269" i="69"/>
  <c r="U269" i="69"/>
  <c r="W269" i="69"/>
  <c r="X269" i="69"/>
  <c r="O270" i="69"/>
  <c r="P270" i="69"/>
  <c r="R270" i="69"/>
  <c r="U270" i="69"/>
  <c r="S270" i="69"/>
  <c r="T270" i="69"/>
  <c r="V270" i="69"/>
  <c r="W270" i="69"/>
  <c r="X270" i="69"/>
  <c r="O271" i="69"/>
  <c r="P271" i="69"/>
  <c r="S271" i="69"/>
  <c r="T271" i="69"/>
  <c r="V271" i="69"/>
  <c r="W271" i="69"/>
  <c r="X271" i="69"/>
  <c r="O272" i="69"/>
  <c r="P272" i="69"/>
  <c r="S272" i="69"/>
  <c r="T272" i="69"/>
  <c r="U272" i="69"/>
  <c r="W272" i="69"/>
  <c r="X272" i="69"/>
  <c r="O273" i="69"/>
  <c r="R273" i="69"/>
  <c r="V273" i="69"/>
  <c r="P273" i="69"/>
  <c r="S273" i="69"/>
  <c r="T273" i="69"/>
  <c r="U273" i="69"/>
  <c r="W273" i="69"/>
  <c r="X273" i="69"/>
  <c r="O274" i="69"/>
  <c r="P274" i="69"/>
  <c r="R274" i="69"/>
  <c r="T274" i="69"/>
  <c r="S274" i="69"/>
  <c r="U274" i="69"/>
  <c r="V274" i="69"/>
  <c r="W274" i="69"/>
  <c r="X274" i="69"/>
  <c r="O275" i="69"/>
  <c r="P275" i="69"/>
  <c r="S275" i="69"/>
  <c r="T275" i="69"/>
  <c r="U275" i="69"/>
  <c r="V275" i="69"/>
  <c r="W275" i="69"/>
  <c r="X275" i="69"/>
  <c r="O276" i="69"/>
  <c r="P276" i="69"/>
  <c r="S276" i="69"/>
  <c r="T276" i="69"/>
  <c r="V276" i="69"/>
  <c r="W276" i="69"/>
  <c r="X276" i="69"/>
  <c r="O277" i="69"/>
  <c r="P277" i="69"/>
  <c r="S277" i="69"/>
  <c r="T277" i="69"/>
  <c r="V277" i="69"/>
  <c r="W277" i="69"/>
  <c r="X277" i="69"/>
  <c r="O278" i="69"/>
  <c r="P278" i="69"/>
  <c r="S278" i="69"/>
  <c r="T278" i="69"/>
  <c r="V278" i="69"/>
  <c r="W278" i="69"/>
  <c r="X278" i="69"/>
  <c r="O279" i="69"/>
  <c r="R279" i="69"/>
  <c r="U279" i="69"/>
  <c r="P279" i="69"/>
  <c r="S279" i="69"/>
  <c r="T279" i="69"/>
  <c r="V279" i="69"/>
  <c r="W279" i="69"/>
  <c r="X279" i="69"/>
  <c r="O280" i="69"/>
  <c r="P280" i="69"/>
  <c r="S280" i="69"/>
  <c r="T280" i="69"/>
  <c r="V280" i="69"/>
  <c r="W280" i="69"/>
  <c r="X280" i="69"/>
  <c r="O281" i="69"/>
  <c r="P281" i="69"/>
  <c r="S281" i="69"/>
  <c r="T281" i="69"/>
  <c r="V281" i="69"/>
  <c r="W281" i="69"/>
  <c r="X281" i="69"/>
  <c r="O282" i="69"/>
  <c r="R282" i="69"/>
  <c r="S282" i="69"/>
  <c r="P282" i="69"/>
  <c r="T282" i="69"/>
  <c r="U282" i="69"/>
  <c r="V282" i="69"/>
  <c r="W282" i="69"/>
  <c r="X282" i="69"/>
  <c r="O283" i="69"/>
  <c r="R283" i="69"/>
  <c r="P283" i="69"/>
  <c r="S283" i="69"/>
  <c r="T283" i="69"/>
  <c r="U283" i="69"/>
  <c r="V283" i="69"/>
  <c r="W283" i="69"/>
  <c r="X283" i="69"/>
  <c r="O284" i="69"/>
  <c r="R284" i="69"/>
  <c r="U284" i="69"/>
  <c r="P284" i="69"/>
  <c r="S284" i="69"/>
  <c r="T284" i="69"/>
  <c r="V284" i="69"/>
  <c r="W284" i="69"/>
  <c r="X284" i="69"/>
  <c r="O285" i="69"/>
  <c r="P285" i="69"/>
  <c r="S285" i="69"/>
  <c r="T285" i="69"/>
  <c r="V285" i="69"/>
  <c r="W285" i="69"/>
  <c r="X285" i="69"/>
  <c r="O286" i="69"/>
  <c r="P286" i="69"/>
  <c r="S286" i="69"/>
  <c r="T286" i="69"/>
  <c r="V286" i="69"/>
  <c r="W286" i="69"/>
  <c r="X286" i="69"/>
  <c r="O287" i="69"/>
  <c r="R287" i="69"/>
  <c r="U287" i="69"/>
  <c r="P287" i="69"/>
  <c r="S287" i="69"/>
  <c r="T287" i="69"/>
  <c r="V287" i="69"/>
  <c r="W287" i="69"/>
  <c r="X287" i="69"/>
  <c r="O288" i="69"/>
  <c r="R288" i="69"/>
  <c r="U288" i="69"/>
  <c r="P288" i="69"/>
  <c r="S288" i="69"/>
  <c r="T288" i="69"/>
  <c r="V288" i="69"/>
  <c r="W288" i="69"/>
  <c r="X288" i="69"/>
  <c r="O289" i="69"/>
  <c r="P289" i="69"/>
  <c r="R289" i="69"/>
  <c r="U289" i="69"/>
  <c r="S289" i="69"/>
  <c r="T289" i="69"/>
  <c r="V289" i="69"/>
  <c r="W289" i="69"/>
  <c r="X289" i="69"/>
  <c r="O290" i="69"/>
  <c r="P290" i="69"/>
  <c r="S290" i="69"/>
  <c r="T290" i="69"/>
  <c r="V290" i="69"/>
  <c r="W290" i="69"/>
  <c r="X290" i="69"/>
  <c r="O291" i="69"/>
  <c r="P291" i="69"/>
  <c r="R291" i="69"/>
  <c r="U291" i="69"/>
  <c r="S291" i="69"/>
  <c r="T291" i="69"/>
  <c r="V291" i="69"/>
  <c r="W291" i="69"/>
  <c r="X291" i="69"/>
  <c r="O292" i="69"/>
  <c r="P292" i="69"/>
  <c r="R292" i="69"/>
  <c r="U292" i="69"/>
  <c r="S292" i="69"/>
  <c r="T292" i="69"/>
  <c r="V292" i="69"/>
  <c r="W292" i="69"/>
  <c r="X292" i="69"/>
  <c r="O293" i="69"/>
  <c r="R293" i="69"/>
  <c r="U293" i="69"/>
  <c r="P293" i="69"/>
  <c r="S293" i="69"/>
  <c r="T293" i="69"/>
  <c r="V293" i="69"/>
  <c r="W293" i="69"/>
  <c r="X293" i="69"/>
  <c r="O294" i="69"/>
  <c r="P294" i="69"/>
  <c r="T294" i="69"/>
  <c r="U294" i="69"/>
  <c r="V294" i="69"/>
  <c r="W294" i="69"/>
  <c r="X294" i="69"/>
  <c r="O295" i="69"/>
  <c r="R295" i="69"/>
  <c r="P295" i="69"/>
  <c r="S295" i="69"/>
  <c r="T295" i="69"/>
  <c r="U295" i="69"/>
  <c r="V295" i="69"/>
  <c r="W295" i="69"/>
  <c r="X295" i="69"/>
  <c r="O296" i="69"/>
  <c r="R296" i="69"/>
  <c r="U296" i="69"/>
  <c r="P296" i="69"/>
  <c r="S296" i="69"/>
  <c r="T296" i="69"/>
  <c r="V296" i="69"/>
  <c r="W296" i="69"/>
  <c r="X296" i="69"/>
  <c r="O297" i="69"/>
  <c r="P297" i="69"/>
  <c r="R297" i="69"/>
  <c r="U297" i="69"/>
  <c r="S297" i="69"/>
  <c r="T297" i="69"/>
  <c r="V297" i="69"/>
  <c r="W297" i="69"/>
  <c r="X297" i="69"/>
  <c r="O298" i="69"/>
  <c r="P298" i="69"/>
  <c r="R298" i="69"/>
  <c r="T298" i="69"/>
  <c r="U298" i="69"/>
  <c r="V298" i="69"/>
  <c r="W298" i="69"/>
  <c r="X298" i="69"/>
  <c r="O299" i="69"/>
  <c r="P299" i="69"/>
  <c r="S299" i="69"/>
  <c r="T299" i="69"/>
  <c r="U299" i="69"/>
  <c r="V299" i="69"/>
  <c r="W299" i="69"/>
  <c r="X299" i="69"/>
  <c r="O300" i="69"/>
  <c r="P300" i="69"/>
  <c r="S300" i="69"/>
  <c r="T300" i="69"/>
  <c r="V300" i="69"/>
  <c r="W300" i="69"/>
  <c r="X300" i="69"/>
  <c r="O301" i="69"/>
  <c r="P301" i="69"/>
  <c r="R301" i="69"/>
  <c r="U301" i="69"/>
  <c r="S301" i="69"/>
  <c r="T301" i="69"/>
  <c r="V301" i="69"/>
  <c r="W301" i="69"/>
  <c r="X301" i="69"/>
  <c r="O302" i="69"/>
  <c r="P302" i="69"/>
  <c r="R302" i="69"/>
  <c r="U302" i="69"/>
  <c r="S302" i="69"/>
  <c r="T302" i="69"/>
  <c r="V302" i="69"/>
  <c r="W302" i="69"/>
  <c r="X302" i="69"/>
  <c r="O303" i="69"/>
  <c r="P303" i="69"/>
  <c r="S303" i="69"/>
  <c r="T303" i="69"/>
  <c r="V303" i="69"/>
  <c r="W303" i="69"/>
  <c r="X303" i="69"/>
  <c r="O304" i="69"/>
  <c r="P304" i="69"/>
  <c r="S304" i="69"/>
  <c r="T304" i="69"/>
  <c r="V304" i="69"/>
  <c r="W304" i="69"/>
  <c r="X304" i="69"/>
  <c r="O305" i="69"/>
  <c r="P305" i="69"/>
  <c r="R305" i="69"/>
  <c r="U305" i="69"/>
  <c r="S305" i="69"/>
  <c r="T305" i="69"/>
  <c r="V305" i="69"/>
  <c r="W305" i="69"/>
  <c r="X305" i="69"/>
  <c r="O306" i="69"/>
  <c r="P306" i="69"/>
  <c r="R306" i="69"/>
  <c r="U306" i="69"/>
  <c r="S306" i="69"/>
  <c r="T306" i="69"/>
  <c r="V306" i="69"/>
  <c r="W306" i="69"/>
  <c r="X306" i="69"/>
  <c r="O307" i="69"/>
  <c r="P307" i="69"/>
  <c r="S307" i="69"/>
  <c r="T307" i="69"/>
  <c r="V307" i="69"/>
  <c r="W307" i="69"/>
  <c r="X307" i="69"/>
  <c r="O308" i="69"/>
  <c r="P308" i="69"/>
  <c r="S308" i="69"/>
  <c r="T308" i="69"/>
  <c r="V308" i="69"/>
  <c r="W308" i="69"/>
  <c r="X308" i="69"/>
  <c r="O309" i="69"/>
  <c r="P309" i="69"/>
  <c r="R309" i="69"/>
  <c r="U309" i="69"/>
  <c r="S309" i="69"/>
  <c r="T309" i="69"/>
  <c r="V309" i="69"/>
  <c r="W309" i="69"/>
  <c r="X309" i="69"/>
  <c r="O310" i="69"/>
  <c r="P310" i="69"/>
  <c r="R310" i="69"/>
  <c r="S310" i="69"/>
  <c r="T310" i="69"/>
  <c r="U310" i="69"/>
  <c r="V310" i="69"/>
  <c r="W310" i="69"/>
  <c r="X310" i="69"/>
  <c r="O311" i="69"/>
  <c r="P311" i="69"/>
  <c r="S311" i="69"/>
  <c r="T311" i="69"/>
  <c r="U311" i="69"/>
  <c r="V311" i="69"/>
  <c r="W311" i="69"/>
  <c r="X311" i="69"/>
  <c r="O312" i="69"/>
  <c r="P312" i="69"/>
  <c r="S312" i="69"/>
  <c r="T312" i="69"/>
  <c r="V312" i="69"/>
  <c r="W312" i="69"/>
  <c r="X312" i="69"/>
  <c r="O313" i="69"/>
  <c r="P313" i="69"/>
  <c r="S313" i="69"/>
  <c r="T313" i="69"/>
  <c r="V313" i="69"/>
  <c r="W313" i="69"/>
  <c r="X313" i="69"/>
  <c r="O314" i="69"/>
  <c r="P314" i="69"/>
  <c r="R314" i="69"/>
  <c r="S314" i="69"/>
  <c r="T314" i="69"/>
  <c r="U314" i="69"/>
  <c r="V314" i="69"/>
  <c r="W314" i="69"/>
  <c r="X314" i="69"/>
  <c r="O315" i="69"/>
  <c r="P315" i="69"/>
  <c r="R315" i="69"/>
  <c r="S315" i="69"/>
  <c r="T315" i="69"/>
  <c r="U315" i="69"/>
  <c r="V315" i="69"/>
  <c r="W315" i="69"/>
  <c r="X315" i="69"/>
  <c r="O316" i="69"/>
  <c r="R316" i="69"/>
  <c r="P316" i="69"/>
  <c r="S316" i="69"/>
  <c r="T316" i="69"/>
  <c r="U316" i="69"/>
  <c r="V316" i="69"/>
  <c r="W316" i="69"/>
  <c r="X316" i="69"/>
  <c r="O317" i="69"/>
  <c r="P317" i="69"/>
  <c r="S317" i="69"/>
  <c r="T317" i="69"/>
  <c r="U317" i="69"/>
  <c r="V317" i="69"/>
  <c r="W317" i="69"/>
  <c r="X317" i="69"/>
  <c r="O318" i="69"/>
  <c r="R318" i="69"/>
  <c r="V318" i="69"/>
  <c r="P318" i="69"/>
  <c r="S318" i="69"/>
  <c r="T318" i="69"/>
  <c r="U318" i="69"/>
  <c r="W318" i="69"/>
  <c r="X318" i="69"/>
  <c r="O319" i="69"/>
  <c r="P319" i="69"/>
  <c r="S319" i="69"/>
  <c r="T319" i="69"/>
  <c r="U319" i="69"/>
  <c r="W319" i="69"/>
  <c r="X319" i="69"/>
  <c r="O320" i="69"/>
  <c r="P320" i="69"/>
  <c r="S320" i="69"/>
  <c r="T320" i="69"/>
  <c r="U320" i="69"/>
  <c r="W320" i="69"/>
  <c r="X320" i="69"/>
  <c r="O321" i="69"/>
  <c r="R321" i="69"/>
  <c r="V321" i="69"/>
  <c r="P321" i="69"/>
  <c r="S321" i="69"/>
  <c r="T321" i="69"/>
  <c r="U321" i="69"/>
  <c r="W321" i="69"/>
  <c r="X321" i="69"/>
  <c r="O322" i="69"/>
  <c r="R322" i="69"/>
  <c r="V322" i="69"/>
  <c r="P322" i="69"/>
  <c r="S322" i="69"/>
  <c r="T322" i="69"/>
  <c r="U322" i="69"/>
  <c r="W322" i="69"/>
  <c r="X322" i="69"/>
  <c r="O323" i="69"/>
  <c r="P323" i="69"/>
  <c r="S323" i="69"/>
  <c r="U323" i="69"/>
  <c r="V323" i="69"/>
  <c r="W323" i="69"/>
  <c r="X323" i="69"/>
  <c r="O324" i="69"/>
  <c r="P324" i="69"/>
  <c r="T324" i="69"/>
  <c r="U324" i="69"/>
  <c r="V324" i="69"/>
  <c r="W324" i="69"/>
  <c r="X324" i="69"/>
  <c r="O325" i="69"/>
  <c r="R325" i="69"/>
  <c r="U325" i="69"/>
  <c r="P325" i="69"/>
  <c r="S325" i="69"/>
  <c r="T325" i="69"/>
  <c r="V325" i="69"/>
  <c r="W325" i="69"/>
  <c r="X325" i="69"/>
  <c r="O326" i="69"/>
  <c r="R326" i="69"/>
  <c r="S326" i="69"/>
  <c r="P326" i="69"/>
  <c r="T326" i="69"/>
  <c r="U326" i="69"/>
  <c r="V326" i="69"/>
  <c r="W326" i="69"/>
  <c r="X326" i="69"/>
  <c r="O327" i="69"/>
  <c r="P327" i="69"/>
  <c r="R327" i="69"/>
  <c r="S327" i="69"/>
  <c r="T327" i="69"/>
  <c r="U327" i="69"/>
  <c r="V327" i="69"/>
  <c r="W327" i="69"/>
  <c r="X327" i="69"/>
  <c r="O328" i="69"/>
  <c r="P328" i="69"/>
  <c r="S328" i="69"/>
  <c r="T328" i="69"/>
  <c r="V328" i="69"/>
  <c r="W328" i="69"/>
  <c r="X328" i="69"/>
  <c r="O329" i="69"/>
  <c r="P329" i="69"/>
  <c r="S329" i="69"/>
  <c r="T329" i="69"/>
  <c r="V329" i="69"/>
  <c r="W329" i="69"/>
  <c r="X329" i="69"/>
  <c r="O330" i="69"/>
  <c r="R330" i="69"/>
  <c r="U330" i="69"/>
  <c r="P330" i="69"/>
  <c r="S330" i="69"/>
  <c r="T330" i="69"/>
  <c r="V330" i="69"/>
  <c r="W330" i="69"/>
  <c r="X330" i="69"/>
  <c r="O331" i="69"/>
  <c r="P331" i="69"/>
  <c r="T331" i="69"/>
  <c r="U331" i="69"/>
  <c r="V331" i="69"/>
  <c r="W331" i="69"/>
  <c r="X331" i="69"/>
  <c r="O332" i="69"/>
  <c r="R332" i="69"/>
  <c r="P332" i="69"/>
  <c r="S332" i="69"/>
  <c r="T332" i="69"/>
  <c r="U332" i="69"/>
  <c r="V332" i="69"/>
  <c r="W332" i="69"/>
  <c r="X332" i="69"/>
  <c r="O333" i="69"/>
  <c r="P333" i="69"/>
  <c r="R333" i="69"/>
  <c r="U333" i="69"/>
  <c r="S333" i="69"/>
  <c r="T333" i="69"/>
  <c r="V333" i="69"/>
  <c r="W333" i="69"/>
  <c r="X333" i="69"/>
  <c r="O334" i="69"/>
  <c r="P334" i="69"/>
  <c r="S334" i="69"/>
  <c r="T334" i="69"/>
  <c r="V334" i="69"/>
  <c r="W334" i="69"/>
  <c r="X334" i="69"/>
  <c r="O335" i="69"/>
  <c r="P335" i="69"/>
  <c r="R335" i="69"/>
  <c r="U335" i="69"/>
  <c r="S335" i="69"/>
  <c r="T335" i="69"/>
  <c r="V335" i="69"/>
  <c r="W335" i="69"/>
  <c r="X335" i="69"/>
  <c r="O336" i="69"/>
  <c r="P336" i="69"/>
  <c r="R336" i="69"/>
  <c r="U336" i="69"/>
  <c r="S336" i="69"/>
  <c r="T336" i="69"/>
  <c r="V336" i="69"/>
  <c r="W336" i="69"/>
  <c r="X336" i="69"/>
  <c r="O337" i="69"/>
  <c r="P337" i="69"/>
  <c r="T337" i="69"/>
  <c r="U337" i="69"/>
  <c r="V337" i="69"/>
  <c r="W337" i="69"/>
  <c r="X337" i="69"/>
  <c r="O338" i="69"/>
  <c r="P338" i="69"/>
  <c r="S338" i="69"/>
  <c r="T338" i="69"/>
  <c r="U338" i="69"/>
  <c r="V338" i="69"/>
  <c r="W338" i="69"/>
  <c r="X338" i="69"/>
  <c r="O339" i="69"/>
  <c r="P339" i="69"/>
  <c r="S339" i="69"/>
  <c r="T339" i="69"/>
  <c r="V339" i="69"/>
  <c r="W339" i="69"/>
  <c r="X339" i="69"/>
  <c r="O340" i="69"/>
  <c r="P340" i="69"/>
  <c r="R340" i="69"/>
  <c r="U340" i="69"/>
  <c r="S340" i="69"/>
  <c r="T340" i="69"/>
  <c r="V340" i="69"/>
  <c r="W340" i="69"/>
  <c r="X340" i="69"/>
  <c r="O341" i="69"/>
  <c r="P341" i="69"/>
  <c r="R341" i="69"/>
  <c r="U341" i="69"/>
  <c r="S341" i="69"/>
  <c r="T341" i="69"/>
  <c r="V341" i="69"/>
  <c r="W341" i="69"/>
  <c r="X341" i="69"/>
  <c r="O342" i="69"/>
  <c r="R342" i="69"/>
  <c r="U342" i="69"/>
  <c r="P342" i="69"/>
  <c r="S342" i="69"/>
  <c r="T342" i="69"/>
  <c r="V342" i="69"/>
  <c r="W342" i="69"/>
  <c r="X342" i="69"/>
  <c r="O343" i="69"/>
  <c r="P343" i="69"/>
  <c r="S343" i="69"/>
  <c r="T343" i="69"/>
  <c r="V343" i="69"/>
  <c r="W343" i="69"/>
  <c r="X343" i="69"/>
  <c r="O344" i="69"/>
  <c r="R344" i="69"/>
  <c r="U344" i="69"/>
  <c r="P344" i="69"/>
  <c r="S344" i="69"/>
  <c r="T344" i="69"/>
  <c r="V344" i="69"/>
  <c r="W344" i="69"/>
  <c r="X344" i="69"/>
  <c r="O345" i="69"/>
  <c r="R345" i="69"/>
  <c r="U345" i="69"/>
  <c r="P345" i="69"/>
  <c r="S345" i="69"/>
  <c r="T345" i="69"/>
  <c r="V345" i="69"/>
  <c r="W345" i="69"/>
  <c r="X345" i="69"/>
  <c r="O346" i="69"/>
  <c r="P346" i="69"/>
  <c r="T346" i="69"/>
  <c r="U346" i="69"/>
  <c r="V346" i="69"/>
  <c r="W346" i="69"/>
  <c r="X346" i="69"/>
  <c r="O347" i="69"/>
  <c r="P347" i="69"/>
  <c r="S347" i="69"/>
  <c r="T347" i="69"/>
  <c r="U347" i="69"/>
  <c r="V347" i="69"/>
  <c r="W347" i="69"/>
  <c r="X347" i="69"/>
  <c r="O348" i="69"/>
  <c r="P348" i="69"/>
  <c r="S348" i="69"/>
  <c r="T348" i="69"/>
  <c r="V348" i="69"/>
  <c r="W348" i="69"/>
  <c r="X348" i="69"/>
  <c r="O349" i="69"/>
  <c r="R349" i="69"/>
  <c r="S349" i="69"/>
  <c r="P349" i="69"/>
  <c r="T349" i="69"/>
  <c r="U349" i="69"/>
  <c r="V349" i="69"/>
  <c r="W349" i="69"/>
  <c r="X349" i="69"/>
  <c r="O350" i="69"/>
  <c r="R350" i="69"/>
  <c r="U350" i="69"/>
  <c r="P350" i="69"/>
  <c r="S350" i="69"/>
  <c r="T350" i="69"/>
  <c r="V350" i="69"/>
  <c r="W350" i="69"/>
  <c r="X350" i="69"/>
  <c r="O351" i="69"/>
  <c r="P351" i="69"/>
  <c r="S351" i="69"/>
  <c r="T351" i="69"/>
  <c r="U351" i="69"/>
  <c r="V351" i="69"/>
  <c r="W351" i="69"/>
  <c r="X351" i="69"/>
  <c r="O352" i="69"/>
  <c r="R352" i="69"/>
  <c r="U352" i="69"/>
  <c r="P352" i="69"/>
  <c r="S352" i="69"/>
  <c r="T352" i="69"/>
  <c r="V352" i="69"/>
  <c r="W352" i="69"/>
  <c r="X352" i="69"/>
  <c r="O353" i="69"/>
  <c r="P353" i="69"/>
  <c r="R353" i="69"/>
  <c r="U353" i="69"/>
  <c r="S353" i="69"/>
  <c r="T353" i="69"/>
  <c r="V353" i="69"/>
  <c r="W353" i="69"/>
  <c r="X353" i="69"/>
  <c r="O354" i="69"/>
  <c r="R354" i="69"/>
  <c r="U354" i="69"/>
  <c r="P354" i="69"/>
  <c r="S354" i="69"/>
  <c r="T354" i="69"/>
  <c r="V354" i="69"/>
  <c r="W354" i="69"/>
  <c r="X354" i="69"/>
  <c r="O355" i="69"/>
  <c r="R355" i="69"/>
  <c r="U355" i="69"/>
  <c r="P355" i="69"/>
  <c r="S355" i="69"/>
  <c r="T355" i="69"/>
  <c r="V355" i="69"/>
  <c r="W355" i="69"/>
  <c r="X355" i="69"/>
  <c r="O356" i="69"/>
  <c r="R356" i="69"/>
  <c r="S356" i="69"/>
  <c r="P356" i="69"/>
  <c r="T356" i="69"/>
  <c r="U356" i="69"/>
  <c r="V356" i="69"/>
  <c r="W356" i="69"/>
  <c r="X356" i="69"/>
  <c r="O357" i="69"/>
  <c r="P357" i="69"/>
  <c r="S357" i="69"/>
  <c r="T357" i="69"/>
  <c r="U357" i="69"/>
  <c r="V357" i="69"/>
  <c r="W357" i="69"/>
  <c r="X357" i="69"/>
  <c r="O358" i="69"/>
  <c r="P358" i="69"/>
  <c r="S358" i="69"/>
  <c r="T358" i="69"/>
  <c r="V358" i="69"/>
  <c r="W358" i="69"/>
  <c r="X358" i="69"/>
  <c r="O359" i="69"/>
  <c r="R359" i="69"/>
  <c r="U359" i="69"/>
  <c r="P359" i="69"/>
  <c r="S359" i="69"/>
  <c r="T359" i="69"/>
  <c r="V359" i="69"/>
  <c r="W359" i="69"/>
  <c r="X359" i="69"/>
  <c r="O360" i="69"/>
  <c r="R360" i="69"/>
  <c r="S360" i="69"/>
  <c r="P360" i="69"/>
  <c r="T360" i="69"/>
  <c r="U360" i="69"/>
  <c r="V360" i="69"/>
  <c r="W360" i="69"/>
  <c r="X360" i="69"/>
  <c r="O361" i="69"/>
  <c r="P361" i="69"/>
  <c r="R361" i="69"/>
  <c r="S361" i="69"/>
  <c r="T361" i="69"/>
  <c r="U361" i="69"/>
  <c r="V361" i="69"/>
  <c r="W361" i="69"/>
  <c r="X361" i="69"/>
  <c r="O362" i="69"/>
  <c r="P362" i="69"/>
  <c r="S362" i="69"/>
  <c r="T362" i="69"/>
  <c r="V362" i="69"/>
  <c r="W362" i="69"/>
  <c r="X362" i="69"/>
  <c r="O363" i="69"/>
  <c r="P363" i="69"/>
  <c r="R363" i="69"/>
  <c r="V363" i="69"/>
  <c r="S363" i="69"/>
  <c r="T363" i="69"/>
  <c r="U363" i="69"/>
  <c r="W363" i="69"/>
  <c r="X363" i="69"/>
  <c r="O364" i="69"/>
  <c r="R364" i="69"/>
  <c r="V364" i="69"/>
  <c r="P364" i="69"/>
  <c r="S364" i="69"/>
  <c r="T364" i="69"/>
  <c r="U364" i="69"/>
  <c r="W364" i="69"/>
  <c r="X364" i="69"/>
  <c r="O365" i="69"/>
  <c r="R365" i="69"/>
  <c r="V365" i="69"/>
  <c r="P365" i="69"/>
  <c r="S365" i="69"/>
  <c r="T365" i="69"/>
  <c r="U365" i="69"/>
  <c r="W365" i="69"/>
  <c r="X365" i="69"/>
  <c r="O366" i="69"/>
  <c r="P366" i="69"/>
  <c r="S366" i="69"/>
  <c r="T366" i="69"/>
  <c r="U366" i="69"/>
  <c r="W366" i="69"/>
  <c r="X366" i="69"/>
  <c r="O367" i="69"/>
  <c r="P367" i="69"/>
  <c r="S367" i="69"/>
  <c r="T367" i="69"/>
  <c r="U367" i="69"/>
  <c r="W367" i="69"/>
  <c r="X367" i="69"/>
  <c r="O368" i="69"/>
  <c r="R368" i="69"/>
  <c r="U368" i="69"/>
  <c r="P368" i="69"/>
  <c r="S368" i="69"/>
  <c r="T368" i="69"/>
  <c r="V368" i="69"/>
  <c r="W368" i="69"/>
  <c r="X368" i="69"/>
  <c r="O369" i="69"/>
  <c r="R369" i="69"/>
  <c r="V369" i="69"/>
  <c r="P369" i="69"/>
  <c r="S369" i="69"/>
  <c r="T369" i="69"/>
  <c r="U369" i="69"/>
  <c r="W369" i="69"/>
  <c r="X369" i="69"/>
  <c r="O370" i="69"/>
  <c r="R370" i="69"/>
  <c r="P370" i="69"/>
  <c r="S370" i="69"/>
  <c r="T370" i="69"/>
  <c r="V370" i="69"/>
  <c r="W370" i="69"/>
  <c r="X370" i="69"/>
  <c r="O371" i="69"/>
  <c r="P371" i="69"/>
  <c r="S371" i="69"/>
  <c r="T371" i="69"/>
  <c r="V371" i="69"/>
  <c r="W371" i="69"/>
  <c r="X371" i="69"/>
  <c r="O372" i="69"/>
  <c r="R372" i="69"/>
  <c r="V372" i="69"/>
  <c r="P372" i="69"/>
  <c r="S372" i="69"/>
  <c r="T372" i="69"/>
  <c r="U372" i="69"/>
  <c r="W372" i="69"/>
  <c r="X372" i="69"/>
  <c r="O373" i="69"/>
  <c r="R373" i="69"/>
  <c r="S373" i="69"/>
  <c r="P373" i="69"/>
  <c r="T373" i="69"/>
  <c r="U373" i="69"/>
  <c r="V373" i="69"/>
  <c r="W373" i="69"/>
  <c r="X373" i="69"/>
  <c r="O374" i="69"/>
  <c r="P374" i="69"/>
  <c r="R374" i="69"/>
  <c r="T374" i="69"/>
  <c r="S374" i="69"/>
  <c r="U374" i="69"/>
  <c r="V374" i="69"/>
  <c r="W374" i="69"/>
  <c r="X374" i="69"/>
  <c r="O375" i="69"/>
  <c r="P375" i="69"/>
  <c r="S375" i="69"/>
  <c r="T375" i="69"/>
  <c r="V375" i="69"/>
  <c r="W375" i="69"/>
  <c r="X375" i="69"/>
  <c r="O376" i="69"/>
  <c r="R376" i="69"/>
  <c r="U376" i="69"/>
  <c r="P376" i="69"/>
  <c r="S376" i="69"/>
  <c r="T376" i="69"/>
  <c r="V376" i="69"/>
  <c r="W376" i="69"/>
  <c r="X376" i="69"/>
  <c r="O377" i="69"/>
  <c r="P377" i="69"/>
  <c r="R377" i="69"/>
  <c r="U377" i="69"/>
  <c r="S377" i="69"/>
  <c r="T377" i="69"/>
  <c r="V377" i="69"/>
  <c r="W377" i="69"/>
  <c r="X377" i="69"/>
  <c r="O378" i="69"/>
  <c r="P378" i="69"/>
  <c r="S378" i="69"/>
  <c r="T378" i="69"/>
  <c r="V378" i="69"/>
  <c r="W378" i="69"/>
  <c r="X378" i="69"/>
  <c r="O379" i="69"/>
  <c r="P379" i="69"/>
  <c r="S379" i="69"/>
  <c r="T379" i="69"/>
  <c r="V379" i="69"/>
  <c r="W379" i="69"/>
  <c r="X379" i="69"/>
  <c r="O380" i="69"/>
  <c r="R380" i="69"/>
  <c r="U380" i="69"/>
  <c r="P380" i="69"/>
  <c r="S380" i="69"/>
  <c r="T380" i="69"/>
  <c r="V380" i="69"/>
  <c r="W380" i="69"/>
  <c r="X380" i="69"/>
  <c r="O381" i="69"/>
  <c r="P381" i="69"/>
  <c r="R381" i="69"/>
  <c r="U381" i="69"/>
  <c r="S381" i="69"/>
  <c r="T381" i="69"/>
  <c r="V381" i="69"/>
  <c r="W381" i="69"/>
  <c r="X381" i="69"/>
  <c r="O382" i="69"/>
  <c r="P382" i="69"/>
  <c r="S382" i="69"/>
  <c r="T382" i="69"/>
  <c r="V382" i="69"/>
  <c r="W382" i="69"/>
  <c r="X382" i="69"/>
  <c r="O383" i="69"/>
  <c r="P383" i="69"/>
  <c r="S383" i="69"/>
  <c r="T383" i="69"/>
  <c r="V383" i="69"/>
  <c r="W383" i="69"/>
  <c r="X383" i="69"/>
  <c r="O384" i="69"/>
  <c r="R384" i="69"/>
  <c r="U384" i="69"/>
  <c r="P384" i="69"/>
  <c r="S384" i="69"/>
  <c r="T384" i="69"/>
  <c r="V384" i="69"/>
  <c r="W384" i="69"/>
  <c r="X384" i="69"/>
  <c r="O385" i="69"/>
  <c r="P385" i="69"/>
  <c r="R385" i="69"/>
  <c r="U385" i="69"/>
  <c r="S385" i="69"/>
  <c r="T385" i="69"/>
  <c r="V385" i="69"/>
  <c r="W385" i="69"/>
  <c r="X385" i="69"/>
  <c r="O386" i="69"/>
  <c r="P386" i="69"/>
  <c r="S386" i="69"/>
  <c r="T386" i="69"/>
  <c r="V386" i="69"/>
  <c r="W386" i="69"/>
  <c r="X386" i="69"/>
  <c r="O387" i="69"/>
  <c r="P387" i="69"/>
  <c r="S387" i="69"/>
  <c r="T387" i="69"/>
  <c r="V387" i="69"/>
  <c r="W387" i="69"/>
  <c r="X387" i="69"/>
  <c r="O388" i="69"/>
  <c r="R388" i="69"/>
  <c r="U388" i="69"/>
  <c r="P388" i="69"/>
  <c r="S388" i="69"/>
  <c r="T388" i="69"/>
  <c r="V388" i="69"/>
  <c r="W388" i="69"/>
  <c r="X388" i="69"/>
  <c r="O389" i="69"/>
  <c r="P389" i="69"/>
  <c r="R389" i="69"/>
  <c r="U389" i="69"/>
  <c r="S389" i="69"/>
  <c r="T389" i="69"/>
  <c r="V389" i="69"/>
  <c r="W389" i="69"/>
  <c r="X389" i="69"/>
  <c r="O390" i="69"/>
  <c r="P390" i="69"/>
  <c r="R390" i="69"/>
  <c r="U390" i="69"/>
  <c r="S390" i="69"/>
  <c r="T390" i="69"/>
  <c r="V390" i="69"/>
  <c r="W390" i="69"/>
  <c r="X390" i="69"/>
  <c r="O391" i="69"/>
  <c r="P391" i="69"/>
  <c r="S391" i="69"/>
  <c r="T391" i="69"/>
  <c r="V391" i="69"/>
  <c r="W391" i="69"/>
  <c r="X391" i="69"/>
  <c r="O392" i="69"/>
  <c r="R392" i="69"/>
  <c r="U392" i="69"/>
  <c r="P392" i="69"/>
  <c r="S392" i="69"/>
  <c r="T392" i="69"/>
  <c r="V392" i="69"/>
  <c r="W392" i="69"/>
  <c r="X392" i="69"/>
  <c r="O393" i="69"/>
  <c r="P393" i="69"/>
  <c r="R393" i="69"/>
  <c r="S393" i="69"/>
  <c r="T393" i="69"/>
  <c r="U393" i="69"/>
  <c r="V393" i="69"/>
  <c r="W393" i="69"/>
  <c r="X393" i="69"/>
  <c r="O394" i="69"/>
  <c r="P394" i="69"/>
  <c r="S394" i="69"/>
  <c r="T394" i="69"/>
  <c r="U394" i="69"/>
  <c r="V394" i="69"/>
  <c r="W394" i="69"/>
  <c r="X394" i="69"/>
  <c r="O395" i="69"/>
  <c r="P395" i="69"/>
  <c r="S395" i="69"/>
  <c r="T395" i="69"/>
  <c r="V395" i="69"/>
  <c r="W395" i="69"/>
  <c r="X395" i="69"/>
  <c r="O396" i="69"/>
  <c r="P396" i="69"/>
  <c r="R396" i="69"/>
  <c r="U396" i="69"/>
  <c r="S396" i="69"/>
  <c r="T396" i="69"/>
  <c r="V396" i="69"/>
  <c r="W396" i="69"/>
  <c r="X396" i="69"/>
  <c r="O397" i="69"/>
  <c r="R397" i="69"/>
  <c r="V397" i="69"/>
  <c r="P397" i="69"/>
  <c r="S397" i="69"/>
  <c r="T397" i="69"/>
  <c r="U397" i="69"/>
  <c r="W397" i="69"/>
  <c r="X397" i="69"/>
  <c r="O398" i="69"/>
  <c r="R398" i="69"/>
  <c r="V398" i="69"/>
  <c r="P398" i="69"/>
  <c r="S398" i="69"/>
  <c r="T398" i="69"/>
  <c r="U398" i="69"/>
  <c r="W398" i="69"/>
  <c r="X398" i="69"/>
  <c r="O399" i="69"/>
  <c r="P399" i="69"/>
  <c r="S399" i="69"/>
  <c r="T399" i="69"/>
  <c r="U399" i="69"/>
  <c r="W399" i="69"/>
  <c r="X399" i="69"/>
  <c r="O400" i="69"/>
  <c r="P400" i="69"/>
  <c r="R400" i="69"/>
  <c r="U400" i="69"/>
  <c r="S400" i="69"/>
  <c r="T400" i="69"/>
  <c r="V400" i="69"/>
  <c r="W400" i="69"/>
  <c r="X400" i="69"/>
  <c r="O401" i="69"/>
  <c r="R401" i="69"/>
  <c r="S401" i="69"/>
  <c r="P401" i="69"/>
  <c r="T401" i="69"/>
  <c r="U401" i="69"/>
  <c r="V401" i="69"/>
  <c r="W401" i="69"/>
  <c r="X401" i="69"/>
  <c r="O402" i="69"/>
  <c r="R402" i="69"/>
  <c r="P402" i="69"/>
  <c r="S402" i="69"/>
  <c r="T402" i="69"/>
  <c r="U402" i="69"/>
  <c r="V402" i="69"/>
  <c r="W402" i="69"/>
  <c r="X402" i="69"/>
  <c r="O403" i="69"/>
  <c r="R403" i="69"/>
  <c r="U403" i="69"/>
  <c r="P403" i="69"/>
  <c r="S403" i="69"/>
  <c r="T403" i="69"/>
  <c r="V403" i="69"/>
  <c r="W403" i="69"/>
  <c r="X403" i="69"/>
  <c r="O404" i="69"/>
  <c r="P404" i="69"/>
  <c r="S404" i="69"/>
  <c r="T404" i="69"/>
  <c r="U404" i="69"/>
  <c r="W404" i="69"/>
  <c r="X404" i="69"/>
  <c r="O405" i="69"/>
  <c r="P405" i="69"/>
  <c r="S405" i="69"/>
  <c r="T405" i="69"/>
  <c r="U405" i="69"/>
  <c r="W405" i="69"/>
  <c r="X405" i="69"/>
  <c r="O406" i="69"/>
  <c r="R406" i="69"/>
  <c r="V406" i="69"/>
  <c r="P406" i="69"/>
  <c r="S406" i="69"/>
  <c r="T406" i="69"/>
  <c r="U406" i="69"/>
  <c r="W406" i="69"/>
  <c r="X406" i="69"/>
  <c r="O407" i="69"/>
  <c r="R407" i="69"/>
  <c r="S407" i="69"/>
  <c r="P407" i="69"/>
  <c r="T407" i="69"/>
  <c r="U407" i="69"/>
  <c r="V407" i="69"/>
  <c r="W407" i="69"/>
  <c r="X407" i="69"/>
  <c r="O408" i="69"/>
  <c r="P408" i="69"/>
  <c r="R408" i="69"/>
  <c r="S408" i="69"/>
  <c r="T408" i="69"/>
  <c r="U408" i="69"/>
  <c r="V408" i="69"/>
  <c r="W408" i="69"/>
  <c r="X408" i="69"/>
  <c r="O409" i="69"/>
  <c r="P409" i="69"/>
  <c r="S409" i="69"/>
  <c r="T409" i="69"/>
  <c r="U409" i="69"/>
  <c r="W409" i="69"/>
  <c r="X409" i="69"/>
  <c r="O410" i="69"/>
  <c r="R410" i="69"/>
  <c r="V410" i="69"/>
  <c r="P410" i="69"/>
  <c r="S410" i="69"/>
  <c r="T410" i="69"/>
  <c r="U410" i="69"/>
  <c r="W410" i="69"/>
  <c r="X410" i="69"/>
  <c r="O411" i="69"/>
  <c r="R411" i="69"/>
  <c r="V411" i="69"/>
  <c r="P411" i="69"/>
  <c r="S411" i="69"/>
  <c r="T411" i="69"/>
  <c r="U411" i="69"/>
  <c r="W411" i="69"/>
  <c r="X411" i="69"/>
  <c r="O412" i="69"/>
  <c r="R412" i="69"/>
  <c r="V412" i="69"/>
  <c r="P412" i="69"/>
  <c r="S412" i="69"/>
  <c r="T412" i="69"/>
  <c r="U412" i="69"/>
  <c r="W412" i="69"/>
  <c r="X412" i="69"/>
  <c r="O413" i="69"/>
  <c r="P413" i="69"/>
  <c r="S413" i="69"/>
  <c r="T413" i="69"/>
  <c r="U413" i="69"/>
  <c r="W413" i="69"/>
  <c r="X413" i="69"/>
  <c r="O414" i="69"/>
  <c r="R414" i="69"/>
  <c r="V414" i="69"/>
  <c r="P414" i="69"/>
  <c r="S414" i="69"/>
  <c r="T414" i="69"/>
  <c r="U414" i="69"/>
  <c r="W414" i="69"/>
  <c r="X414" i="69"/>
  <c r="O415" i="69"/>
  <c r="R415" i="69"/>
  <c r="S415" i="69"/>
  <c r="P415" i="69"/>
  <c r="T415" i="69"/>
  <c r="U415" i="69"/>
  <c r="V415" i="69"/>
  <c r="W415" i="69"/>
  <c r="X415" i="69"/>
  <c r="O416" i="69"/>
  <c r="R416" i="69"/>
  <c r="P416" i="69"/>
  <c r="S416" i="69"/>
  <c r="T416" i="69"/>
  <c r="U416" i="69"/>
  <c r="V416" i="69"/>
  <c r="W416" i="69"/>
  <c r="X416" i="69"/>
  <c r="O417" i="69"/>
  <c r="P417" i="69"/>
  <c r="R417" i="69"/>
  <c r="U417" i="69"/>
  <c r="S417" i="69"/>
  <c r="T417" i="69"/>
  <c r="V417" i="69"/>
  <c r="W417" i="69"/>
  <c r="X417" i="69"/>
  <c r="O418" i="69"/>
  <c r="P418" i="69"/>
  <c r="R418" i="69"/>
  <c r="U418" i="69"/>
  <c r="S418" i="69"/>
  <c r="T418" i="69"/>
  <c r="V418" i="69"/>
  <c r="W418" i="69"/>
  <c r="X418" i="69"/>
  <c r="O419" i="69"/>
  <c r="P419" i="69"/>
  <c r="S419" i="69"/>
  <c r="T419" i="69"/>
  <c r="V419" i="69"/>
  <c r="W419" i="69"/>
  <c r="X419" i="69"/>
  <c r="O420" i="69"/>
  <c r="R420" i="69"/>
  <c r="U420" i="69"/>
  <c r="P420" i="69"/>
  <c r="S420" i="69"/>
  <c r="T420" i="69"/>
  <c r="V420" i="69"/>
  <c r="W420" i="69"/>
  <c r="X420" i="69"/>
  <c r="O421" i="69"/>
  <c r="R421" i="69"/>
  <c r="U421" i="69"/>
  <c r="P421" i="69"/>
  <c r="S421" i="69"/>
  <c r="T421" i="69"/>
  <c r="V421" i="69"/>
  <c r="W421" i="69"/>
  <c r="X421" i="69"/>
  <c r="O422" i="69"/>
  <c r="R422" i="69"/>
  <c r="S422" i="69"/>
  <c r="P422" i="69"/>
  <c r="T422" i="69"/>
  <c r="U422" i="69"/>
  <c r="V422" i="69"/>
  <c r="W422" i="69"/>
  <c r="X422" i="69"/>
  <c r="O423" i="69"/>
  <c r="R423" i="69"/>
  <c r="U423" i="69"/>
  <c r="P423" i="69"/>
  <c r="S423" i="69"/>
  <c r="T423" i="69"/>
  <c r="V423" i="69"/>
  <c r="W423" i="69"/>
  <c r="X423" i="69"/>
  <c r="O424" i="69"/>
  <c r="R424" i="69"/>
  <c r="P424" i="69"/>
  <c r="S424" i="69"/>
  <c r="T424" i="69"/>
  <c r="U424" i="69"/>
  <c r="V424" i="69"/>
  <c r="W424" i="69"/>
  <c r="X424" i="69"/>
  <c r="O425" i="69"/>
  <c r="R425" i="69"/>
  <c r="P425" i="69"/>
  <c r="S425" i="69"/>
  <c r="T425" i="69"/>
  <c r="U425" i="69"/>
  <c r="V425" i="69"/>
  <c r="W425" i="69"/>
  <c r="X425" i="69"/>
  <c r="O426" i="69"/>
  <c r="R426" i="69"/>
  <c r="U426" i="69"/>
  <c r="P426" i="69"/>
  <c r="S426" i="69"/>
  <c r="T426" i="69"/>
  <c r="V426" i="69"/>
  <c r="W426" i="69"/>
  <c r="X426" i="69"/>
  <c r="O427" i="69"/>
  <c r="R427" i="69"/>
  <c r="U427" i="69"/>
  <c r="P427" i="69"/>
  <c r="S427" i="69"/>
  <c r="T427" i="69"/>
  <c r="V427" i="69"/>
  <c r="W427" i="69"/>
  <c r="X427" i="69"/>
  <c r="O428" i="69"/>
  <c r="P428" i="69"/>
  <c r="S428" i="69"/>
  <c r="T428" i="69"/>
  <c r="U428" i="69"/>
  <c r="W428" i="69"/>
  <c r="X428" i="69"/>
  <c r="O429" i="69"/>
  <c r="R429" i="69"/>
  <c r="V429" i="69"/>
  <c r="P429" i="69"/>
  <c r="S429" i="69"/>
  <c r="T429" i="69"/>
  <c r="U429" i="69"/>
  <c r="W429" i="69"/>
  <c r="X429" i="69"/>
  <c r="O430" i="69"/>
  <c r="R430" i="69"/>
  <c r="V430" i="69"/>
  <c r="P430" i="69"/>
  <c r="S430" i="69"/>
  <c r="T430" i="69"/>
  <c r="U430" i="69"/>
  <c r="W430" i="69"/>
  <c r="X430" i="69"/>
  <c r="O431" i="69"/>
  <c r="P431" i="69"/>
  <c r="R431" i="69"/>
  <c r="V431" i="69"/>
  <c r="S431" i="69"/>
  <c r="T431" i="69"/>
  <c r="U431" i="69"/>
  <c r="W431" i="69"/>
  <c r="X431" i="69"/>
  <c r="O432" i="69"/>
  <c r="P432" i="69"/>
  <c r="R432" i="69"/>
  <c r="U432" i="69"/>
  <c r="S432" i="69"/>
  <c r="T432" i="69"/>
  <c r="V432" i="69"/>
  <c r="W432" i="69"/>
  <c r="X432" i="69"/>
  <c r="O433" i="69"/>
  <c r="R433" i="69"/>
  <c r="V433" i="69"/>
  <c r="P433" i="69"/>
  <c r="S433" i="69"/>
  <c r="T433" i="69"/>
  <c r="U433" i="69"/>
  <c r="W433" i="69"/>
  <c r="X433" i="69"/>
  <c r="O434" i="69"/>
  <c r="R434" i="69"/>
  <c r="U434" i="69"/>
  <c r="P434" i="69"/>
  <c r="S434" i="69"/>
  <c r="T434" i="69"/>
  <c r="V434" i="69"/>
  <c r="W434" i="69"/>
  <c r="X434" i="69"/>
  <c r="O435" i="69"/>
  <c r="P435" i="69"/>
  <c r="R435" i="69"/>
  <c r="S435" i="69"/>
  <c r="T435" i="69"/>
  <c r="U435" i="69"/>
  <c r="V435" i="69"/>
  <c r="W435" i="69"/>
  <c r="X435" i="69"/>
  <c r="O436" i="69"/>
  <c r="P436" i="69"/>
  <c r="R436" i="69"/>
  <c r="T436" i="69"/>
  <c r="S436" i="69"/>
  <c r="U436" i="69"/>
  <c r="V436" i="69"/>
  <c r="W436" i="69"/>
  <c r="X436" i="69"/>
  <c r="O437" i="69"/>
  <c r="P437" i="69"/>
  <c r="S437" i="69"/>
  <c r="T437" i="69"/>
  <c r="U437" i="69"/>
  <c r="V437" i="69"/>
  <c r="W437" i="69"/>
  <c r="X437" i="69"/>
  <c r="O438" i="69"/>
  <c r="R438" i="69"/>
  <c r="V438" i="69"/>
  <c r="P438" i="69"/>
  <c r="S438" i="69"/>
  <c r="T438" i="69"/>
  <c r="U438" i="69"/>
  <c r="W438" i="69"/>
  <c r="X438" i="69"/>
  <c r="O439" i="69"/>
  <c r="R439" i="69"/>
  <c r="V439" i="69"/>
  <c r="P439" i="69"/>
  <c r="S439" i="69"/>
  <c r="T439" i="69"/>
  <c r="U439" i="69"/>
  <c r="W439" i="69"/>
  <c r="X439" i="69"/>
  <c r="O440" i="69"/>
  <c r="R440" i="69"/>
  <c r="V440" i="69"/>
  <c r="P440" i="69"/>
  <c r="S440" i="69"/>
  <c r="T440" i="69"/>
  <c r="U440" i="69"/>
  <c r="W440" i="69"/>
  <c r="X440" i="69"/>
  <c r="O441" i="69"/>
  <c r="P441" i="69"/>
  <c r="S441" i="69"/>
  <c r="T441" i="69"/>
  <c r="U441" i="69"/>
  <c r="W441" i="69"/>
  <c r="X441" i="69"/>
  <c r="O442" i="69"/>
  <c r="P442" i="69"/>
  <c r="S442" i="69"/>
  <c r="T442" i="69"/>
  <c r="U442" i="69"/>
  <c r="W442" i="69"/>
  <c r="X442" i="69"/>
  <c r="O443" i="69"/>
  <c r="R443" i="69"/>
  <c r="S443" i="69"/>
  <c r="P443" i="69"/>
  <c r="T443" i="69"/>
  <c r="U443" i="69"/>
  <c r="V443" i="69"/>
  <c r="W443" i="69"/>
  <c r="X443" i="69"/>
  <c r="O444" i="69"/>
  <c r="R444" i="69"/>
  <c r="V444" i="69"/>
  <c r="P444" i="69"/>
  <c r="S444" i="69"/>
  <c r="T444" i="69"/>
  <c r="U444" i="69"/>
  <c r="W444" i="69"/>
  <c r="X444" i="69"/>
  <c r="O445" i="69"/>
  <c r="P445" i="69"/>
  <c r="R445" i="69"/>
  <c r="U445" i="69"/>
  <c r="S445" i="69"/>
  <c r="T445" i="69"/>
  <c r="V445" i="69"/>
  <c r="W445" i="69"/>
  <c r="X445" i="69"/>
  <c r="O446" i="69"/>
  <c r="P446" i="69"/>
  <c r="R446" i="69"/>
  <c r="U446" i="69"/>
  <c r="S446" i="69"/>
  <c r="T446" i="69"/>
  <c r="V446" i="69"/>
  <c r="W446" i="69"/>
  <c r="X446" i="69"/>
  <c r="O447" i="69"/>
  <c r="R447" i="69"/>
  <c r="U447" i="69"/>
  <c r="P447" i="69"/>
  <c r="S447" i="69"/>
  <c r="T447" i="69"/>
  <c r="V447" i="69"/>
  <c r="W447" i="69"/>
  <c r="X447" i="69"/>
  <c r="O448" i="69"/>
  <c r="P448" i="69"/>
  <c r="R448" i="69"/>
  <c r="U448" i="69"/>
  <c r="S448" i="69"/>
  <c r="T448" i="69"/>
  <c r="V448" i="69"/>
  <c r="W448" i="69"/>
  <c r="X448" i="69"/>
  <c r="O449" i="69"/>
  <c r="P449" i="69"/>
  <c r="R449" i="69"/>
  <c r="U449" i="69"/>
  <c r="S449" i="69"/>
  <c r="T449" i="69"/>
  <c r="V449" i="69"/>
  <c r="W449" i="69"/>
  <c r="X449" i="69"/>
  <c r="O450" i="69"/>
  <c r="P450" i="69"/>
  <c r="S450" i="69"/>
  <c r="T450" i="69"/>
  <c r="V450" i="69"/>
  <c r="W450" i="69"/>
  <c r="X450" i="69"/>
  <c r="O451" i="69"/>
  <c r="P451" i="69"/>
  <c r="T451" i="69"/>
  <c r="U451" i="69"/>
  <c r="V451" i="69"/>
  <c r="W451" i="69"/>
  <c r="X451" i="69"/>
  <c r="O452" i="69"/>
  <c r="P452" i="69"/>
  <c r="S452" i="69"/>
  <c r="T452" i="69"/>
  <c r="U452" i="69"/>
  <c r="V452" i="69"/>
  <c r="W452" i="69"/>
  <c r="X452" i="69"/>
  <c r="O453" i="69"/>
  <c r="R453" i="69"/>
  <c r="P453" i="69"/>
  <c r="S453" i="69"/>
  <c r="T453" i="69"/>
  <c r="V453" i="69"/>
  <c r="W453" i="69"/>
  <c r="X453" i="69"/>
  <c r="O454" i="69"/>
  <c r="P454" i="69"/>
  <c r="R454" i="69"/>
  <c r="S454" i="69"/>
  <c r="T454" i="69"/>
  <c r="U454" i="69"/>
  <c r="V454" i="69"/>
  <c r="W454" i="69"/>
  <c r="X454" i="69"/>
  <c r="G370" i="69"/>
  <c r="U370" i="69"/>
  <c r="R104" i="69"/>
  <c r="V104" i="69"/>
  <c r="R155" i="69"/>
  <c r="U155" i="69"/>
  <c r="R27" i="69"/>
  <c r="U27" i="69"/>
  <c r="R62" i="69"/>
  <c r="U62" i="69"/>
  <c r="R324" i="69"/>
  <c r="S324" i="69"/>
  <c r="R91" i="69"/>
  <c r="U91" i="69"/>
  <c r="R87" i="69"/>
  <c r="U87" i="69"/>
  <c r="R348" i="69"/>
  <c r="U348" i="69"/>
  <c r="R285" i="69"/>
  <c r="U285" i="69"/>
  <c r="R286" i="69"/>
  <c r="U286" i="69"/>
  <c r="R92" i="69"/>
  <c r="U92" i="69"/>
  <c r="R451" i="69"/>
  <c r="S451" i="69"/>
  <c r="R358" i="69"/>
  <c r="U358" i="69"/>
  <c r="R357" i="69"/>
  <c r="R343" i="69"/>
  <c r="U343" i="69"/>
  <c r="R280" i="69"/>
  <c r="U280" i="69"/>
  <c r="R399" i="69"/>
  <c r="V399" i="69"/>
  <c r="R146" i="69"/>
  <c r="U146" i="69"/>
  <c r="R142" i="69"/>
  <c r="U142" i="69"/>
  <c r="R117" i="69"/>
  <c r="U117" i="69"/>
  <c r="R116" i="69"/>
  <c r="U116" i="69"/>
  <c r="R237" i="69"/>
  <c r="U237" i="69"/>
  <c r="R220" i="69"/>
  <c r="U220" i="69"/>
  <c r="R219" i="69"/>
  <c r="U219" i="69"/>
  <c r="R154" i="69"/>
  <c r="U154" i="69"/>
  <c r="R150" i="69"/>
  <c r="S150" i="69"/>
  <c r="R383" i="69"/>
  <c r="U383" i="69"/>
  <c r="R375" i="69"/>
  <c r="U375" i="69"/>
  <c r="R351" i="69"/>
  <c r="R317" i="69"/>
  <c r="R277" i="69"/>
  <c r="U277" i="69"/>
  <c r="U257" i="69"/>
  <c r="R249" i="69"/>
  <c r="U249" i="69"/>
  <c r="R79" i="69"/>
  <c r="R75" i="69"/>
  <c r="U75" i="69"/>
  <c r="R71" i="69"/>
  <c r="V71" i="69"/>
  <c r="R59" i="69"/>
  <c r="U59" i="69"/>
  <c r="R55" i="69"/>
  <c r="U55" i="69"/>
  <c r="R20" i="69"/>
  <c r="S20" i="69"/>
  <c r="R11" i="69"/>
  <c r="S11" i="69"/>
  <c r="R7" i="69"/>
  <c r="V7" i="69"/>
  <c r="R437" i="69"/>
  <c r="R339" i="69"/>
  <c r="U339" i="69"/>
  <c r="S298" i="69"/>
  <c r="R149" i="69"/>
  <c r="U149" i="69"/>
  <c r="R135" i="69"/>
  <c r="U135" i="69"/>
  <c r="R95" i="69"/>
  <c r="U95" i="69"/>
  <c r="R12" i="69"/>
  <c r="U12" i="69"/>
  <c r="R8" i="69"/>
  <c r="V8" i="69"/>
  <c r="R450" i="69"/>
  <c r="U450" i="69"/>
  <c r="R419" i="69"/>
  <c r="U419" i="69"/>
  <c r="R329" i="69"/>
  <c r="U329" i="69"/>
  <c r="R300" i="69"/>
  <c r="U300" i="69"/>
  <c r="R299" i="69"/>
  <c r="R216" i="69"/>
  <c r="U216" i="69"/>
  <c r="R211" i="69"/>
  <c r="U211" i="69"/>
  <c r="R206" i="69"/>
  <c r="U206" i="69"/>
  <c r="R198" i="69"/>
  <c r="U198" i="69"/>
  <c r="R159" i="69"/>
  <c r="U159" i="69"/>
  <c r="R107" i="69"/>
  <c r="U107" i="69"/>
  <c r="R39" i="69"/>
  <c r="V39" i="69"/>
  <c r="R31" i="69"/>
  <c r="V31" i="69"/>
  <c r="R30" i="69"/>
  <c r="U30" i="69"/>
  <c r="U18" i="69"/>
  <c r="R15" i="69"/>
  <c r="U15" i="69"/>
  <c r="R442" i="69"/>
  <c r="V442" i="69"/>
  <c r="R428" i="69"/>
  <c r="V428" i="69"/>
  <c r="R405" i="69"/>
  <c r="V405" i="69"/>
  <c r="R328" i="69"/>
  <c r="U328" i="69"/>
  <c r="R319" i="69"/>
  <c r="V319" i="69"/>
  <c r="R312" i="69"/>
  <c r="U312" i="69"/>
  <c r="R103" i="69"/>
  <c r="V103" i="69"/>
  <c r="R224" i="69"/>
  <c r="U224" i="69"/>
  <c r="R172" i="69"/>
  <c r="U172" i="69"/>
  <c r="R84" i="69"/>
  <c r="U84" i="69"/>
  <c r="R80" i="69"/>
  <c r="V80" i="69"/>
  <c r="R337" i="69"/>
  <c r="S337" i="69"/>
  <c r="R294" i="69"/>
  <c r="S294" i="69"/>
  <c r="R241" i="69"/>
  <c r="U241" i="69"/>
  <c r="R278" i="69"/>
  <c r="U278" i="69"/>
  <c r="R229" i="69"/>
  <c r="U229" i="69"/>
  <c r="R281" i="69"/>
  <c r="U281" i="69"/>
  <c r="R171" i="69"/>
  <c r="U171" i="69"/>
  <c r="R99" i="69"/>
  <c r="S99" i="69"/>
  <c r="R88" i="69"/>
  <c r="U88" i="69"/>
  <c r="R60" i="69"/>
  <c r="U60" i="69"/>
  <c r="R46" i="69"/>
  <c r="S46" i="69"/>
  <c r="R45" i="69"/>
  <c r="U45" i="69"/>
  <c r="R36" i="69"/>
  <c r="T36" i="69"/>
  <c r="R35" i="69"/>
  <c r="V35" i="69"/>
  <c r="R28" i="69"/>
  <c r="U28" i="69"/>
  <c r="R22" i="69"/>
  <c r="U22" i="69"/>
  <c r="R21" i="69"/>
  <c r="U21" i="69"/>
  <c r="R240" i="69"/>
  <c r="U207" i="69"/>
  <c r="R387" i="69"/>
  <c r="U387" i="69"/>
  <c r="R386" i="69"/>
  <c r="U386" i="69"/>
  <c r="R320" i="69"/>
  <c r="V320" i="69"/>
  <c r="R313" i="69"/>
  <c r="U313" i="69"/>
  <c r="R308" i="69"/>
  <c r="U308" i="69"/>
  <c r="R290" i="69"/>
  <c r="U290" i="69"/>
  <c r="R263" i="69"/>
  <c r="U263" i="69"/>
  <c r="R215" i="69"/>
  <c r="R214" i="69"/>
  <c r="S214" i="69"/>
  <c r="R204" i="69"/>
  <c r="V204" i="69"/>
  <c r="R186" i="69"/>
  <c r="U186" i="69"/>
  <c r="R176" i="69"/>
  <c r="R137" i="69"/>
  <c r="U137" i="69"/>
  <c r="U119" i="69"/>
  <c r="R113" i="69"/>
  <c r="U113" i="69"/>
  <c r="R100" i="69"/>
  <c r="U100" i="69"/>
  <c r="R96" i="69"/>
  <c r="S96" i="69"/>
  <c r="R83" i="69"/>
  <c r="U83" i="69"/>
  <c r="R67" i="69"/>
  <c r="S67" i="69"/>
  <c r="R66" i="69"/>
  <c r="V66" i="69"/>
  <c r="R65" i="69"/>
  <c r="U65" i="69"/>
  <c r="R51" i="69"/>
  <c r="U51" i="69"/>
  <c r="R48" i="69"/>
  <c r="V48" i="69"/>
  <c r="R44" i="69"/>
  <c r="U44" i="69"/>
  <c r="R43" i="69"/>
  <c r="V43" i="69"/>
  <c r="R40" i="69"/>
  <c r="V40" i="69"/>
  <c r="R37" i="69"/>
  <c r="V37" i="69"/>
  <c r="R29" i="69"/>
  <c r="S29" i="69"/>
  <c r="R19" i="69"/>
  <c r="V19" i="69"/>
  <c r="R16" i="69"/>
  <c r="V16" i="69"/>
  <c r="R404" i="69"/>
  <c r="V404" i="69"/>
  <c r="R391" i="69"/>
  <c r="U391" i="69"/>
  <c r="R379" i="69"/>
  <c r="U379" i="69"/>
  <c r="R346" i="69"/>
  <c r="S346" i="69"/>
  <c r="R141" i="69"/>
  <c r="U141" i="69"/>
  <c r="R125" i="69"/>
  <c r="U125" i="69"/>
  <c r="R124" i="69"/>
  <c r="U124" i="69"/>
  <c r="U90" i="69"/>
  <c r="R63" i="69"/>
  <c r="V63" i="69"/>
  <c r="U453" i="69"/>
  <c r="R441" i="69"/>
  <c r="V441" i="69"/>
  <c r="R395" i="69"/>
  <c r="U395" i="69"/>
  <c r="R371" i="69"/>
  <c r="U371" i="69"/>
  <c r="R367" i="69"/>
  <c r="V367" i="69"/>
  <c r="R362" i="69"/>
  <c r="U362" i="69"/>
  <c r="R347" i="69"/>
  <c r="R323" i="69"/>
  <c r="T323" i="69"/>
  <c r="R196" i="69"/>
  <c r="V196" i="69"/>
  <c r="R194" i="69"/>
  <c r="V194" i="69"/>
  <c r="R54" i="69"/>
  <c r="U54" i="69"/>
  <c r="R53" i="69"/>
  <c r="U53" i="69"/>
  <c r="R38" i="69"/>
  <c r="U38" i="69"/>
  <c r="R24" i="69"/>
  <c r="U24" i="69"/>
  <c r="R23" i="69"/>
  <c r="U23" i="69"/>
  <c r="R331" i="69"/>
  <c r="S331" i="69"/>
  <c r="R303" i="69"/>
  <c r="U303" i="69"/>
  <c r="R140" i="69"/>
  <c r="R232" i="69"/>
  <c r="U232" i="69"/>
  <c r="R32" i="69"/>
  <c r="V32" i="69"/>
  <c r="R304" i="69"/>
  <c r="U304" i="69"/>
  <c r="R271" i="69"/>
  <c r="U271" i="69"/>
  <c r="R267" i="69"/>
  <c r="T267" i="69"/>
  <c r="R262" i="69"/>
  <c r="U262" i="69"/>
  <c r="R253" i="69"/>
  <c r="U253" i="69"/>
  <c r="R245" i="69"/>
  <c r="U245" i="69"/>
  <c r="R233" i="69"/>
  <c r="U233" i="69"/>
  <c r="R225" i="69"/>
  <c r="U225" i="69"/>
  <c r="T209" i="69"/>
  <c r="R180" i="69"/>
  <c r="S180" i="69"/>
  <c r="R133" i="69"/>
  <c r="U133" i="69"/>
  <c r="R102" i="69"/>
  <c r="V102" i="69"/>
  <c r="R82" i="69"/>
  <c r="S82" i="69"/>
  <c r="R78" i="69"/>
  <c r="S78" i="69"/>
  <c r="R58" i="69"/>
  <c r="U58" i="69"/>
  <c r="R57" i="69"/>
  <c r="U57" i="69"/>
  <c r="R49" i="69"/>
  <c r="V49" i="69"/>
  <c r="R41" i="69"/>
  <c r="V41" i="69"/>
  <c r="R33" i="69"/>
  <c r="V33" i="69"/>
  <c r="R26" i="69"/>
  <c r="U26" i="69"/>
  <c r="R25" i="69"/>
  <c r="U25" i="69"/>
  <c r="R10" i="69"/>
  <c r="V10" i="69"/>
  <c r="R307" i="69"/>
  <c r="U307" i="69"/>
  <c r="R276" i="69"/>
  <c r="U276" i="69"/>
  <c r="R275" i="69"/>
  <c r="R272" i="69"/>
  <c r="V272" i="69"/>
  <c r="R254" i="69"/>
  <c r="U254" i="69"/>
  <c r="R246" i="69"/>
  <c r="U246" i="69"/>
  <c r="R210" i="69"/>
  <c r="R202" i="69"/>
  <c r="U202" i="69"/>
  <c r="R190" i="69"/>
  <c r="U190" i="69"/>
  <c r="R182" i="69"/>
  <c r="U182" i="69"/>
  <c r="R175" i="69"/>
  <c r="S175" i="69"/>
  <c r="V174" i="69"/>
  <c r="R145" i="69"/>
  <c r="U145" i="69"/>
  <c r="R144" i="69"/>
  <c r="U144" i="69"/>
  <c r="R131" i="69"/>
  <c r="S131" i="69"/>
  <c r="R129" i="69"/>
  <c r="U129" i="69"/>
  <c r="R128" i="69"/>
  <c r="U128" i="69"/>
  <c r="R123" i="69"/>
  <c r="U123" i="69"/>
  <c r="R121" i="69"/>
  <c r="U121" i="69"/>
  <c r="R120" i="69"/>
  <c r="U120" i="69"/>
  <c r="R115" i="69"/>
  <c r="S115" i="69"/>
  <c r="R94" i="69"/>
  <c r="U94" i="69"/>
  <c r="R86" i="69"/>
  <c r="U86" i="69"/>
  <c r="R76" i="69"/>
  <c r="U76" i="69"/>
  <c r="R74" i="69"/>
  <c r="V74" i="69"/>
  <c r="R70" i="69"/>
  <c r="V70" i="69"/>
  <c r="R69" i="69"/>
  <c r="U69" i="69"/>
  <c r="R64" i="69"/>
  <c r="U64" i="69"/>
  <c r="R61" i="69"/>
  <c r="V61" i="69"/>
  <c r="R52" i="69"/>
  <c r="U52" i="69"/>
  <c r="R50" i="69"/>
  <c r="U50" i="69"/>
  <c r="R42" i="69"/>
  <c r="V42" i="69"/>
  <c r="R34" i="69"/>
  <c r="V34" i="69"/>
  <c r="R394" i="69"/>
  <c r="R382" i="69"/>
  <c r="U382" i="69"/>
  <c r="R366" i="69"/>
  <c r="V366" i="69"/>
  <c r="R338" i="69"/>
  <c r="R413" i="69"/>
  <c r="V413" i="69"/>
  <c r="R409" i="69"/>
  <c r="V409" i="69"/>
  <c r="R378" i="69"/>
  <c r="U378" i="69"/>
  <c r="R334" i="69"/>
  <c r="U334" i="69"/>
  <c r="R311" i="69"/>
  <c r="R266" i="69"/>
  <c r="V266" i="69"/>
  <c r="R250" i="69"/>
  <c r="U250" i="69"/>
  <c r="R242" i="69"/>
  <c r="U242" i="69"/>
  <c r="R181" i="69"/>
  <c r="R89" i="69"/>
  <c r="U89" i="69"/>
  <c r="R9" i="69"/>
  <c r="V9" i="69"/>
  <c r="S217" i="69"/>
  <c r="V205" i="69"/>
  <c r="R201" i="69"/>
  <c r="U201" i="69"/>
  <c r="U197" i="69"/>
  <c r="R193" i="69"/>
  <c r="V193" i="69"/>
  <c r="U189" i="69"/>
  <c r="R185" i="69"/>
  <c r="U185" i="69"/>
  <c r="R112" i="69"/>
  <c r="U112" i="69"/>
  <c r="R108" i="69"/>
  <c r="V108" i="69"/>
  <c r="R101" i="69"/>
  <c r="V101" i="69"/>
  <c r="R258" i="69"/>
  <c r="U258" i="69"/>
  <c r="R93" i="69"/>
  <c r="U93" i="69"/>
  <c r="R85" i="69"/>
  <c r="U85" i="69"/>
  <c r="R177" i="69"/>
  <c r="U177" i="69"/>
  <c r="R168" i="69"/>
  <c r="S168" i="69"/>
  <c r="R164" i="69"/>
  <c r="U164" i="69"/>
  <c r="R160" i="69"/>
  <c r="U160" i="69"/>
  <c r="S156" i="69"/>
  <c r="R152" i="69"/>
  <c r="U152" i="69"/>
  <c r="R136" i="69"/>
  <c r="U136" i="69"/>
  <c r="R132" i="69"/>
  <c r="U132" i="69"/>
  <c r="R97" i="69"/>
  <c r="U97" i="69"/>
  <c r="R81" i="69"/>
  <c r="U81" i="69"/>
  <c r="R73" i="69"/>
  <c r="V73" i="69"/>
  <c r="K14" i="69"/>
  <c r="O14" i="69"/>
  <c r="R14" i="69"/>
  <c r="V14" i="69"/>
  <c r="K13" i="69"/>
  <c r="O13" i="69"/>
  <c r="R13" i="69"/>
  <c r="V13" i="69"/>
  <c r="P6" i="69"/>
  <c r="S6" i="69"/>
  <c r="T6" i="69"/>
  <c r="W6" i="69"/>
  <c r="X6" i="69"/>
  <c r="X26" i="72"/>
  <c r="W26" i="72"/>
  <c r="V26" i="72"/>
  <c r="U26" i="72"/>
  <c r="S26" i="72"/>
  <c r="P26" i="72"/>
  <c r="O26" i="72"/>
  <c r="X25" i="72"/>
  <c r="W25" i="72"/>
  <c r="V25" i="72"/>
  <c r="U25" i="72"/>
  <c r="S25" i="72"/>
  <c r="P25" i="72"/>
  <c r="O25" i="72"/>
  <c r="X24" i="72"/>
  <c r="W24" i="72"/>
  <c r="V24" i="72"/>
  <c r="U24" i="72"/>
  <c r="S24" i="72"/>
  <c r="P24" i="72"/>
  <c r="O24" i="72"/>
  <c r="R24" i="72"/>
  <c r="T24" i="72"/>
  <c r="X23" i="72"/>
  <c r="W23" i="72"/>
  <c r="V23" i="72"/>
  <c r="U23" i="72"/>
  <c r="S23" i="72"/>
  <c r="P23" i="72"/>
  <c r="R23" i="72"/>
  <c r="T23" i="72"/>
  <c r="O23" i="72"/>
  <c r="X22" i="72"/>
  <c r="V22" i="72"/>
  <c r="U22" i="72"/>
  <c r="T22" i="72"/>
  <c r="S22" i="72"/>
  <c r="P22" i="72"/>
  <c r="O22" i="72"/>
  <c r="X21" i="72"/>
  <c r="W21" i="72"/>
  <c r="U21" i="72"/>
  <c r="T21" i="72"/>
  <c r="S21" i="72"/>
  <c r="P21" i="72"/>
  <c r="O21" i="72"/>
  <c r="X20" i="72"/>
  <c r="V20" i="72"/>
  <c r="U20" i="72"/>
  <c r="T20" i="72"/>
  <c r="S20" i="72"/>
  <c r="P20" i="72"/>
  <c r="O20" i="72"/>
  <c r="X19" i="72"/>
  <c r="W19" i="72"/>
  <c r="U19" i="72"/>
  <c r="T19" i="72"/>
  <c r="S19" i="72"/>
  <c r="P19" i="72"/>
  <c r="O19" i="72"/>
  <c r="R19" i="72"/>
  <c r="V19" i="72"/>
  <c r="X18" i="72"/>
  <c r="W18" i="72"/>
  <c r="V18" i="72"/>
  <c r="T18" i="72"/>
  <c r="S18" i="72"/>
  <c r="P18" i="72"/>
  <c r="O18" i="72"/>
  <c r="X17" i="72"/>
  <c r="W17" i="72"/>
  <c r="V17" i="72"/>
  <c r="T17" i="72"/>
  <c r="S17" i="72"/>
  <c r="P17" i="72"/>
  <c r="R17" i="72"/>
  <c r="U17" i="72"/>
  <c r="O17" i="72"/>
  <c r="X16" i="72"/>
  <c r="W16" i="72"/>
  <c r="V16" i="72"/>
  <c r="T16" i="72"/>
  <c r="S16" i="72"/>
  <c r="P16" i="72"/>
  <c r="O16" i="72"/>
  <c r="X15" i="72"/>
  <c r="W15" i="72"/>
  <c r="V15" i="72"/>
  <c r="T15" i="72"/>
  <c r="S15" i="72"/>
  <c r="P15" i="72"/>
  <c r="O15" i="72"/>
  <c r="X14" i="72"/>
  <c r="W14" i="72"/>
  <c r="V14" i="72"/>
  <c r="T14" i="72"/>
  <c r="S14" i="72"/>
  <c r="P14" i="72"/>
  <c r="O14" i="72"/>
  <c r="X13" i="72"/>
  <c r="W13" i="72"/>
  <c r="V13" i="72"/>
  <c r="T13" i="72"/>
  <c r="S13" i="72"/>
  <c r="P13" i="72"/>
  <c r="O13" i="72"/>
  <c r="X12" i="72"/>
  <c r="W12" i="72"/>
  <c r="V12" i="72"/>
  <c r="T12" i="72"/>
  <c r="S12" i="72"/>
  <c r="P12" i="72"/>
  <c r="O12" i="72"/>
  <c r="X11" i="72"/>
  <c r="W11" i="72"/>
  <c r="V11" i="72"/>
  <c r="T11" i="72"/>
  <c r="S11" i="72"/>
  <c r="P11" i="72"/>
  <c r="R11" i="72"/>
  <c r="U11" i="72"/>
  <c r="O11" i="72"/>
  <c r="X10" i="72"/>
  <c r="W10" i="72"/>
  <c r="V10" i="72"/>
  <c r="T10" i="72"/>
  <c r="S10" i="72"/>
  <c r="P10" i="72"/>
  <c r="O10" i="72"/>
  <c r="X9" i="72"/>
  <c r="W9" i="72"/>
  <c r="V9" i="72"/>
  <c r="T9" i="72"/>
  <c r="S9" i="72"/>
  <c r="P9" i="72"/>
  <c r="O9" i="72"/>
  <c r="X8" i="72"/>
  <c r="W8" i="72"/>
  <c r="V8" i="72"/>
  <c r="T8" i="72"/>
  <c r="S8" i="72"/>
  <c r="P8" i="72"/>
  <c r="O8" i="72"/>
  <c r="X7" i="72"/>
  <c r="W7" i="72"/>
  <c r="V7" i="72"/>
  <c r="T7" i="72"/>
  <c r="S7" i="72"/>
  <c r="P7" i="72"/>
  <c r="O7" i="72"/>
  <c r="X6" i="72"/>
  <c r="W6" i="72"/>
  <c r="V6" i="72"/>
  <c r="T6" i="72"/>
  <c r="S6" i="72"/>
  <c r="P6" i="72"/>
  <c r="O6" i="72"/>
  <c r="X10" i="71"/>
  <c r="W10" i="71"/>
  <c r="V10" i="71"/>
  <c r="U10" i="71"/>
  <c r="T10" i="71"/>
  <c r="X9" i="71"/>
  <c r="W9" i="71"/>
  <c r="V9" i="71"/>
  <c r="U9" i="71"/>
  <c r="T9" i="71"/>
  <c r="P9" i="71"/>
  <c r="R9" i="71"/>
  <c r="S9" i="71"/>
  <c r="X8" i="71"/>
  <c r="X11" i="71"/>
  <c r="X13" i="71"/>
  <c r="X14" i="71"/>
  <c r="W8" i="71"/>
  <c r="V8" i="71"/>
  <c r="U8" i="71"/>
  <c r="T8" i="71"/>
  <c r="X7" i="71"/>
  <c r="W7" i="71"/>
  <c r="V7" i="71"/>
  <c r="U7" i="71"/>
  <c r="T7" i="71"/>
  <c r="P7" i="71"/>
  <c r="R7" i="71"/>
  <c r="S7" i="71"/>
  <c r="X6" i="71"/>
  <c r="W6" i="71"/>
  <c r="U6" i="71"/>
  <c r="T6" i="71"/>
  <c r="S6" i="71"/>
  <c r="P6" i="71"/>
  <c r="R6" i="71"/>
  <c r="V6" i="71"/>
  <c r="X10" i="70"/>
  <c r="W10" i="70"/>
  <c r="V10" i="70"/>
  <c r="U10" i="70"/>
  <c r="T10" i="70"/>
  <c r="S10" i="70"/>
  <c r="R10" i="70"/>
  <c r="X9" i="70"/>
  <c r="W9" i="70"/>
  <c r="V9" i="70"/>
  <c r="T9" i="70"/>
  <c r="S9" i="70"/>
  <c r="O9" i="70"/>
  <c r="X8" i="70"/>
  <c r="W8" i="70"/>
  <c r="W11" i="70"/>
  <c r="W13" i="70"/>
  <c r="W14" i="70"/>
  <c r="V8" i="70"/>
  <c r="T8" i="70"/>
  <c r="S8" i="70"/>
  <c r="O8" i="70"/>
  <c r="R8" i="70"/>
  <c r="U8" i="70"/>
  <c r="X7" i="70"/>
  <c r="W7" i="70"/>
  <c r="V7" i="70"/>
  <c r="T7" i="70"/>
  <c r="T11" i="70"/>
  <c r="T13" i="70"/>
  <c r="T14" i="70"/>
  <c r="S7" i="70"/>
  <c r="P7" i="70"/>
  <c r="O7" i="70"/>
  <c r="R7" i="70"/>
  <c r="U7" i="70"/>
  <c r="U11" i="70"/>
  <c r="U13" i="70"/>
  <c r="U14" i="70"/>
  <c r="K47" i="69"/>
  <c r="O47" i="69"/>
  <c r="R47" i="69"/>
  <c r="U47" i="69"/>
  <c r="K17" i="69"/>
  <c r="O17" i="69"/>
  <c r="R17" i="69"/>
  <c r="V17" i="69"/>
  <c r="O6" i="69"/>
  <c r="F5" i="16"/>
  <c r="H5" i="16"/>
  <c r="H10" i="16"/>
  <c r="J10" i="16"/>
  <c r="J555" i="16"/>
  <c r="G5" i="16"/>
  <c r="F6" i="16"/>
  <c r="F7" i="16"/>
  <c r="G7" i="16"/>
  <c r="G8" i="16"/>
  <c r="H8" i="16"/>
  <c r="F9" i="16"/>
  <c r="H9" i="16"/>
  <c r="G9" i="16"/>
  <c r="F12" i="16"/>
  <c r="H12" i="16"/>
  <c r="F13" i="16"/>
  <c r="H13" i="16"/>
  <c r="F14" i="16"/>
  <c r="G14" i="16"/>
  <c r="G15" i="16"/>
  <c r="H15" i="16"/>
  <c r="F16" i="16"/>
  <c r="H16" i="16"/>
  <c r="F19" i="16"/>
  <c r="F20" i="16"/>
  <c r="G19" i="16"/>
  <c r="F22" i="16"/>
  <c r="F23" i="16"/>
  <c r="G22" i="16"/>
  <c r="F25" i="16"/>
  <c r="G25" i="16"/>
  <c r="F26" i="16"/>
  <c r="G26" i="16"/>
  <c r="F27" i="16"/>
  <c r="G27" i="16"/>
  <c r="G28" i="16"/>
  <c r="H28" i="16"/>
  <c r="F29" i="16"/>
  <c r="H29" i="16"/>
  <c r="G29" i="16"/>
  <c r="F33" i="16"/>
  <c r="G33" i="16"/>
  <c r="F34" i="16"/>
  <c r="G34" i="16"/>
  <c r="F35" i="16"/>
  <c r="G35" i="16"/>
  <c r="G36" i="16"/>
  <c r="H36" i="16"/>
  <c r="F37" i="16"/>
  <c r="H37" i="16"/>
  <c r="G37" i="16"/>
  <c r="F40" i="16"/>
  <c r="F41" i="16"/>
  <c r="G40" i="16"/>
  <c r="F43" i="16"/>
  <c r="H43" i="16"/>
  <c r="H44" i="16"/>
  <c r="J44" i="16"/>
  <c r="G44" i="16"/>
  <c r="F47" i="16"/>
  <c r="G47" i="16"/>
  <c r="G52" i="16"/>
  <c r="F48" i="16"/>
  <c r="H48" i="16"/>
  <c r="G48" i="16"/>
  <c r="F49" i="16"/>
  <c r="G49" i="16"/>
  <c r="G50" i="16"/>
  <c r="H50" i="16"/>
  <c r="F51" i="16"/>
  <c r="H51" i="16"/>
  <c r="G51" i="16"/>
  <c r="F54" i="16"/>
  <c r="F55" i="16"/>
  <c r="F56" i="16"/>
  <c r="F58" i="16"/>
  <c r="F59" i="16"/>
  <c r="G54" i="16"/>
  <c r="H55" i="16"/>
  <c r="G56" i="16"/>
  <c r="G57" i="16"/>
  <c r="H57" i="16"/>
  <c r="H58" i="16"/>
  <c r="F61" i="16"/>
  <c r="F62" i="16"/>
  <c r="G61" i="16"/>
  <c r="G62" i="16"/>
  <c r="F64" i="16"/>
  <c r="G65" i="16"/>
  <c r="F68" i="16"/>
  <c r="G68" i="16"/>
  <c r="F69" i="16"/>
  <c r="H69" i="16"/>
  <c r="F70" i="16"/>
  <c r="G70" i="16"/>
  <c r="G71" i="16"/>
  <c r="H71" i="16"/>
  <c r="F72" i="16"/>
  <c r="H72" i="16"/>
  <c r="F75" i="16"/>
  <c r="G75" i="16"/>
  <c r="F76" i="16"/>
  <c r="H76" i="16"/>
  <c r="G76" i="16"/>
  <c r="F77" i="16"/>
  <c r="G77" i="16"/>
  <c r="G78" i="16"/>
  <c r="H78" i="16"/>
  <c r="F79" i="16"/>
  <c r="G79" i="16"/>
  <c r="F82" i="16"/>
  <c r="F83" i="16"/>
  <c r="H83" i="16"/>
  <c r="G84" i="16"/>
  <c r="F86" i="16"/>
  <c r="H86" i="16"/>
  <c r="F87" i="16"/>
  <c r="H87" i="16"/>
  <c r="F88" i="16"/>
  <c r="H88" i="16"/>
  <c r="G89" i="16"/>
  <c r="F92" i="16"/>
  <c r="H92" i="16"/>
  <c r="F93" i="16"/>
  <c r="H93" i="16"/>
  <c r="H95" i="16"/>
  <c r="J95" i="16"/>
  <c r="G93" i="16"/>
  <c r="F94" i="16"/>
  <c r="G94" i="16"/>
  <c r="F97" i="16"/>
  <c r="H97" i="16"/>
  <c r="F98" i="16"/>
  <c r="H98" i="16"/>
  <c r="H101" i="16"/>
  <c r="J101" i="16"/>
  <c r="G98" i="16"/>
  <c r="G101" i="16"/>
  <c r="F99" i="16"/>
  <c r="H99" i="16"/>
  <c r="G99" i="16"/>
  <c r="G100" i="16"/>
  <c r="H100" i="16"/>
  <c r="F103" i="16"/>
  <c r="F104" i="16"/>
  <c r="G104" i="16"/>
  <c r="F106" i="16"/>
  <c r="F107" i="16"/>
  <c r="G107" i="16"/>
  <c r="G108" i="16"/>
  <c r="H108" i="16"/>
  <c r="F112" i="16"/>
  <c r="G112" i="16"/>
  <c r="G117" i="16"/>
  <c r="F113" i="16"/>
  <c r="H113" i="16"/>
  <c r="F114" i="16"/>
  <c r="H114" i="16"/>
  <c r="G114" i="16"/>
  <c r="G115" i="16"/>
  <c r="H115" i="16"/>
  <c r="F116" i="16"/>
  <c r="H116" i="16"/>
  <c r="G116" i="16"/>
  <c r="F119" i="16"/>
  <c r="G120" i="16"/>
  <c r="H120" i="16"/>
  <c r="F121" i="16"/>
  <c r="H121" i="16"/>
  <c r="G121" i="16"/>
  <c r="F124" i="16"/>
  <c r="H124" i="16"/>
  <c r="H128" i="16"/>
  <c r="J128" i="16"/>
  <c r="G124" i="16"/>
  <c r="F125" i="16"/>
  <c r="G125" i="16"/>
  <c r="F126" i="16"/>
  <c r="G126" i="16"/>
  <c r="G127" i="16"/>
  <c r="H127" i="16"/>
  <c r="F130" i="16"/>
  <c r="H130" i="16"/>
  <c r="F131" i="16"/>
  <c r="H131" i="16"/>
  <c r="F132" i="16"/>
  <c r="F134" i="16"/>
  <c r="G132" i="16"/>
  <c r="G133" i="16"/>
  <c r="H133" i="16"/>
  <c r="F136" i="16"/>
  <c r="G136" i="16"/>
  <c r="F137" i="16"/>
  <c r="H137" i="16"/>
  <c r="F138" i="16"/>
  <c r="H138" i="16"/>
  <c r="G138" i="16"/>
  <c r="G139" i="16"/>
  <c r="H139" i="16"/>
  <c r="F142" i="16"/>
  <c r="F144" i="16"/>
  <c r="G143" i="16"/>
  <c r="F146" i="16"/>
  <c r="H146" i="16"/>
  <c r="F147" i="16"/>
  <c r="F149" i="16"/>
  <c r="G147" i="16"/>
  <c r="G148" i="16"/>
  <c r="H148" i="16"/>
  <c r="F151" i="16"/>
  <c r="F153" i="16"/>
  <c r="G152" i="16"/>
  <c r="G153" i="16"/>
  <c r="F155" i="16"/>
  <c r="G156" i="16"/>
  <c r="H156" i="16"/>
  <c r="F159" i="16"/>
  <c r="F161" i="16"/>
  <c r="G160" i="16"/>
  <c r="G161" i="16"/>
  <c r="F164" i="16"/>
  <c r="G164" i="16"/>
  <c r="F165" i="16"/>
  <c r="H165" i="16"/>
  <c r="F168" i="16"/>
  <c r="H168" i="16"/>
  <c r="H170" i="16"/>
  <c r="J170" i="16"/>
  <c r="G168" i="16"/>
  <c r="G170" i="16"/>
  <c r="F169" i="16"/>
  <c r="G172" i="16"/>
  <c r="G173" i="16"/>
  <c r="F173" i="16"/>
  <c r="F175" i="16"/>
  <c r="F176" i="16"/>
  <c r="G175" i="16"/>
  <c r="G176" i="16"/>
  <c r="F179" i="16"/>
  <c r="H179" i="16"/>
  <c r="F180" i="16"/>
  <c r="H180" i="16"/>
  <c r="G180" i="16"/>
  <c r="G182" i="16"/>
  <c r="F181" i="16"/>
  <c r="H181" i="16"/>
  <c r="G181" i="16"/>
  <c r="F184" i="16"/>
  <c r="H184" i="16"/>
  <c r="F185" i="16"/>
  <c r="H185" i="16"/>
  <c r="G186" i="16"/>
  <c r="H186" i="16"/>
  <c r="F189" i="16"/>
  <c r="H189" i="16"/>
  <c r="H190" i="16"/>
  <c r="J190" i="16"/>
  <c r="G190" i="16"/>
  <c r="F192" i="16"/>
  <c r="H192" i="16"/>
  <c r="H194" i="16"/>
  <c r="J194" i="16"/>
  <c r="G192" i="16"/>
  <c r="G194" i="16"/>
  <c r="G193" i="16"/>
  <c r="H193" i="16"/>
  <c r="F196" i="16"/>
  <c r="H196" i="16"/>
  <c r="F197" i="16"/>
  <c r="H197" i="16"/>
  <c r="G198" i="16"/>
  <c r="H198" i="16"/>
  <c r="F202" i="16"/>
  <c r="H202" i="16"/>
  <c r="F203" i="16"/>
  <c r="H203" i="16"/>
  <c r="F204" i="16"/>
  <c r="H204" i="16"/>
  <c r="H206" i="16"/>
  <c r="J206" i="16"/>
  <c r="G204" i="16"/>
  <c r="F205" i="16"/>
  <c r="G205" i="16"/>
  <c r="F208" i="16"/>
  <c r="H208" i="16"/>
  <c r="F209" i="16"/>
  <c r="H209" i="16"/>
  <c r="F210" i="16"/>
  <c r="G210" i="16"/>
  <c r="F211" i="16"/>
  <c r="H211" i="16"/>
  <c r="G211" i="16"/>
  <c r="F214" i="16"/>
  <c r="H214" i="16"/>
  <c r="H215" i="16"/>
  <c r="J215" i="16"/>
  <c r="G215" i="16"/>
  <c r="F217" i="16"/>
  <c r="H217" i="16"/>
  <c r="F218" i="16"/>
  <c r="H218" i="16"/>
  <c r="F219" i="16"/>
  <c r="G219" i="16"/>
  <c r="F220" i="16"/>
  <c r="G220" i="16"/>
  <c r="F223" i="16"/>
  <c r="F224" i="16"/>
  <c r="G224" i="16"/>
  <c r="F226" i="16"/>
  <c r="H226" i="16"/>
  <c r="F227" i="16"/>
  <c r="H227" i="16"/>
  <c r="G228" i="16"/>
  <c r="F230" i="16"/>
  <c r="G231" i="16"/>
  <c r="F233" i="16"/>
  <c r="H233" i="16"/>
  <c r="H234" i="16"/>
  <c r="J234" i="16"/>
  <c r="G234" i="16"/>
  <c r="F236" i="16"/>
  <c r="F237" i="16"/>
  <c r="G236" i="16"/>
  <c r="F239" i="16"/>
  <c r="H239" i="16"/>
  <c r="H240" i="16"/>
  <c r="J240" i="16"/>
  <c r="G240" i="16"/>
  <c r="F242" i="16"/>
  <c r="F243" i="16"/>
  <c r="G242" i="16"/>
  <c r="G243" i="16"/>
  <c r="F245" i="16"/>
  <c r="F246" i="16"/>
  <c r="G245" i="16"/>
  <c r="F248" i="16"/>
  <c r="F249" i="16"/>
  <c r="G248" i="16"/>
  <c r="G249" i="16"/>
  <c r="F251" i="16"/>
  <c r="F253" i="16"/>
  <c r="G251" i="16"/>
  <c r="G252" i="16"/>
  <c r="H252" i="16"/>
  <c r="F256" i="16"/>
  <c r="G256" i="16"/>
  <c r="F257" i="16"/>
  <c r="F258" i="16"/>
  <c r="F260" i="16"/>
  <c r="G257" i="16"/>
  <c r="G258" i="16"/>
  <c r="G259" i="16"/>
  <c r="H259" i="16"/>
  <c r="F262" i="16"/>
  <c r="F263" i="16"/>
  <c r="G262" i="16"/>
  <c r="G263" i="16"/>
  <c r="F265" i="16"/>
  <c r="H265" i="16"/>
  <c r="F266" i="16"/>
  <c r="H266" i="16"/>
  <c r="G267" i="16"/>
  <c r="F269" i="16"/>
  <c r="H269" i="16"/>
  <c r="F270" i="16"/>
  <c r="G271" i="16"/>
  <c r="F273" i="16"/>
  <c r="F274" i="16"/>
  <c r="G273" i="16"/>
  <c r="G274" i="16"/>
  <c r="F276" i="16"/>
  <c r="G276" i="16"/>
  <c r="F277" i="16"/>
  <c r="F278" i="16"/>
  <c r="F280" i="16"/>
  <c r="G277" i="16"/>
  <c r="G278" i="16"/>
  <c r="G279" i="16"/>
  <c r="H279" i="16"/>
  <c r="F283" i="16"/>
  <c r="H283" i="16"/>
  <c r="H286" i="16"/>
  <c r="J286" i="16"/>
  <c r="G283" i="16"/>
  <c r="F284" i="16"/>
  <c r="H284" i="16"/>
  <c r="F285" i="16"/>
  <c r="H285" i="16"/>
  <c r="F288" i="16"/>
  <c r="F289" i="16"/>
  <c r="G289" i="16"/>
  <c r="G293" i="16"/>
  <c r="F290" i="16"/>
  <c r="G290" i="16"/>
  <c r="G291" i="16"/>
  <c r="H291" i="16"/>
  <c r="F292" i="16"/>
  <c r="G292" i="16"/>
  <c r="F295" i="16"/>
  <c r="H295" i="16"/>
  <c r="H300" i="16"/>
  <c r="J300" i="16"/>
  <c r="G295" i="16"/>
  <c r="G300" i="16"/>
  <c r="F296" i="16"/>
  <c r="H296" i="16"/>
  <c r="F297" i="16"/>
  <c r="H297" i="16"/>
  <c r="G297" i="16"/>
  <c r="G298" i="16"/>
  <c r="H298" i="16"/>
  <c r="F299" i="16"/>
  <c r="G299" i="16"/>
  <c r="F302" i="16"/>
  <c r="H302" i="16"/>
  <c r="F303" i="16"/>
  <c r="F304" i="16"/>
  <c r="F307" i="16"/>
  <c r="G304" i="16"/>
  <c r="G307" i="16"/>
  <c r="G305" i="16"/>
  <c r="H305" i="16"/>
  <c r="G306" i="16"/>
  <c r="H306" i="16"/>
  <c r="F309" i="16"/>
  <c r="H309" i="16"/>
  <c r="H312" i="16"/>
  <c r="J312" i="16"/>
  <c r="G310" i="16"/>
  <c r="G312" i="16"/>
  <c r="G311" i="16"/>
  <c r="H311" i="16"/>
  <c r="F314" i="16"/>
  <c r="H314" i="16"/>
  <c r="F315" i="16"/>
  <c r="H315" i="16"/>
  <c r="F316" i="16"/>
  <c r="G316" i="16"/>
  <c r="G317" i="16"/>
  <c r="F319" i="16"/>
  <c r="H319" i="16"/>
  <c r="F320" i="16"/>
  <c r="G320" i="16"/>
  <c r="F321" i="16"/>
  <c r="G321" i="16"/>
  <c r="F325" i="16"/>
  <c r="F326" i="16"/>
  <c r="G326" i="16"/>
  <c r="F328" i="16"/>
  <c r="F329" i="16"/>
  <c r="G329" i="16"/>
  <c r="F331" i="16"/>
  <c r="G331" i="16"/>
  <c r="G332" i="16"/>
  <c r="F334" i="16"/>
  <c r="H334" i="16"/>
  <c r="F335" i="16"/>
  <c r="F337" i="16"/>
  <c r="G335" i="16"/>
  <c r="G336" i="16"/>
  <c r="H336" i="16"/>
  <c r="F339" i="16"/>
  <c r="H339" i="16"/>
  <c r="H340" i="16"/>
  <c r="J340" i="16"/>
  <c r="G340" i="16"/>
  <c r="F342" i="16"/>
  <c r="F344" i="16"/>
  <c r="G342" i="16"/>
  <c r="G344" i="16"/>
  <c r="G343" i="16"/>
  <c r="H343" i="16"/>
  <c r="F346" i="16"/>
  <c r="F347" i="16"/>
  <c r="G347" i="16"/>
  <c r="G349" i="16"/>
  <c r="G350" i="16"/>
  <c r="F350" i="16"/>
  <c r="G352" i="16"/>
  <c r="F353" i="16"/>
  <c r="G356" i="16"/>
  <c r="H356" i="16"/>
  <c r="H357" i="16"/>
  <c r="J357" i="16"/>
  <c r="F357" i="16"/>
  <c r="G359" i="16"/>
  <c r="H359" i="16"/>
  <c r="H360" i="16"/>
  <c r="J360" i="16"/>
  <c r="F360" i="16"/>
  <c r="F362" i="16"/>
  <c r="G362" i="16"/>
  <c r="G363" i="16"/>
  <c r="F365" i="16"/>
  <c r="F367" i="16"/>
  <c r="G365" i="16"/>
  <c r="G367" i="16"/>
  <c r="G366" i="16"/>
  <c r="H366" i="16"/>
  <c r="F369" i="16"/>
  <c r="F370" i="16"/>
  <c r="G369" i="16"/>
  <c r="G370" i="16"/>
  <c r="H372" i="16"/>
  <c r="G373" i="16"/>
  <c r="G374" i="16"/>
  <c r="F374" i="16"/>
  <c r="F376" i="16"/>
  <c r="H376" i="16"/>
  <c r="F377" i="16"/>
  <c r="H377" i="16"/>
  <c r="H378" i="16"/>
  <c r="J378" i="16"/>
  <c r="G378" i="16"/>
  <c r="F380" i="16"/>
  <c r="F381" i="16"/>
  <c r="G380" i="16"/>
  <c r="G381" i="16"/>
  <c r="G383" i="16"/>
  <c r="H383" i="16"/>
  <c r="H384" i="16"/>
  <c r="J384" i="16"/>
  <c r="F384" i="16"/>
  <c r="G386" i="16"/>
  <c r="H386" i="16"/>
  <c r="H387" i="16"/>
  <c r="J387" i="16"/>
  <c r="F387" i="16"/>
  <c r="F389" i="16"/>
  <c r="F391" i="16"/>
  <c r="G389" i="16"/>
  <c r="G391" i="16"/>
  <c r="G390" i="16"/>
  <c r="H390" i="16"/>
  <c r="G393" i="16"/>
  <c r="H393" i="16"/>
  <c r="H394" i="16"/>
  <c r="J394" i="16"/>
  <c r="F394" i="16"/>
  <c r="G396" i="16"/>
  <c r="H396" i="16"/>
  <c r="H398" i="16"/>
  <c r="J398" i="16"/>
  <c r="G397" i="16"/>
  <c r="H397" i="16"/>
  <c r="F398" i="16"/>
  <c r="F400" i="16"/>
  <c r="F402" i="16"/>
  <c r="G401" i="16"/>
  <c r="G402" i="16"/>
  <c r="F404" i="16"/>
  <c r="G404" i="16"/>
  <c r="G407" i="16"/>
  <c r="F405" i="16"/>
  <c r="G405" i="16"/>
  <c r="G406" i="16"/>
  <c r="H406" i="16"/>
  <c r="G409" i="16"/>
  <c r="H409" i="16"/>
  <c r="H411" i="16"/>
  <c r="J411" i="16"/>
  <c r="G410" i="16"/>
  <c r="H410" i="16"/>
  <c r="F411" i="16"/>
  <c r="G413" i="16"/>
  <c r="G415" i="16"/>
  <c r="G414" i="16"/>
  <c r="H414" i="16"/>
  <c r="F415" i="16"/>
  <c r="G417" i="16"/>
  <c r="F418" i="16"/>
  <c r="F420" i="16"/>
  <c r="G418" i="16"/>
  <c r="G419" i="16"/>
  <c r="H419" i="16"/>
  <c r="G422" i="16"/>
  <c r="H422" i="16"/>
  <c r="H423" i="16"/>
  <c r="J423" i="16"/>
  <c r="G423" i="16"/>
  <c r="F423" i="16"/>
  <c r="F425" i="16"/>
  <c r="H425" i="16"/>
  <c r="F426" i="16"/>
  <c r="H426" i="16"/>
  <c r="H427" i="16"/>
  <c r="G427" i="16"/>
  <c r="F429" i="16"/>
  <c r="H429" i="16"/>
  <c r="H430" i="16"/>
  <c r="G430" i="16"/>
  <c r="F432" i="16"/>
  <c r="H432" i="16"/>
  <c r="F433" i="16"/>
  <c r="H433" i="16"/>
  <c r="G434" i="16"/>
  <c r="F436" i="16"/>
  <c r="H436" i="16"/>
  <c r="F437" i="16"/>
  <c r="H437" i="16"/>
  <c r="F438" i="16"/>
  <c r="G438" i="16"/>
  <c r="F441" i="16"/>
  <c r="F442" i="16"/>
  <c r="G442" i="16"/>
  <c r="F444" i="16"/>
  <c r="H444" i="16"/>
  <c r="F445" i="16"/>
  <c r="H445" i="16"/>
  <c r="G446" i="16"/>
  <c r="F448" i="16"/>
  <c r="H448" i="16"/>
  <c r="F449" i="16"/>
  <c r="H449" i="16"/>
  <c r="G450" i="16"/>
  <c r="F452" i="16"/>
  <c r="F453" i="16"/>
  <c r="G453" i="16"/>
  <c r="F455" i="16"/>
  <c r="H455" i="16"/>
  <c r="F456" i="16"/>
  <c r="H456" i="16"/>
  <c r="G457" i="16"/>
  <c r="F459" i="16"/>
  <c r="H459" i="16"/>
  <c r="F460" i="16"/>
  <c r="H460" i="16"/>
  <c r="G461" i="16"/>
  <c r="F463" i="16"/>
  <c r="H463" i="16"/>
  <c r="H464" i="16"/>
  <c r="J464" i="16"/>
  <c r="G464" i="16"/>
  <c r="F466" i="16"/>
  <c r="F467" i="16"/>
  <c r="G467" i="16"/>
  <c r="F469" i="16"/>
  <c r="F470" i="16"/>
  <c r="G470" i="16"/>
  <c r="F472" i="16"/>
  <c r="F473" i="16"/>
  <c r="F474" i="16"/>
  <c r="G472" i="16"/>
  <c r="G474" i="16"/>
  <c r="G473" i="16"/>
  <c r="F476" i="16"/>
  <c r="H476" i="16"/>
  <c r="H477" i="16"/>
  <c r="G477" i="16"/>
  <c r="F479" i="16"/>
  <c r="F480" i="16"/>
  <c r="G479" i="16"/>
  <c r="F482" i="16"/>
  <c r="H482" i="16"/>
  <c r="H484" i="16"/>
  <c r="J484" i="16"/>
  <c r="G482" i="16"/>
  <c r="G484" i="16"/>
  <c r="F483" i="16"/>
  <c r="F484" i="16"/>
  <c r="F486" i="16"/>
  <c r="F487" i="16"/>
  <c r="G486" i="16"/>
  <c r="G487" i="16"/>
  <c r="F489" i="16"/>
  <c r="F490" i="16"/>
  <c r="G489" i="16"/>
  <c r="G490" i="16"/>
  <c r="F492" i="16"/>
  <c r="F493" i="16"/>
  <c r="G492" i="16"/>
  <c r="F495" i="16"/>
  <c r="F496" i="16"/>
  <c r="G495" i="16"/>
  <c r="G496" i="16"/>
  <c r="F498" i="16"/>
  <c r="H498" i="16"/>
  <c r="F499" i="16"/>
  <c r="G499" i="16"/>
  <c r="G501" i="16"/>
  <c r="G500" i="16"/>
  <c r="H500" i="16"/>
  <c r="F503" i="16"/>
  <c r="F504" i="16"/>
  <c r="G503" i="16"/>
  <c r="G504" i="16"/>
  <c r="F506" i="16"/>
  <c r="F507" i="16"/>
  <c r="G506" i="16"/>
  <c r="G509" i="16"/>
  <c r="H509" i="16"/>
  <c r="H511" i="16"/>
  <c r="J511" i="16"/>
  <c r="F510" i="16"/>
  <c r="F511" i="16"/>
  <c r="G513" i="16"/>
  <c r="H513" i="16"/>
  <c r="H515" i="16"/>
  <c r="J515" i="16"/>
  <c r="F514" i="16"/>
  <c r="H514" i="16"/>
  <c r="G517" i="16"/>
  <c r="G519" i="16"/>
  <c r="H517" i="16"/>
  <c r="H519" i="16"/>
  <c r="J519" i="16"/>
  <c r="F518" i="16"/>
  <c r="F519" i="16"/>
  <c r="F521" i="16"/>
  <c r="H521" i="16"/>
  <c r="H522" i="16"/>
  <c r="J522" i="16"/>
  <c r="G522" i="16"/>
  <c r="F524" i="16"/>
  <c r="F525" i="16"/>
  <c r="G525" i="16"/>
  <c r="F527" i="16"/>
  <c r="H527" i="16"/>
  <c r="H528" i="16"/>
  <c r="J528" i="16"/>
  <c r="G528" i="16"/>
  <c r="G530" i="16"/>
  <c r="H530" i="16"/>
  <c r="H531" i="16"/>
  <c r="J531" i="16"/>
  <c r="F531" i="16"/>
  <c r="G533" i="16"/>
  <c r="H533" i="16"/>
  <c r="H534" i="16"/>
  <c r="J534" i="16"/>
  <c r="G534" i="16"/>
  <c r="F534" i="16"/>
  <c r="G536" i="16"/>
  <c r="H536" i="16"/>
  <c r="H537" i="16"/>
  <c r="J537" i="16"/>
  <c r="F537" i="16"/>
  <c r="G539" i="16"/>
  <c r="H539" i="16"/>
  <c r="H541" i="16"/>
  <c r="J541" i="16"/>
  <c r="G540" i="16"/>
  <c r="H540" i="16"/>
  <c r="F541" i="16"/>
  <c r="G543" i="16"/>
  <c r="H543" i="16"/>
  <c r="H544" i="16"/>
  <c r="J544" i="16"/>
  <c r="F544" i="16"/>
  <c r="G546" i="16"/>
  <c r="G547" i="16"/>
  <c r="F547" i="16"/>
  <c r="G549" i="16"/>
  <c r="H549" i="16"/>
  <c r="H550" i="16"/>
  <c r="J550" i="16"/>
  <c r="F550" i="16"/>
  <c r="G552" i="16"/>
  <c r="H552" i="16"/>
  <c r="H553" i="16"/>
  <c r="J553" i="16"/>
  <c r="F553" i="16"/>
  <c r="J556" i="16"/>
  <c r="G212" i="16"/>
  <c r="G95" i="16"/>
  <c r="H310" i="16"/>
  <c r="G511" i="16"/>
  <c r="G166" i="16"/>
  <c r="G20" i="16"/>
  <c r="H373" i="16"/>
  <c r="H374" i="16"/>
  <c r="J374" i="16"/>
  <c r="H172" i="16"/>
  <c r="H173" i="16"/>
  <c r="J173" i="16"/>
  <c r="R10" i="72"/>
  <c r="U10" i="72"/>
  <c r="R13" i="72"/>
  <c r="U13" i="72"/>
  <c r="R15" i="72"/>
  <c r="U15" i="72"/>
  <c r="G384" i="16"/>
  <c r="R26" i="72"/>
  <c r="T26" i="72"/>
  <c r="G550" i="16"/>
  <c r="G537" i="16"/>
  <c r="G187" i="16"/>
  <c r="R6" i="72"/>
  <c r="U6" i="72"/>
  <c r="R20" i="72"/>
  <c r="W20" i="72"/>
  <c r="W28" i="72"/>
  <c r="W30" i="72"/>
  <c r="W31" i="72"/>
  <c r="R25" i="72"/>
  <c r="T25" i="72"/>
  <c r="R9" i="72"/>
  <c r="U9" i="72"/>
  <c r="R18" i="72"/>
  <c r="U18" i="72"/>
  <c r="S11" i="70"/>
  <c r="X11" i="70"/>
  <c r="X13" i="70"/>
  <c r="X14" i="70"/>
  <c r="U11" i="71"/>
  <c r="G140" i="16"/>
  <c r="G253" i="16"/>
  <c r="G411" i="16"/>
  <c r="G439" i="16"/>
  <c r="V11" i="70"/>
  <c r="V13" i="70"/>
  <c r="V14" i="70"/>
  <c r="K9" i="68"/>
  <c r="L9" i="68"/>
  <c r="R7" i="72"/>
  <c r="U7" i="72"/>
  <c r="R22" i="72"/>
  <c r="W22" i="72"/>
  <c r="V11" i="71"/>
  <c r="V13" i="71"/>
  <c r="V14" i="71"/>
  <c r="R14" i="72"/>
  <c r="U14" i="72"/>
  <c r="R16" i="72"/>
  <c r="U16" i="72"/>
  <c r="R9" i="70"/>
  <c r="U9" i="70"/>
  <c r="G544" i="16"/>
  <c r="G360" i="16"/>
  <c r="G353" i="16"/>
  <c r="H352" i="16"/>
  <c r="H353" i="16"/>
  <c r="J353" i="16"/>
  <c r="G337" i="16"/>
  <c r="G286" i="16"/>
  <c r="H160" i="16"/>
  <c r="G109" i="16"/>
  <c r="G80" i="16"/>
  <c r="G493" i="16"/>
  <c r="G221" i="16"/>
  <c r="G128" i="16"/>
  <c r="G41" i="16"/>
  <c r="G23" i="16"/>
  <c r="R6" i="69"/>
  <c r="H152" i="16"/>
  <c r="G531" i="16"/>
  <c r="H401" i="16"/>
  <c r="G322" i="16"/>
  <c r="G134" i="16"/>
  <c r="G30" i="16"/>
  <c r="G10" i="16"/>
  <c r="U13" i="71"/>
  <c r="U14" i="71"/>
  <c r="S13" i="70"/>
  <c r="S14" i="70"/>
  <c r="E8" i="79"/>
  <c r="E9" i="79"/>
  <c r="E13" i="79"/>
  <c r="E18" i="79"/>
  <c r="V6" i="69"/>
  <c r="U6" i="69"/>
  <c r="F8" i="79"/>
  <c r="F9" i="79"/>
  <c r="F13" i="79"/>
  <c r="G8" i="79"/>
  <c r="G9" i="79"/>
  <c r="G13" i="79"/>
  <c r="G14" i="79"/>
  <c r="N103" i="78"/>
  <c r="O103" i="78"/>
  <c r="G199" i="16"/>
  <c r="N97" i="78"/>
  <c r="O97" i="78"/>
  <c r="G398" i="16"/>
  <c r="N33" i="78"/>
  <c r="O33" i="78"/>
  <c r="N34" i="78"/>
  <c r="O34" i="78"/>
  <c r="O58" i="77"/>
  <c r="P58" i="77"/>
  <c r="O57" i="77"/>
  <c r="P57" i="77"/>
  <c r="O56" i="77"/>
  <c r="P56" i="77"/>
  <c r="O55" i="77"/>
  <c r="P55" i="77"/>
  <c r="O54" i="77"/>
  <c r="P54" i="77"/>
  <c r="O53" i="77"/>
  <c r="P53" i="77"/>
  <c r="O52" i="77"/>
  <c r="P52" i="77"/>
  <c r="O51" i="77"/>
  <c r="P51" i="77"/>
  <c r="O50" i="77"/>
  <c r="P50" i="77"/>
  <c r="O49" i="77"/>
  <c r="P49" i="77"/>
  <c r="O48" i="77"/>
  <c r="P48" i="77"/>
  <c r="O47" i="77"/>
  <c r="P47" i="77"/>
  <c r="O46" i="77"/>
  <c r="P46" i="77"/>
  <c r="O45" i="77"/>
  <c r="P45" i="77"/>
  <c r="O44" i="77"/>
  <c r="P44" i="77"/>
  <c r="O43" i="77"/>
  <c r="P43" i="77"/>
  <c r="O42" i="77"/>
  <c r="P42" i="77"/>
  <c r="O41" i="77"/>
  <c r="P41" i="77"/>
  <c r="O40" i="77"/>
  <c r="P40" i="77"/>
  <c r="O39" i="77"/>
  <c r="P39" i="77"/>
  <c r="O38" i="77"/>
  <c r="P38" i="77"/>
  <c r="O37" i="77"/>
  <c r="P37" i="77"/>
  <c r="O36" i="77"/>
  <c r="P36" i="77"/>
  <c r="O32" i="77"/>
  <c r="P32" i="77"/>
  <c r="O31" i="77"/>
  <c r="P31" i="77"/>
  <c r="O29" i="77"/>
  <c r="P29" i="77"/>
  <c r="O28" i="77"/>
  <c r="P28" i="77"/>
  <c r="O25" i="77"/>
  <c r="P25" i="77"/>
  <c r="O24" i="77"/>
  <c r="P24" i="77"/>
  <c r="O22" i="77"/>
  <c r="P22" i="77"/>
  <c r="O21" i="77"/>
  <c r="P21" i="77"/>
  <c r="O19" i="77"/>
  <c r="P19" i="77"/>
  <c r="O18" i="77"/>
  <c r="P18" i="77"/>
  <c r="O16" i="77"/>
  <c r="P16" i="77"/>
  <c r="O15" i="77"/>
  <c r="P15" i="77"/>
  <c r="O13" i="77"/>
  <c r="P13" i="77"/>
  <c r="O12" i="77"/>
  <c r="P12" i="77"/>
  <c r="O9" i="77"/>
  <c r="P9" i="77"/>
  <c r="O8" i="77"/>
  <c r="P8" i="77"/>
  <c r="I409" i="83"/>
  <c r="I386" i="83"/>
  <c r="H22" i="16"/>
  <c r="H23" i="16"/>
  <c r="J23" i="16"/>
  <c r="H40" i="16"/>
  <c r="H41" i="16"/>
  <c r="J41" i="16"/>
  <c r="H103" i="16"/>
  <c r="H104" i="16"/>
  <c r="J104" i="16"/>
  <c r="H418" i="16"/>
  <c r="H248" i="16"/>
  <c r="H249" i="16"/>
  <c r="J249" i="16"/>
  <c r="H346" i="16"/>
  <c r="H347" i="16"/>
  <c r="J347" i="16"/>
  <c r="H479" i="16"/>
  <c r="H480" i="16"/>
  <c r="J480" i="16"/>
  <c r="H335" i="16"/>
  <c r="H262" i="16"/>
  <c r="H263" i="16"/>
  <c r="J263" i="16"/>
  <c r="H107" i="16"/>
  <c r="F430" i="16"/>
  <c r="H56" i="16"/>
  <c r="H495" i="16"/>
  <c r="H496" i="16"/>
  <c r="H292" i="16"/>
  <c r="H258" i="16"/>
  <c r="H469" i="16"/>
  <c r="H470" i="16"/>
  <c r="J470" i="16"/>
  <c r="F464" i="16"/>
  <c r="F477" i="16"/>
  <c r="F515" i="16"/>
  <c r="F234" i="16"/>
  <c r="H503" i="16"/>
  <c r="H504" i="16"/>
  <c r="J504" i="16"/>
  <c r="F30" i="16"/>
  <c r="F166" i="16"/>
  <c r="H159" i="16"/>
  <c r="H161" i="16"/>
  <c r="J161" i="16"/>
  <c r="H328" i="16"/>
  <c r="H329" i="16"/>
  <c r="J329" i="16"/>
  <c r="F267" i="16"/>
  <c r="F427" i="16"/>
  <c r="F407" i="16"/>
  <c r="H79" i="16"/>
  <c r="H316" i="16"/>
  <c r="G157" i="16"/>
  <c r="H164" i="16"/>
  <c r="H166" i="16"/>
  <c r="J166" i="16"/>
  <c r="F101" i="16"/>
  <c r="G480" i="16"/>
  <c r="H289" i="16"/>
  <c r="G394" i="16"/>
  <c r="R8" i="72"/>
  <c r="U8" i="72"/>
  <c r="R12" i="72"/>
  <c r="U12" i="72"/>
  <c r="N30" i="78"/>
  <c r="O30" i="78"/>
  <c r="N36" i="78"/>
  <c r="O36" i="78"/>
  <c r="N49" i="78"/>
  <c r="O49" i="78"/>
  <c r="N69" i="78"/>
  <c r="O69" i="78"/>
  <c r="N77" i="78"/>
  <c r="O77" i="78"/>
  <c r="N85" i="78"/>
  <c r="Q85" i="78"/>
  <c r="N89" i="78"/>
  <c r="Q89" i="78"/>
  <c r="N104" i="78"/>
  <c r="Q104" i="78"/>
  <c r="H349" i="16"/>
  <c r="H350" i="16"/>
  <c r="J350" i="16"/>
  <c r="H175" i="16"/>
  <c r="H176" i="16"/>
  <c r="J176" i="16"/>
  <c r="F461" i="16"/>
  <c r="F44" i="16"/>
  <c r="F194" i="16"/>
  <c r="H242" i="16"/>
  <c r="H243" i="16"/>
  <c r="J243" i="16"/>
  <c r="G541" i="16"/>
  <c r="H70" i="16"/>
  <c r="G387" i="16"/>
  <c r="H25" i="16"/>
  <c r="H30" i="16"/>
  <c r="J30" i="16"/>
  <c r="H546" i="16"/>
  <c r="H547" i="16"/>
  <c r="J547" i="16"/>
  <c r="G122" i="16"/>
  <c r="G357" i="16"/>
  <c r="H380" i="16"/>
  <c r="H381" i="16"/>
  <c r="J381" i="16"/>
  <c r="F221" i="16"/>
  <c r="G515" i="16"/>
  <c r="H499" i="16"/>
  <c r="H210" i="16"/>
  <c r="H27" i="16"/>
  <c r="W11" i="71"/>
  <c r="W13" i="71"/>
  <c r="W14" i="71"/>
  <c r="X28" i="72"/>
  <c r="X30" i="72"/>
  <c r="X31" i="72"/>
  <c r="R239" i="69"/>
  <c r="S239" i="69"/>
  <c r="R227" i="69"/>
  <c r="U227" i="69"/>
  <c r="I387" i="83"/>
  <c r="H438" i="16"/>
  <c r="H404" i="16"/>
  <c r="H407" i="16"/>
  <c r="J407" i="16"/>
  <c r="H321" i="16"/>
  <c r="H299" i="16"/>
  <c r="H290" i="16"/>
  <c r="H278" i="16"/>
  <c r="H126" i="16"/>
  <c r="H112" i="16"/>
  <c r="H117" i="16"/>
  <c r="J117" i="16"/>
  <c r="H47" i="16"/>
  <c r="H52" i="16"/>
  <c r="J52" i="16"/>
  <c r="R21" i="72"/>
  <c r="V21" i="72"/>
  <c r="V28" i="72"/>
  <c r="V30" i="72"/>
  <c r="V31" i="72"/>
  <c r="R460" i="69"/>
  <c r="V460" i="69"/>
  <c r="N6" i="78"/>
  <c r="O6" i="78"/>
  <c r="I166" i="83"/>
  <c r="I61" i="87"/>
  <c r="I63" i="87"/>
  <c r="R452" i="69"/>
  <c r="S62" i="77"/>
  <c r="S64" i="77"/>
  <c r="S65" i="77"/>
  <c r="N7" i="78"/>
  <c r="O7" i="78"/>
  <c r="P108" i="78"/>
  <c r="P110" i="78"/>
  <c r="P111" i="78"/>
  <c r="S108" i="78"/>
  <c r="S110" i="78"/>
  <c r="S111" i="78"/>
  <c r="Q100" i="78"/>
  <c r="I390" i="83"/>
  <c r="I383" i="83"/>
  <c r="I376" i="83"/>
  <c r="I364" i="83"/>
  <c r="I354" i="83"/>
  <c r="I350" i="83"/>
  <c r="I314" i="83"/>
  <c r="I286" i="83"/>
  <c r="I274" i="83"/>
  <c r="I266" i="83"/>
  <c r="I262" i="83"/>
  <c r="I254" i="83"/>
  <c r="I250" i="83"/>
  <c r="I234" i="83"/>
  <c r="I222" i="83"/>
  <c r="I202" i="83"/>
  <c r="I198" i="83"/>
  <c r="I194" i="83"/>
  <c r="I182" i="83"/>
  <c r="I130" i="83"/>
  <c r="I126" i="83"/>
  <c r="I122" i="83"/>
  <c r="I86" i="83"/>
  <c r="I66" i="83"/>
  <c r="I50" i="83"/>
  <c r="I38" i="83"/>
  <c r="I26" i="83"/>
  <c r="I22" i="83"/>
  <c r="K21" i="87"/>
  <c r="R151" i="69"/>
  <c r="R147" i="69"/>
  <c r="U147" i="69"/>
  <c r="R143" i="69"/>
  <c r="U143" i="69"/>
  <c r="R138" i="69"/>
  <c r="U138" i="69"/>
  <c r="R134" i="69"/>
  <c r="U134" i="69"/>
  <c r="R130" i="69"/>
  <c r="U130" i="69"/>
  <c r="R126" i="69"/>
  <c r="U126" i="69"/>
  <c r="R122" i="69"/>
  <c r="U122" i="69"/>
  <c r="R118" i="69"/>
  <c r="U118" i="69"/>
  <c r="R114" i="69"/>
  <c r="V114" i="69"/>
  <c r="R109" i="69"/>
  <c r="S109" i="69"/>
  <c r="R105" i="69"/>
  <c r="V105" i="69"/>
  <c r="R72" i="69"/>
  <c r="V72" i="69"/>
  <c r="R68" i="69"/>
  <c r="U68" i="69"/>
  <c r="R56" i="69"/>
  <c r="U56" i="69"/>
  <c r="U457" i="69"/>
  <c r="P4" i="77"/>
  <c r="I231" i="83"/>
  <c r="I235" i="83"/>
  <c r="I251" i="83"/>
  <c r="I275" i="83"/>
  <c r="I422" i="83"/>
  <c r="I405" i="83"/>
  <c r="I400" i="83"/>
  <c r="I394" i="83"/>
  <c r="R458" i="69"/>
  <c r="S458" i="69"/>
  <c r="S461" i="69"/>
  <c r="S463" i="69"/>
  <c r="S464" i="69"/>
  <c r="Q62" i="77"/>
  <c r="Q64" i="77"/>
  <c r="Q65" i="77"/>
  <c r="U62" i="77"/>
  <c r="U64" i="77"/>
  <c r="U65" i="77"/>
  <c r="T62" i="77"/>
  <c r="T64" i="77"/>
  <c r="T65" i="77"/>
  <c r="R62" i="77"/>
  <c r="R64" i="77"/>
  <c r="R65" i="77"/>
  <c r="I10" i="83"/>
  <c r="I35" i="83"/>
  <c r="I74" i="83"/>
  <c r="I78" i="83"/>
  <c r="I83" i="83"/>
  <c r="I206" i="83"/>
  <c r="I210" i="83"/>
  <c r="I215" i="83"/>
  <c r="I219" i="83"/>
  <c r="I335" i="83"/>
  <c r="I347" i="83"/>
  <c r="I402" i="83"/>
  <c r="I406" i="83"/>
  <c r="I412" i="83"/>
  <c r="I379" i="83"/>
  <c r="I382" i="83"/>
  <c r="F439" i="16"/>
  <c r="H452" i="16"/>
  <c r="H453" i="16"/>
  <c r="J453" i="16"/>
  <c r="F340" i="16"/>
  <c r="F140" i="16"/>
  <c r="F73" i="16"/>
  <c r="F528" i="16"/>
  <c r="F95" i="16"/>
  <c r="F228" i="16"/>
  <c r="F501" i="16"/>
  <c r="H369" i="16"/>
  <c r="H370" i="16"/>
  <c r="J370" i="16"/>
  <c r="H405" i="16"/>
  <c r="H441" i="16"/>
  <c r="H442" i="16"/>
  <c r="J442" i="16"/>
  <c r="F187" i="16"/>
  <c r="H61" i="16"/>
  <c r="H62" i="16"/>
  <c r="J62" i="16"/>
  <c r="H325" i="16"/>
  <c r="H326" i="16"/>
  <c r="J326" i="16"/>
  <c r="F240" i="16"/>
  <c r="H187" i="16"/>
  <c r="J187" i="16"/>
  <c r="H228" i="16"/>
  <c r="J228" i="16"/>
  <c r="H320" i="16"/>
  <c r="F80" i="16"/>
  <c r="H473" i="16"/>
  <c r="H220" i="16"/>
  <c r="E21" i="79"/>
  <c r="S15" i="70"/>
  <c r="G18" i="79"/>
  <c r="G21" i="79"/>
  <c r="G144" i="16"/>
  <c r="H143" i="16"/>
  <c r="H6" i="16"/>
  <c r="H486" i="16"/>
  <c r="H487" i="16"/>
  <c r="H518" i="16"/>
  <c r="H303" i="16"/>
  <c r="H270" i="16"/>
  <c r="H271" i="16"/>
  <c r="J271" i="16"/>
  <c r="F271" i="16"/>
  <c r="H256" i="16"/>
  <c r="H260" i="16"/>
  <c r="J260" i="16"/>
  <c r="G260" i="16"/>
  <c r="G246" i="16"/>
  <c r="H245" i="16"/>
  <c r="H246" i="16"/>
  <c r="J246" i="16"/>
  <c r="F231" i="16"/>
  <c r="H230" i="16"/>
  <c r="H231" i="16"/>
  <c r="J231" i="16"/>
  <c r="F170" i="16"/>
  <c r="H169" i="16"/>
  <c r="F122" i="16"/>
  <c r="H119" i="16"/>
  <c r="H122" i="16"/>
  <c r="J122" i="16"/>
  <c r="F109" i="16"/>
  <c r="H106" i="16"/>
  <c r="H64" i="16"/>
  <c r="H65" i="16"/>
  <c r="J65" i="16"/>
  <c r="F65" i="16"/>
  <c r="F38" i="16"/>
  <c r="H34" i="16"/>
  <c r="T461" i="69"/>
  <c r="T463" i="69"/>
  <c r="T464" i="69"/>
  <c r="H236" i="16"/>
  <c r="H237" i="16"/>
  <c r="J237" i="16"/>
  <c r="G237" i="16"/>
  <c r="G73" i="16"/>
  <c r="H68" i="16"/>
  <c r="H73" i="16"/>
  <c r="J73" i="16"/>
  <c r="F17" i="16"/>
  <c r="G507" i="16"/>
  <c r="H362" i="16"/>
  <c r="H363" i="16"/>
  <c r="J363" i="16"/>
  <c r="F363" i="16"/>
  <c r="H331" i="16"/>
  <c r="H332" i="16"/>
  <c r="J332" i="16"/>
  <c r="F332" i="16"/>
  <c r="G206" i="16"/>
  <c r="F157" i="16"/>
  <c r="H155" i="16"/>
  <c r="H157" i="16"/>
  <c r="J157" i="16"/>
  <c r="H147" i="16"/>
  <c r="G149" i="16"/>
  <c r="H125" i="16"/>
  <c r="F128" i="16"/>
  <c r="F84" i="16"/>
  <c r="H82" i="16"/>
  <c r="H84" i="16"/>
  <c r="J84" i="16"/>
  <c r="X461" i="69"/>
  <c r="X463" i="69"/>
  <c r="X464" i="69"/>
  <c r="H472" i="16"/>
  <c r="H474" i="16"/>
  <c r="J474" i="16"/>
  <c r="G420" i="16"/>
  <c r="H417" i="16"/>
  <c r="H420" i="16"/>
  <c r="J420" i="16"/>
  <c r="F293" i="16"/>
  <c r="H288" i="16"/>
  <c r="H293" i="16"/>
  <c r="J293" i="16"/>
  <c r="F199" i="16"/>
  <c r="H14" i="16"/>
  <c r="H17" i="16"/>
  <c r="J17" i="16"/>
  <c r="G17" i="16"/>
  <c r="S28" i="72"/>
  <c r="S30" i="72"/>
  <c r="S31" i="72"/>
  <c r="W461" i="69"/>
  <c r="W463" i="69"/>
  <c r="W464" i="69"/>
  <c r="R8" i="71"/>
  <c r="S8" i="71"/>
  <c r="N98" i="78"/>
  <c r="Q98" i="78"/>
  <c r="O44" i="78"/>
  <c r="N29" i="78"/>
  <c r="O29" i="78"/>
  <c r="N88" i="78"/>
  <c r="Q88" i="78"/>
  <c r="N35" i="78"/>
  <c r="O35" i="78"/>
  <c r="N76" i="78"/>
  <c r="O76" i="78"/>
  <c r="N72" i="78"/>
  <c r="O72" i="78"/>
  <c r="N68" i="78"/>
  <c r="O68" i="78"/>
  <c r="N64" i="78"/>
  <c r="O64" i="78"/>
  <c r="N44" i="78"/>
  <c r="O99" i="78"/>
  <c r="I270" i="83"/>
  <c r="I282" i="83"/>
  <c r="N11" i="78"/>
  <c r="O11" i="78"/>
  <c r="N21" i="78"/>
  <c r="O21" i="78"/>
  <c r="O25" i="78"/>
  <c r="N48" i="78"/>
  <c r="O48" i="78"/>
  <c r="N52" i="78"/>
  <c r="O52" i="78"/>
  <c r="N56" i="78"/>
  <c r="O56" i="78"/>
  <c r="N96" i="78"/>
  <c r="Q96" i="78"/>
  <c r="O92" i="78"/>
  <c r="O40" i="78"/>
  <c r="Q102" i="78"/>
  <c r="O101" i="78"/>
  <c r="I142" i="83"/>
  <c r="I162" i="83"/>
  <c r="I294" i="83"/>
  <c r="I322" i="83"/>
  <c r="I346" i="83"/>
  <c r="K32" i="87"/>
  <c r="K36" i="87"/>
  <c r="K37" i="87"/>
  <c r="E8" i="86"/>
  <c r="F8" i="86" s="1"/>
  <c r="J8" i="86" s="1"/>
  <c r="E15" i="86"/>
  <c r="I15" i="86" s="1"/>
  <c r="E7" i="86"/>
  <c r="F7" i="86" s="1"/>
  <c r="J7" i="86" s="1"/>
  <c r="E19" i="86"/>
  <c r="F19" i="86" s="1"/>
  <c r="J19" i="86" s="1"/>
  <c r="E10" i="86"/>
  <c r="I10" i="86" s="1"/>
  <c r="E10" i="64"/>
  <c r="E14" i="64" s="1"/>
  <c r="H109" i="16"/>
  <c r="J109" i="16"/>
  <c r="E16" i="86"/>
  <c r="F16" i="86" s="1"/>
  <c r="J16" i="86" s="1"/>
  <c r="H483" i="16"/>
  <c r="H492" i="16"/>
  <c r="H493" i="16"/>
  <c r="J493" i="16"/>
  <c r="H151" i="16"/>
  <c r="H153" i="16"/>
  <c r="J153" i="16"/>
  <c r="H273" i="16"/>
  <c r="H274" i="16"/>
  <c r="J274" i="16"/>
  <c r="F450" i="16"/>
  <c r="H342" i="16"/>
  <c r="H344" i="16"/>
  <c r="J344" i="16"/>
  <c r="F117" i="16"/>
  <c r="F522" i="16"/>
  <c r="F434" i="16"/>
  <c r="H304" i="16"/>
  <c r="H307" i="16"/>
  <c r="J307" i="16"/>
  <c r="H142" i="16"/>
  <c r="H144" i="16"/>
  <c r="J144" i="16"/>
  <c r="F312" i="16"/>
  <c r="H466" i="16"/>
  <c r="H467" i="16"/>
  <c r="J467" i="16"/>
  <c r="H400" i="16"/>
  <c r="H402" i="16"/>
  <c r="J402" i="16"/>
  <c r="F190" i="16"/>
  <c r="H506" i="16"/>
  <c r="H507" i="16"/>
  <c r="J507" i="16"/>
  <c r="F215" i="16"/>
  <c r="F446" i="16"/>
  <c r="H510" i="16"/>
  <c r="H19" i="16"/>
  <c r="H20" i="16"/>
  <c r="J20" i="16"/>
  <c r="F300" i="16"/>
  <c r="F52" i="16"/>
  <c r="F457" i="16"/>
  <c r="F322" i="16"/>
  <c r="H251" i="16"/>
  <c r="H253" i="16"/>
  <c r="J253" i="16"/>
  <c r="F206" i="16"/>
  <c r="H132" i="16"/>
  <c r="H134" i="16"/>
  <c r="J134" i="16"/>
  <c r="F317" i="16"/>
  <c r="F212" i="16"/>
  <c r="F10" i="16"/>
  <c r="F89" i="16"/>
  <c r="H365" i="16"/>
  <c r="H367" i="16"/>
  <c r="J367" i="16"/>
  <c r="F286" i="16"/>
  <c r="F182" i="16"/>
  <c r="H317" i="16"/>
  <c r="J317" i="16"/>
  <c r="H223" i="16"/>
  <c r="H224" i="16"/>
  <c r="J224" i="16"/>
  <c r="H524" i="16"/>
  <c r="H525" i="16"/>
  <c r="J525" i="16"/>
  <c r="F378" i="16"/>
  <c r="I330" i="85"/>
  <c r="G4251" i="84"/>
  <c r="G4259" i="84"/>
  <c r="G4298" i="84"/>
  <c r="G308" i="85" s="1"/>
  <c r="K17" i="89"/>
  <c r="L18" i="89"/>
  <c r="F6" i="65"/>
  <c r="G318" i="85"/>
  <c r="D26" i="94" s="1"/>
  <c r="F26" i="94" s="1"/>
  <c r="G4349" i="84"/>
  <c r="G312" i="85" s="1"/>
  <c r="G4268" i="84"/>
  <c r="G302" i="85"/>
  <c r="G3529" i="84"/>
  <c r="G190" i="85" s="1"/>
  <c r="F190" i="85" s="1"/>
  <c r="G4231" i="84"/>
  <c r="G296" i="85"/>
  <c r="G4125" i="84"/>
  <c r="G286" i="85" s="1"/>
  <c r="G3651" i="84"/>
  <c r="G240" i="85"/>
  <c r="F240" i="85" s="1"/>
  <c r="G3945" i="84"/>
  <c r="G280" i="85" s="1"/>
  <c r="G3916" i="84"/>
  <c r="G278" i="85" s="1"/>
  <c r="G3688" i="84"/>
  <c r="G3721" i="84"/>
  <c r="G229" i="85"/>
  <c r="F228" i="85"/>
  <c r="G3476" i="84"/>
  <c r="K228" i="85"/>
  <c r="J228" i="85" s="1"/>
  <c r="G277" i="84"/>
  <c r="G289" i="84"/>
  <c r="G3578" i="84"/>
  <c r="G218" i="85" s="1"/>
  <c r="G3719" i="84"/>
  <c r="G3722" i="84"/>
  <c r="G3587" i="84"/>
  <c r="G548" i="84"/>
  <c r="G73" i="84"/>
  <c r="G81" i="84"/>
  <c r="G3554" i="84"/>
  <c r="G207" i="85" s="1"/>
  <c r="G3548" i="84"/>
  <c r="G205" i="85" s="1"/>
  <c r="G4255" i="84"/>
  <c r="G2174" i="84"/>
  <c r="G2621" i="84"/>
  <c r="G2624" i="84"/>
  <c r="G2632" i="84"/>
  <c r="G3355" i="84"/>
  <c r="D4517" i="84" s="1"/>
  <c r="G4517" i="84" s="1"/>
  <c r="G4519" i="84" s="1"/>
  <c r="G142" i="85"/>
  <c r="G328" i="85" s="1"/>
  <c r="G152" i="85"/>
  <c r="F152" i="85" s="1"/>
  <c r="J254" i="85"/>
  <c r="J248" i="85"/>
  <c r="J189" i="85"/>
  <c r="J213" i="85"/>
  <c r="J206" i="85"/>
  <c r="J115" i="85"/>
  <c r="J168" i="85"/>
  <c r="J188" i="85"/>
  <c r="J119" i="85"/>
  <c r="G3329" i="84"/>
  <c r="G135" i="85" s="1"/>
  <c r="G1418" i="84"/>
  <c r="G1941" i="84"/>
  <c r="G1944" i="84"/>
  <c r="G1952" i="84"/>
  <c r="G1248" i="84"/>
  <c r="G87" i="85"/>
  <c r="F87" i="85" s="1"/>
  <c r="I19" i="86"/>
  <c r="J182" i="85"/>
  <c r="J166" i="85"/>
  <c r="J14" i="68"/>
  <c r="H182" i="16"/>
  <c r="J182" i="16"/>
  <c r="H322" i="16"/>
  <c r="J322" i="16"/>
  <c r="H267" i="16"/>
  <c r="J267" i="16"/>
  <c r="H199" i="16"/>
  <c r="J199" i="16"/>
  <c r="H89" i="16"/>
  <c r="J89" i="16"/>
  <c r="H77" i="16"/>
  <c r="H457" i="16"/>
  <c r="J457" i="16"/>
  <c r="H450" i="16"/>
  <c r="J450" i="16"/>
  <c r="H149" i="16"/>
  <c r="J149" i="16"/>
  <c r="J557" i="16"/>
  <c r="H212" i="16"/>
  <c r="J212" i="16"/>
  <c r="H461" i="16"/>
  <c r="J461" i="16"/>
  <c r="G8" i="93"/>
  <c r="I8" i="93"/>
  <c r="I19" i="93"/>
  <c r="J19" i="93"/>
  <c r="G549" i="84"/>
  <c r="G4160" i="84"/>
  <c r="G74" i="84"/>
  <c r="G82" i="84"/>
  <c r="G3444" i="84"/>
  <c r="G3447" i="84"/>
  <c r="G3449" i="84"/>
  <c r="G3452" i="84"/>
  <c r="G186" i="84"/>
  <c r="G268" i="84"/>
  <c r="G270" i="84"/>
  <c r="G275" i="84"/>
  <c r="G280" i="84"/>
  <c r="G282" i="84"/>
  <c r="G287" i="84"/>
  <c r="G4155" i="84"/>
  <c r="G102" i="84"/>
  <c r="G60" i="84"/>
  <c r="G4219" i="84"/>
  <c r="G281" i="84"/>
  <c r="G283" i="84"/>
  <c r="G286" i="84"/>
  <c r="G288" i="84"/>
  <c r="G163" i="84"/>
  <c r="G269" i="84"/>
  <c r="G271" i="84"/>
  <c r="G274" i="84"/>
  <c r="G3717" i="84"/>
  <c r="G4215" i="84"/>
  <c r="F9" i="86"/>
  <c r="J9" i="86" s="1"/>
  <c r="G49" i="84"/>
  <c r="G386" i="84"/>
  <c r="G4253" i="84"/>
  <c r="G4262" i="84" s="1"/>
  <c r="G300" i="85" s="1"/>
  <c r="G3421" i="84"/>
  <c r="G1205" i="84"/>
  <c r="G3453" i="84"/>
  <c r="G1951" i="84"/>
  <c r="G1953" i="84"/>
  <c r="G139" i="84"/>
  <c r="G189" i="84"/>
  <c r="G650" i="84"/>
  <c r="G682" i="84"/>
  <c r="G684" i="84"/>
  <c r="G686" i="84"/>
  <c r="G688" i="84"/>
  <c r="G701" i="84"/>
  <c r="G709" i="84"/>
  <c r="G711" i="84"/>
  <c r="G713" i="84"/>
  <c r="G715" i="84"/>
  <c r="G4188" i="84"/>
  <c r="G4190" i="84"/>
  <c r="G4199" i="84"/>
  <c r="G4456" i="84"/>
  <c r="G4459" i="84"/>
  <c r="G4467" i="84"/>
  <c r="G2173" i="84"/>
  <c r="G2316" i="84"/>
  <c r="G2631" i="84"/>
  <c r="G2633" i="84"/>
  <c r="G2822" i="84"/>
  <c r="G2830" i="84"/>
  <c r="G2842" i="84"/>
  <c r="G480" i="84"/>
  <c r="G656" i="84"/>
  <c r="G659" i="84"/>
  <c r="G683" i="84"/>
  <c r="G685" i="84"/>
  <c r="G687" i="84"/>
  <c r="G702" i="84"/>
  <c r="G706" i="84"/>
  <c r="G710" i="84"/>
  <c r="G712" i="84"/>
  <c r="G714" i="84"/>
  <c r="G721" i="84"/>
  <c r="G3569" i="84"/>
  <c r="G4244" i="84"/>
  <c r="G1206" i="84"/>
  <c r="G4189" i="84"/>
  <c r="G4191" i="84"/>
  <c r="G4466" i="84"/>
  <c r="G4468" i="84"/>
  <c r="G4243" i="84"/>
  <c r="G718" i="84"/>
  <c r="G927" i="84"/>
  <c r="G4203" i="84"/>
  <c r="G3467" i="84"/>
  <c r="G4451" i="84"/>
  <c r="G4463" i="84"/>
  <c r="G4505" i="84"/>
  <c r="G4196" i="84"/>
  <c r="G4213" i="84"/>
  <c r="G1936" i="84"/>
  <c r="G1948" i="84"/>
  <c r="G2169" i="84"/>
  <c r="G2407" i="84"/>
  <c r="G2616" i="84"/>
  <c r="G2628" i="84"/>
  <c r="G2682" i="84"/>
  <c r="G2817" i="84"/>
  <c r="G2825" i="84"/>
  <c r="G2837" i="84"/>
  <c r="G2845" i="84"/>
  <c r="G3482" i="84"/>
  <c r="G3489" i="84"/>
  <c r="G4150" i="84"/>
  <c r="G72" i="84"/>
  <c r="G80" i="84"/>
  <c r="G3468" i="84"/>
  <c r="G4452" i="84"/>
  <c r="G4464" i="84"/>
  <c r="G4194" i="84"/>
  <c r="G4197" i="84"/>
  <c r="G541" i="84"/>
  <c r="G4149" i="84"/>
  <c r="G4173" i="84" s="1"/>
  <c r="G4504" i="84"/>
  <c r="G4506" i="84"/>
  <c r="G324" i="85" s="1"/>
  <c r="G4195" i="84"/>
  <c r="G4514" i="84"/>
  <c r="G326" i="85"/>
  <c r="H439" i="16"/>
  <c r="J439" i="16"/>
  <c r="H257" i="16"/>
  <c r="H49" i="16"/>
  <c r="H337" i="16"/>
  <c r="J337" i="16"/>
  <c r="H501" i="16"/>
  <c r="J501" i="16"/>
  <c r="H219" i="16"/>
  <c r="H221" i="16"/>
  <c r="J221" i="16"/>
  <c r="H75" i="16"/>
  <c r="H80" i="16"/>
  <c r="J80" i="16"/>
  <c r="G3463" i="84"/>
  <c r="G3461" i="84"/>
  <c r="G540" i="84"/>
  <c r="E565" i="84"/>
  <c r="G565" i="84"/>
  <c r="G384" i="84"/>
  <c r="G388" i="84"/>
  <c r="G3446" i="84"/>
  <c r="G3451" i="84"/>
  <c r="G3457" i="84"/>
  <c r="G1413" i="84"/>
  <c r="G1416" i="84"/>
  <c r="G1937" i="84"/>
  <c r="G1949" i="84"/>
  <c r="G2617" i="84"/>
  <c r="G2629" i="84"/>
  <c r="G2827" i="84"/>
  <c r="G2835" i="84"/>
  <c r="G3477" i="84"/>
  <c r="G3483" i="84"/>
  <c r="G3488" i="84"/>
  <c r="G3490" i="84"/>
  <c r="C3514" i="84"/>
  <c r="G3514" i="84" s="1"/>
  <c r="G3513" i="84"/>
  <c r="C3504" i="84"/>
  <c r="G3504" i="84" s="1"/>
  <c r="G3503" i="84"/>
  <c r="G116" i="84"/>
  <c r="G118" i="84"/>
  <c r="G120" i="84"/>
  <c r="G122" i="84"/>
  <c r="G125" i="84"/>
  <c r="G127" i="84"/>
  <c r="G129" i="84"/>
  <c r="G135" i="84"/>
  <c r="G143" i="84"/>
  <c r="G151" i="84"/>
  <c r="G333" i="84"/>
  <c r="G482" i="84"/>
  <c r="G672" i="84"/>
  <c r="G674" i="84"/>
  <c r="G676" i="84"/>
  <c r="G678" i="84"/>
  <c r="G695" i="84"/>
  <c r="G697" i="84"/>
  <c r="G699" i="84"/>
  <c r="G705" i="84"/>
  <c r="G733" i="84"/>
  <c r="G753" i="84"/>
  <c r="G755" i="84"/>
  <c r="G757" i="84"/>
  <c r="G759" i="84"/>
  <c r="G761" i="84"/>
  <c r="G763" i="84"/>
  <c r="G1208" i="84"/>
  <c r="G3464" i="84"/>
  <c r="G2820" i="84"/>
  <c r="G2832" i="84"/>
  <c r="G2840" i="84"/>
  <c r="G717" i="84"/>
  <c r="G3462" i="84"/>
  <c r="G542" i="84"/>
  <c r="G557" i="84"/>
  <c r="G3348" i="84"/>
  <c r="G3350" i="84"/>
  <c r="G16" i="84"/>
  <c r="G28" i="84"/>
  <c r="G30" i="84"/>
  <c r="G37" i="84"/>
  <c r="G40" i="84"/>
  <c r="G42" i="84"/>
  <c r="G46" i="84"/>
  <c r="G50" i="84"/>
  <c r="G54" i="84"/>
  <c r="G56" i="84"/>
  <c r="G58" i="84"/>
  <c r="G61" i="84"/>
  <c r="G64" i="84"/>
  <c r="G66" i="84"/>
  <c r="G104" i="84"/>
  <c r="G106" i="84"/>
  <c r="G3455" i="84"/>
  <c r="C3519" i="84"/>
  <c r="G3519" i="84"/>
  <c r="G3518" i="84"/>
  <c r="C3509" i="84"/>
  <c r="G3509" i="84" s="1"/>
  <c r="G3508" i="84"/>
  <c r="G117" i="84"/>
  <c r="G119" i="84"/>
  <c r="G121" i="84"/>
  <c r="G124" i="84"/>
  <c r="G130" i="84"/>
  <c r="G332" i="84"/>
  <c r="G478" i="84"/>
  <c r="G673" i="84"/>
  <c r="G675" i="84"/>
  <c r="G677" i="84"/>
  <c r="G694" i="84"/>
  <c r="G696" i="84"/>
  <c r="G698" i="84"/>
  <c r="G700" i="84"/>
  <c r="G724" i="84"/>
  <c r="G734" i="84"/>
  <c r="G754" i="84"/>
  <c r="G756" i="84"/>
  <c r="G758" i="84"/>
  <c r="G760" i="84"/>
  <c r="G762" i="84"/>
  <c r="G764" i="84"/>
  <c r="G955" i="84"/>
  <c r="G999" i="84"/>
  <c r="G1046" i="84"/>
  <c r="G1209" i="84"/>
  <c r="G3448" i="84"/>
  <c r="G726" i="84"/>
  <c r="G730" i="84"/>
  <c r="G392" i="84"/>
  <c r="G7" i="84"/>
  <c r="G9" i="84"/>
  <c r="G11" i="84"/>
  <c r="G383" i="84"/>
  <c r="G137" i="84"/>
  <c r="G150" i="84"/>
  <c r="G152" i="84"/>
  <c r="G75" i="84"/>
  <c r="G83" i="84"/>
  <c r="G141" i="84"/>
  <c r="E18" i="86"/>
  <c r="F18" i="86" s="1"/>
  <c r="J18" i="86" s="1"/>
  <c r="G813" i="84"/>
  <c r="G814" i="84" s="1"/>
  <c r="G815" i="84" s="1"/>
  <c r="G54" i="85" s="1"/>
  <c r="G15" i="84"/>
  <c r="G17" i="84"/>
  <c r="G19" i="84"/>
  <c r="G21" i="84"/>
  <c r="G24" i="84"/>
  <c r="G67" i="84"/>
  <c r="G3005" i="84"/>
  <c r="G134" i="85" s="1"/>
  <c r="G87" i="84"/>
  <c r="G160" i="84"/>
  <c r="G162" i="84"/>
  <c r="G164" i="84"/>
  <c r="G174" i="84"/>
  <c r="G154" i="84"/>
  <c r="K264" i="85"/>
  <c r="J264" i="85" s="1"/>
  <c r="G27" i="84"/>
  <c r="G29" i="84"/>
  <c r="G31" i="84"/>
  <c r="G36" i="84"/>
  <c r="G38" i="84"/>
  <c r="G41" i="84"/>
  <c r="G43" i="84"/>
  <c r="G45" i="84"/>
  <c r="G47" i="84"/>
  <c r="G53" i="84"/>
  <c r="G57" i="84"/>
  <c r="G65" i="84"/>
  <c r="G101" i="84"/>
  <c r="G103" i="84"/>
  <c r="G105" i="84"/>
  <c r="G107" i="84"/>
  <c r="G109" i="84"/>
  <c r="G111" i="84"/>
  <c r="E569" i="84"/>
  <c r="G569" i="84"/>
  <c r="E573" i="84"/>
  <c r="G573" i="84" s="1"/>
  <c r="G588" i="84" s="1"/>
  <c r="G385" i="84"/>
  <c r="G394" i="84"/>
  <c r="G149" i="84"/>
  <c r="G155" i="84"/>
  <c r="G159" i="84"/>
  <c r="G161" i="84"/>
  <c r="G169" i="84"/>
  <c r="G180" i="84"/>
  <c r="G185" i="84"/>
  <c r="G86" i="84"/>
  <c r="G88" i="84"/>
  <c r="G52" i="84"/>
  <c r="I7" i="86"/>
  <c r="G3385" i="84"/>
  <c r="G821" i="84"/>
  <c r="G6" i="84"/>
  <c r="G8" i="84"/>
  <c r="G18" i="84"/>
  <c r="G20" i="84"/>
  <c r="G35" i="84"/>
  <c r="G108" i="84"/>
  <c r="G110" i="84"/>
  <c r="G112" i="84" s="1"/>
  <c r="G13" i="85" s="1"/>
  <c r="G3542" i="84"/>
  <c r="G3560" i="84"/>
  <c r="G55" i="84"/>
  <c r="G387" i="84"/>
  <c r="G389" i="84"/>
  <c r="G391" i="84"/>
  <c r="G182" i="84"/>
  <c r="H14" i="68"/>
  <c r="I8" i="86"/>
  <c r="P62" i="77"/>
  <c r="P64" i="77"/>
  <c r="P65" i="77"/>
  <c r="I424" i="83"/>
  <c r="F14" i="79"/>
  <c r="F18" i="79"/>
  <c r="F21" i="79"/>
  <c r="U28" i="72"/>
  <c r="U30" i="72"/>
  <c r="U31" i="72"/>
  <c r="E14" i="79"/>
  <c r="K11" i="68"/>
  <c r="L11" i="68"/>
  <c r="Q108" i="78"/>
  <c r="Q110" i="78"/>
  <c r="Q111" i="78"/>
  <c r="H446" i="16"/>
  <c r="J446" i="16"/>
  <c r="H434" i="16"/>
  <c r="J434" i="16"/>
  <c r="I14" i="68"/>
  <c r="S11" i="71"/>
  <c r="S13" i="71"/>
  <c r="S14" i="71"/>
  <c r="H389" i="16"/>
  <c r="H391" i="16"/>
  <c r="J391" i="16"/>
  <c r="H489" i="16"/>
  <c r="H490" i="16"/>
  <c r="J490" i="16"/>
  <c r="H413" i="16"/>
  <c r="H415" i="16"/>
  <c r="J415" i="16"/>
  <c r="G553" i="16"/>
  <c r="H277" i="16"/>
  <c r="H35" i="16"/>
  <c r="H33" i="16"/>
  <c r="H38" i="16"/>
  <c r="J38" i="16"/>
  <c r="G38" i="16"/>
  <c r="H136" i="16"/>
  <c r="H140" i="16"/>
  <c r="J140" i="16"/>
  <c r="H54" i="16"/>
  <c r="H59" i="16"/>
  <c r="J59" i="16"/>
  <c r="G59" i="16"/>
  <c r="T28" i="72"/>
  <c r="T30" i="72"/>
  <c r="T31" i="72"/>
  <c r="H276" i="16"/>
  <c r="H280" i="16"/>
  <c r="J280" i="16"/>
  <c r="G280" i="16"/>
  <c r="H205" i="16"/>
  <c r="H94" i="16"/>
  <c r="H26" i="16"/>
  <c r="H7" i="16"/>
  <c r="T11" i="71"/>
  <c r="T13" i="71"/>
  <c r="T14" i="71"/>
  <c r="R265" i="69"/>
  <c r="V265" i="69"/>
  <c r="V461" i="69"/>
  <c r="V463" i="69"/>
  <c r="V464" i="69"/>
  <c r="G14" i="68"/>
  <c r="R255" i="69"/>
  <c r="U255" i="69"/>
  <c r="U461" i="69"/>
  <c r="U463" i="69"/>
  <c r="U464" i="69"/>
  <c r="O9" i="78"/>
  <c r="O108" i="78"/>
  <c r="O110" i="78"/>
  <c r="O111" i="78"/>
  <c r="O112" i="78"/>
  <c r="K10" i="88"/>
  <c r="G1832" i="84"/>
  <c r="G107" i="85"/>
  <c r="G10" i="84"/>
  <c r="G97" i="84" s="1"/>
  <c r="G10" i="85" s="1"/>
  <c r="F10" i="85" s="1"/>
  <c r="G12" i="84"/>
  <c r="G4102" i="84"/>
  <c r="G282" i="85"/>
  <c r="K282" i="85" s="1"/>
  <c r="G395" i="84"/>
  <c r="G1406" i="84"/>
  <c r="G92" i="85"/>
  <c r="L10" i="95"/>
  <c r="K240" i="85"/>
  <c r="J240" i="85" s="1"/>
  <c r="G3741" i="84"/>
  <c r="G259" i="85"/>
  <c r="F259" i="85" s="1"/>
  <c r="D4470" i="84"/>
  <c r="G4470" i="84" s="1"/>
  <c r="G4472" i="84" s="1"/>
  <c r="G4246" i="84"/>
  <c r="G298" i="85"/>
  <c r="G4200" i="84"/>
  <c r="G292" i="85" s="1"/>
  <c r="G4221" i="84"/>
  <c r="G294" i="85"/>
  <c r="F326" i="85"/>
  <c r="K326" i="85"/>
  <c r="J326" i="85" s="1"/>
  <c r="G250" i="85"/>
  <c r="F250" i="85" s="1"/>
  <c r="E17" i="86"/>
  <c r="F17" i="86" s="1"/>
  <c r="J17" i="86" s="1"/>
  <c r="G2666" i="84"/>
  <c r="G121" i="85" s="1"/>
  <c r="F229" i="85"/>
  <c r="K229" i="85"/>
  <c r="J229" i="85" s="1"/>
  <c r="G214" i="85"/>
  <c r="F214" i="85" s="1"/>
  <c r="G201" i="85"/>
  <c r="F201" i="85" s="1"/>
  <c r="G220" i="85"/>
  <c r="F220" i="85" s="1"/>
  <c r="K87" i="85"/>
  <c r="J87" i="85" s="1"/>
  <c r="G209" i="85"/>
  <c r="F209" i="85" s="1"/>
  <c r="F142" i="85"/>
  <c r="K142" i="85"/>
  <c r="J142" i="85" s="1"/>
  <c r="G146" i="85"/>
  <c r="K152" i="85"/>
  <c r="J152" i="85" s="1"/>
  <c r="G144" i="85"/>
  <c r="G140" i="85"/>
  <c r="F140" i="85" s="1"/>
  <c r="G2856" i="84"/>
  <c r="G133" i="85" s="1"/>
  <c r="G1420" i="84"/>
  <c r="G100" i="85" s="1"/>
  <c r="G2513" i="84"/>
  <c r="G1236" i="84"/>
  <c r="G80" i="85" s="1"/>
  <c r="G805" i="84"/>
  <c r="F50" i="85"/>
  <c r="G558" i="84"/>
  <c r="G38" i="85" s="1"/>
  <c r="F38" i="85" s="1"/>
  <c r="G1978" i="84"/>
  <c r="G111" i="85"/>
  <c r="G4131" i="84" s="1"/>
  <c r="G4132" i="84" s="1"/>
  <c r="D11" i="94"/>
  <c r="F11" i="94" s="1"/>
  <c r="G3491" i="84"/>
  <c r="G417" i="84"/>
  <c r="N3945" i="84"/>
  <c r="I18" i="86"/>
  <c r="G340" i="84"/>
  <c r="G27" i="85"/>
  <c r="F27" i="85" s="1"/>
  <c r="G831" i="84"/>
  <c r="S465" i="69"/>
  <c r="L13" i="68"/>
  <c r="G6" i="65"/>
  <c r="E14" i="68"/>
  <c r="G3472" i="84"/>
  <c r="G164" i="85" s="1"/>
  <c r="E6" i="86"/>
  <c r="I6" i="86" s="1"/>
  <c r="S15" i="71"/>
  <c r="K7" i="68"/>
  <c r="L7" i="68"/>
  <c r="F14" i="68"/>
  <c r="P66" i="77"/>
  <c r="K10" i="68"/>
  <c r="L10" i="68"/>
  <c r="S32" i="72"/>
  <c r="K6" i="68"/>
  <c r="K8" i="68"/>
  <c r="L8" i="68"/>
  <c r="F146" i="85"/>
  <c r="D20" i="94"/>
  <c r="F20" i="94" s="1"/>
  <c r="F144" i="85"/>
  <c r="D19" i="94"/>
  <c r="F19" i="94" s="1"/>
  <c r="G7" i="65"/>
  <c r="E14" i="86"/>
  <c r="F14" i="86" s="1"/>
  <c r="J14" i="86" s="1"/>
  <c r="K250" i="85"/>
  <c r="J250" i="85" s="1"/>
  <c r="D18" i="94"/>
  <c r="F18" i="94" s="1"/>
  <c r="K214" i="85"/>
  <c r="J214" i="85" s="1"/>
  <c r="K220" i="85"/>
  <c r="J220" i="85" s="1"/>
  <c r="K209" i="85"/>
  <c r="J209" i="85" s="1"/>
  <c r="G171" i="85"/>
  <c r="F171" i="85" s="1"/>
  <c r="K146" i="85"/>
  <c r="J146" i="85" s="1"/>
  <c r="K144" i="85"/>
  <c r="J144" i="85" s="1"/>
  <c r="K140" i="85"/>
  <c r="J140" i="85" s="1"/>
  <c r="G114" i="85"/>
  <c r="F114" i="85" s="1"/>
  <c r="G59" i="85"/>
  <c r="F59" i="85" s="1"/>
  <c r="D14" i="68"/>
  <c r="G34" i="85"/>
  <c r="K34" i="85" s="1"/>
  <c r="J34" i="85" s="1"/>
  <c r="K50" i="85"/>
  <c r="J50" i="85" s="1"/>
  <c r="K14" i="68"/>
  <c r="L6" i="68"/>
  <c r="L14" i="68"/>
  <c r="G808" i="84"/>
  <c r="F6" i="86"/>
  <c r="J6" i="86" s="1"/>
  <c r="F11" i="85"/>
  <c r="K11" i="85"/>
  <c r="J11" i="85"/>
  <c r="F12" i="85"/>
  <c r="K12" i="85"/>
  <c r="J12" i="85" s="1"/>
  <c r="F14" i="85"/>
  <c r="K14" i="85"/>
  <c r="J14" i="85" s="1"/>
  <c r="K16" i="85"/>
  <c r="J16" i="85"/>
  <c r="K18" i="85"/>
  <c r="J18" i="85" s="1"/>
  <c r="F16" i="85"/>
  <c r="F18" i="85"/>
  <c r="F23" i="85"/>
  <c r="K23" i="85"/>
  <c r="J23" i="85" s="1"/>
  <c r="F19" i="85"/>
  <c r="K19" i="85"/>
  <c r="J19" i="85" s="1"/>
  <c r="F21" i="85"/>
  <c r="K21" i="85"/>
  <c r="J21" i="85" s="1"/>
  <c r="F25" i="85"/>
  <c r="K25" i="85"/>
  <c r="J25" i="85"/>
  <c r="F26" i="85"/>
  <c r="K26" i="85"/>
  <c r="J26" i="85" s="1"/>
  <c r="F24" i="85"/>
  <c r="K24" i="85"/>
  <c r="J24" i="85" s="1"/>
  <c r="F17" i="85"/>
  <c r="K17" i="85"/>
  <c r="J17" i="85" s="1"/>
  <c r="F20" i="85"/>
  <c r="K20" i="85"/>
  <c r="F22" i="85"/>
  <c r="K22" i="85"/>
  <c r="J22" i="85" s="1"/>
  <c r="F15" i="85"/>
  <c r="K15" i="85"/>
  <c r="J15" i="85" s="1"/>
  <c r="J20" i="85"/>
  <c r="K31" i="85"/>
  <c r="J31" i="85" s="1"/>
  <c r="F31" i="85"/>
  <c r="F29" i="85"/>
  <c r="K29" i="85"/>
  <c r="J29" i="85"/>
  <c r="F32" i="85"/>
  <c r="K32" i="85"/>
  <c r="J32" i="85" s="1"/>
  <c r="F30" i="85"/>
  <c r="K30" i="85"/>
  <c r="J30" i="85" s="1"/>
  <c r="F33" i="85"/>
  <c r="K33" i="85"/>
  <c r="J33" i="85" s="1"/>
  <c r="F28" i="85"/>
  <c r="K28" i="85"/>
  <c r="J28" i="85"/>
  <c r="K36" i="85"/>
  <c r="J36" i="85" s="1"/>
  <c r="F36" i="85"/>
  <c r="K37" i="85"/>
  <c r="J37" i="85" s="1"/>
  <c r="F37" i="85"/>
  <c r="F35" i="85"/>
  <c r="K35" i="85"/>
  <c r="J35" i="85" s="1"/>
  <c r="K47" i="85"/>
  <c r="J47" i="85" s="1"/>
  <c r="K49" i="85"/>
  <c r="J49" i="85" s="1"/>
  <c r="F49" i="85"/>
  <c r="F47" i="85"/>
  <c r="F48" i="85"/>
  <c r="K48" i="85"/>
  <c r="J48" i="85" s="1"/>
  <c r="F46" i="85"/>
  <c r="K46" i="85"/>
  <c r="J46" i="85" s="1"/>
  <c r="F45" i="85"/>
  <c r="K45" i="85"/>
  <c r="J45" i="85"/>
  <c r="K53" i="85"/>
  <c r="J53" i="85" s="1"/>
  <c r="F53" i="85"/>
  <c r="F52" i="85"/>
  <c r="K52" i="85"/>
  <c r="J52" i="85" s="1"/>
  <c r="F51" i="85"/>
  <c r="K51" i="85"/>
  <c r="J51" i="85" s="1"/>
  <c r="K71" i="85"/>
  <c r="J71" i="85" s="1"/>
  <c r="K65" i="85"/>
  <c r="J65" i="85" s="1"/>
  <c r="K67" i="85"/>
  <c r="J67" i="85" s="1"/>
  <c r="K73" i="85"/>
  <c r="J73" i="85" s="1"/>
  <c r="F63" i="85"/>
  <c r="K63" i="85"/>
  <c r="J63" i="85"/>
  <c r="F71" i="85"/>
  <c r="F67" i="85"/>
  <c r="F65" i="85"/>
  <c r="F73" i="85"/>
  <c r="F75" i="85"/>
  <c r="K75" i="85"/>
  <c r="J75" i="85" s="1"/>
  <c r="F62" i="85"/>
  <c r="K62" i="85"/>
  <c r="J62" i="85" s="1"/>
  <c r="F64" i="85"/>
  <c r="K64" i="85"/>
  <c r="J64" i="85" s="1"/>
  <c r="F61" i="85"/>
  <c r="K61" i="85"/>
  <c r="J61" i="85"/>
  <c r="F76" i="85"/>
  <c r="K76" i="85"/>
  <c r="J76" i="85" s="1"/>
  <c r="F74" i="85"/>
  <c r="K74" i="85"/>
  <c r="J74" i="85" s="1"/>
  <c r="F72" i="85"/>
  <c r="K72" i="85"/>
  <c r="J72" i="85" s="1"/>
  <c r="F69" i="85"/>
  <c r="K69" i="85"/>
  <c r="J69" i="85"/>
  <c r="F70" i="85"/>
  <c r="K70" i="85"/>
  <c r="J70" i="85" s="1"/>
  <c r="F77" i="85"/>
  <c r="K77" i="85"/>
  <c r="J77" i="85" s="1"/>
  <c r="F78" i="85"/>
  <c r="K78" i="85"/>
  <c r="J78" i="85" s="1"/>
  <c r="F68" i="85"/>
  <c r="K68" i="85"/>
  <c r="J68" i="85"/>
  <c r="F66" i="85"/>
  <c r="K66" i="85"/>
  <c r="J66" i="85" s="1"/>
  <c r="F60" i="85"/>
  <c r="K60" i="85"/>
  <c r="J60" i="85" s="1"/>
  <c r="F84" i="85"/>
  <c r="K84" i="85"/>
  <c r="J84" i="85" s="1"/>
  <c r="K82" i="85"/>
  <c r="J82" i="85" s="1"/>
  <c r="K83" i="85"/>
  <c r="J83" i="85" s="1"/>
  <c r="F83" i="85"/>
  <c r="F82" i="85"/>
  <c r="F85" i="85"/>
  <c r="K85" i="85"/>
  <c r="J85" i="85" s="1"/>
  <c r="F81" i="85"/>
  <c r="K81" i="85"/>
  <c r="J81" i="85" s="1"/>
  <c r="F89" i="85"/>
  <c r="K89" i="85"/>
  <c r="J89" i="85"/>
  <c r="F90" i="85"/>
  <c r="K90" i="85"/>
  <c r="J90" i="85" s="1"/>
  <c r="F91" i="85"/>
  <c r="K91" i="85"/>
  <c r="J91" i="85" s="1"/>
  <c r="F88" i="85"/>
  <c r="K88" i="85"/>
  <c r="J88" i="85" s="1"/>
  <c r="F92" i="85"/>
  <c r="K92" i="85"/>
  <c r="J92" i="85" s="1"/>
  <c r="K95" i="85"/>
  <c r="J95" i="85" s="1"/>
  <c r="F95" i="85"/>
  <c r="F94" i="85"/>
  <c r="K94" i="85"/>
  <c r="J94" i="85" s="1"/>
  <c r="K97" i="85"/>
  <c r="J97" i="85" s="1"/>
  <c r="K98" i="85"/>
  <c r="J98" i="85" s="1"/>
  <c r="F97" i="85"/>
  <c r="F98" i="85"/>
  <c r="K96" i="85"/>
  <c r="J96" i="85" s="1"/>
  <c r="F96" i="85"/>
  <c r="K103" i="85"/>
  <c r="J103" i="85"/>
  <c r="F103" i="85"/>
  <c r="K102" i="85"/>
  <c r="J102" i="85" s="1"/>
  <c r="F105" i="85"/>
  <c r="K105" i="85"/>
  <c r="J105" i="85" s="1"/>
  <c r="K104" i="85"/>
  <c r="J104" i="85"/>
  <c r="F104" i="85"/>
  <c r="F101" i="85"/>
  <c r="K101" i="85"/>
  <c r="J101" i="85"/>
  <c r="F102" i="85"/>
  <c r="K107" i="85"/>
  <c r="J107" i="85" s="1"/>
  <c r="G4129" i="84"/>
  <c r="F107" i="85"/>
  <c r="D13" i="94"/>
  <c r="F13" i="94" s="1"/>
  <c r="G4130" i="84"/>
  <c r="F109" i="85"/>
  <c r="K109" i="85"/>
  <c r="J109" i="85" s="1"/>
  <c r="F108" i="85"/>
  <c r="K108" i="85"/>
  <c r="J108" i="85"/>
  <c r="K111" i="85"/>
  <c r="K131" i="85"/>
  <c r="J131" i="85" s="1"/>
  <c r="K126" i="85"/>
  <c r="J126" i="85" s="1"/>
  <c r="F126" i="85"/>
  <c r="F131" i="85"/>
  <c r="F124" i="85"/>
  <c r="K124" i="85"/>
  <c r="J124" i="85" s="1"/>
  <c r="F127" i="85"/>
  <c r="K127" i="85"/>
  <c r="J127" i="85" s="1"/>
  <c r="F130" i="85"/>
  <c r="K130" i="85"/>
  <c r="J130" i="85"/>
  <c r="F129" i="85"/>
  <c r="K129" i="85"/>
  <c r="J129" i="85" s="1"/>
  <c r="F128" i="85"/>
  <c r="K128" i="85"/>
  <c r="J128" i="85" s="1"/>
  <c r="F125" i="85"/>
  <c r="K125" i="85"/>
  <c r="J125" i="85" s="1"/>
  <c r="F123" i="85"/>
  <c r="K123" i="85"/>
  <c r="J123" i="85"/>
  <c r="K137" i="85"/>
  <c r="J137" i="85" s="1"/>
  <c r="F137" i="85"/>
  <c r="F138" i="85"/>
  <c r="K138" i="85"/>
  <c r="J138" i="85" s="1"/>
  <c r="F136" i="85"/>
  <c r="K136" i="85"/>
  <c r="J136" i="85" s="1"/>
  <c r="F160" i="85"/>
  <c r="K160" i="85"/>
  <c r="J160" i="85"/>
  <c r="F155" i="85"/>
  <c r="K155" i="85"/>
  <c r="J155" i="85" s="1"/>
  <c r="F157" i="85"/>
  <c r="K157" i="85"/>
  <c r="J157" i="85" s="1"/>
  <c r="F159" i="85"/>
  <c r="K159" i="85"/>
  <c r="J159" i="85" s="1"/>
  <c r="F156" i="85"/>
  <c r="K156" i="85"/>
  <c r="J156" i="85"/>
  <c r="F161" i="85"/>
  <c r="K161" i="85"/>
  <c r="J161" i="85" s="1"/>
  <c r="F162" i="85"/>
  <c r="K162" i="85"/>
  <c r="J162" i="85" s="1"/>
  <c r="F158" i="85"/>
  <c r="K158" i="85"/>
  <c r="J158" i="85" s="1"/>
  <c r="F154" i="85"/>
  <c r="K154" i="85"/>
  <c r="J154" i="85"/>
  <c r="F192" i="85"/>
  <c r="K192" i="85"/>
  <c r="J192" i="85" s="1"/>
  <c r="F194" i="85"/>
  <c r="K194" i="85"/>
  <c r="J194" i="85" s="1"/>
  <c r="F193" i="85"/>
  <c r="K193" i="85"/>
  <c r="J193" i="85" s="1"/>
  <c r="F191" i="85"/>
  <c r="K191" i="85"/>
  <c r="J191" i="85"/>
  <c r="F198" i="85"/>
  <c r="K198" i="85"/>
  <c r="J198" i="85" s="1"/>
  <c r="F199" i="85"/>
  <c r="K199" i="85"/>
  <c r="J199" i="85" s="1"/>
  <c r="F197" i="85"/>
  <c r="K197" i="85"/>
  <c r="J197" i="85"/>
  <c r="K202" i="85"/>
  <c r="J202" i="85" s="1"/>
  <c r="F202" i="85"/>
  <c r="F203" i="85"/>
  <c r="K203" i="85"/>
  <c r="J203" i="85" s="1"/>
  <c r="K210" i="85"/>
  <c r="J210" i="85"/>
  <c r="K216" i="85"/>
  <c r="J216" i="85" s="1"/>
  <c r="K217" i="85"/>
  <c r="J217" i="85"/>
  <c r="F216" i="85"/>
  <c r="F217" i="85"/>
  <c r="F215" i="85"/>
  <c r="K215" i="85"/>
  <c r="J215" i="85" s="1"/>
  <c r="K219" i="85"/>
  <c r="J219" i="85"/>
  <c r="F223" i="85"/>
  <c r="K223" i="85"/>
  <c r="J223" i="85" s="1"/>
  <c r="F226" i="85"/>
  <c r="K226" i="85"/>
  <c r="J226" i="85" s="1"/>
  <c r="F222" i="85"/>
  <c r="K222" i="85"/>
  <c r="J222" i="85"/>
  <c r="F224" i="85"/>
  <c r="K224" i="85"/>
  <c r="J224" i="85"/>
  <c r="F225" i="85"/>
  <c r="K225" i="85"/>
  <c r="J225" i="85" s="1"/>
  <c r="F221" i="85"/>
  <c r="K221" i="85"/>
  <c r="J221" i="85" s="1"/>
  <c r="F231" i="85"/>
  <c r="K231" i="85"/>
  <c r="J231" i="85"/>
  <c r="F237" i="85"/>
  <c r="K237" i="85"/>
  <c r="J237" i="85"/>
  <c r="F235" i="85"/>
  <c r="K235" i="85"/>
  <c r="J235" i="85" s="1"/>
  <c r="F236" i="85"/>
  <c r="K236" i="85"/>
  <c r="J236" i="85" s="1"/>
  <c r="F238" i="85"/>
  <c r="K238" i="85"/>
  <c r="J238" i="85"/>
  <c r="F234" i="85"/>
  <c r="K234" i="85"/>
  <c r="J234" i="85"/>
  <c r="K244" i="85"/>
  <c r="J244" i="85" s="1"/>
  <c r="K245" i="85"/>
  <c r="J245" i="85"/>
  <c r="K243" i="85"/>
  <c r="J243" i="85" s="1"/>
  <c r="F242" i="85"/>
  <c r="K242" i="85"/>
  <c r="J242" i="85"/>
  <c r="K241" i="85"/>
  <c r="J241" i="85" s="1"/>
  <c r="F241" i="85"/>
  <c r="K252" i="85"/>
  <c r="J252" i="85" s="1"/>
  <c r="K253" i="85"/>
  <c r="J253" i="85"/>
  <c r="K255" i="85"/>
  <c r="J255" i="85" s="1"/>
  <c r="K251" i="85"/>
  <c r="J251" i="85"/>
  <c r="F258" i="85"/>
  <c r="K258" i="85"/>
  <c r="J258" i="85" s="1"/>
  <c r="F257" i="85"/>
  <c r="K257" i="85"/>
  <c r="J257" i="85" s="1"/>
  <c r="K261" i="85"/>
  <c r="J261" i="85"/>
  <c r="F261" i="85"/>
  <c r="K262" i="85"/>
  <c r="J262" i="85" s="1"/>
  <c r="F262" i="85"/>
  <c r="F260" i="85"/>
  <c r="K260" i="85"/>
  <c r="J260" i="85" s="1"/>
  <c r="K266" i="85"/>
  <c r="J266" i="85"/>
  <c r="K267" i="85"/>
  <c r="J267" i="85" s="1"/>
  <c r="F266" i="85"/>
  <c r="F267" i="85"/>
  <c r="K271" i="85"/>
  <c r="J271" i="85" s="1"/>
  <c r="K269" i="85"/>
  <c r="J269" i="85"/>
  <c r="F271" i="85"/>
  <c r="K273" i="85"/>
  <c r="J273" i="85"/>
  <c r="K268" i="85"/>
  <c r="J268" i="85" s="1"/>
  <c r="F274" i="85"/>
  <c r="K274" i="85"/>
  <c r="J274" i="85"/>
  <c r="F268" i="85"/>
  <c r="K272" i="85"/>
  <c r="J272" i="85"/>
  <c r="F272" i="85"/>
  <c r="F270" i="85"/>
  <c r="K270" i="85"/>
  <c r="J270" i="85"/>
  <c r="F269" i="85"/>
  <c r="F273" i="85"/>
  <c r="K265" i="85"/>
  <c r="J265" i="85"/>
  <c r="F265" i="85"/>
  <c r="F284" i="85"/>
  <c r="F282" i="85"/>
  <c r="F294" i="85"/>
  <c r="K294" i="85"/>
  <c r="J294" i="85" s="1"/>
  <c r="F296" i="85"/>
  <c r="K296" i="85"/>
  <c r="J296" i="85" s="1"/>
  <c r="F298" i="85"/>
  <c r="K298" i="85"/>
  <c r="J298" i="85" s="1"/>
  <c r="F302" i="85"/>
  <c r="K302" i="85"/>
  <c r="J302" i="85" s="1"/>
  <c r="F304" i="85"/>
  <c r="K304" i="85"/>
  <c r="J304" i="85" s="1"/>
  <c r="F306" i="85"/>
  <c r="K306" i="85"/>
  <c r="J306" i="85" s="1"/>
  <c r="F308" i="85"/>
  <c r="K308" i="85"/>
  <c r="J308" i="85" s="1"/>
  <c r="F316" i="85"/>
  <c r="K316" i="85"/>
  <c r="J316" i="85" s="1"/>
  <c r="F318" i="85"/>
  <c r="K318" i="85"/>
  <c r="J318" i="85" s="1"/>
  <c r="K320" i="85"/>
  <c r="J320" i="85" s="1"/>
  <c r="F320" i="85"/>
  <c r="K322" i="85"/>
  <c r="J322" i="85"/>
  <c r="F322" i="85"/>
  <c r="F325" i="85"/>
  <c r="K325" i="85"/>
  <c r="J325" i="85"/>
  <c r="A8" i="96"/>
  <c r="A9" i="96"/>
  <c r="A10" i="96"/>
  <c r="A11" i="96"/>
  <c r="A12" i="96"/>
  <c r="A13" i="96"/>
  <c r="A14" i="96"/>
  <c r="A15" i="96"/>
  <c r="A16" i="96"/>
  <c r="A17" i="96"/>
  <c r="A18" i="96"/>
  <c r="A19" i="96"/>
  <c r="A20" i="96"/>
  <c r="A21" i="96"/>
  <c r="A22" i="96"/>
  <c r="A23" i="96"/>
  <c r="A24" i="96"/>
  <c r="A25" i="96"/>
  <c r="A26" i="96"/>
  <c r="A27" i="96"/>
  <c r="A28" i="96"/>
  <c r="A29" i="96"/>
  <c r="A30" i="96"/>
  <c r="A31" i="96"/>
  <c r="A32" i="96"/>
  <c r="A33" i="96"/>
  <c r="A34" i="96"/>
  <c r="A35" i="96"/>
  <c r="A36" i="96"/>
  <c r="A37" i="96"/>
  <c r="A38" i="96"/>
  <c r="A39" i="96"/>
  <c r="A40" i="96"/>
  <c r="A41" i="96"/>
  <c r="A42" i="96"/>
  <c r="A43" i="96"/>
  <c r="A44" i="96"/>
  <c r="A45" i="96"/>
  <c r="A46" i="96"/>
  <c r="A47" i="96"/>
  <c r="A48" i="96"/>
  <c r="A49" i="96"/>
  <c r="A50" i="96"/>
  <c r="A51" i="96"/>
  <c r="A52" i="96"/>
  <c r="A53" i="96"/>
  <c r="A54" i="96"/>
  <c r="A55" i="96"/>
  <c r="A56" i="96"/>
  <c r="A57" i="96"/>
  <c r="A58" i="96"/>
  <c r="A59" i="96"/>
  <c r="A60" i="96"/>
  <c r="A61" i="96"/>
  <c r="A62" i="96"/>
  <c r="A63" i="96"/>
  <c r="A64" i="96"/>
  <c r="A65" i="96"/>
  <c r="A66" i="96"/>
  <c r="A67" i="96"/>
  <c r="A68" i="96"/>
  <c r="A69" i="96"/>
  <c r="A70" i="96"/>
  <c r="A71" i="96"/>
  <c r="A72" i="96"/>
  <c r="A73" i="96"/>
  <c r="A74" i="96"/>
  <c r="A75" i="96"/>
  <c r="A76" i="96"/>
  <c r="A77" i="96"/>
  <c r="A78" i="96"/>
  <c r="A79" i="96"/>
  <c r="A13" i="98"/>
  <c r="A14" i="98"/>
  <c r="A15" i="98" s="1"/>
  <c r="A16" i="98" s="1"/>
  <c r="A17" i="98" s="1"/>
  <c r="A18" i="98" s="1"/>
  <c r="A6" i="98"/>
  <c r="A7" i="98" s="1"/>
  <c r="E7" i="94" l="1"/>
  <c r="E25" i="64"/>
  <c r="E27" i="64" s="1"/>
  <c r="E21" i="64"/>
  <c r="E23" i="64" s="1"/>
  <c r="I275" i="85"/>
  <c r="J284" i="85"/>
  <c r="F34" i="85"/>
  <c r="J111" i="85"/>
  <c r="K171" i="85"/>
  <c r="J171" i="85" s="1"/>
  <c r="C22" i="97"/>
  <c r="K38" i="87"/>
  <c r="K39" i="87" s="1"/>
  <c r="I64" i="87"/>
  <c r="I65" i="87" s="1"/>
  <c r="I67" i="87" s="1"/>
  <c r="K133" i="85"/>
  <c r="J133" i="85" s="1"/>
  <c r="F133" i="85"/>
  <c r="E6" i="88" s="1"/>
  <c r="F6" i="88" s="1"/>
  <c r="M6" i="88" s="1"/>
  <c r="L6" i="88" s="1"/>
  <c r="F6" i="95"/>
  <c r="E6" i="95" s="1"/>
  <c r="D15" i="94"/>
  <c r="F15" i="94" s="1"/>
  <c r="K280" i="85"/>
  <c r="J280" i="85" s="1"/>
  <c r="F280" i="85"/>
  <c r="D24" i="94"/>
  <c r="F24" i="94" s="1"/>
  <c r="F232" i="85"/>
  <c r="K232" i="85"/>
  <c r="J232" i="85" s="1"/>
  <c r="F80" i="85"/>
  <c r="K80" i="85"/>
  <c r="J80" i="85" s="1"/>
  <c r="F13" i="85"/>
  <c r="K13" i="85"/>
  <c r="J13" i="85" s="1"/>
  <c r="G3520" i="84"/>
  <c r="G184" i="85" s="1"/>
  <c r="G290" i="85"/>
  <c r="E12" i="86"/>
  <c r="F312" i="85"/>
  <c r="K312" i="85"/>
  <c r="J312" i="85" s="1"/>
  <c r="F121" i="85"/>
  <c r="K121" i="85"/>
  <c r="J121" i="85" s="1"/>
  <c r="K292" i="85"/>
  <c r="J292" i="85" s="1"/>
  <c r="F292" i="85"/>
  <c r="F54" i="85"/>
  <c r="K54" i="85"/>
  <c r="J54" i="85" s="1"/>
  <c r="F135" i="85"/>
  <c r="E7" i="88" s="1"/>
  <c r="F7" i="88" s="1"/>
  <c r="M7" i="88" s="1"/>
  <c r="L7" i="88" s="1"/>
  <c r="F7" i="95"/>
  <c r="E7" i="95" s="1"/>
  <c r="G4476" i="84"/>
  <c r="G4477" i="84" s="1"/>
  <c r="K135" i="85"/>
  <c r="J135" i="85" s="1"/>
  <c r="K205" i="85"/>
  <c r="J205" i="85" s="1"/>
  <c r="F205" i="85"/>
  <c r="F218" i="85"/>
  <c r="K218" i="85"/>
  <c r="J218" i="85" s="1"/>
  <c r="F164" i="85"/>
  <c r="K164" i="85"/>
  <c r="J164" i="85" s="1"/>
  <c r="D21" i="94"/>
  <c r="F21" i="94" s="1"/>
  <c r="D12" i="94"/>
  <c r="F12" i="94" s="1"/>
  <c r="F100" i="85"/>
  <c r="K100" i="85"/>
  <c r="J100" i="85" s="1"/>
  <c r="F44" i="85"/>
  <c r="F9" i="94"/>
  <c r="K44" i="85"/>
  <c r="J44" i="85" s="1"/>
  <c r="K134" i="85"/>
  <c r="J134" i="85" s="1"/>
  <c r="D16" i="94"/>
  <c r="F16" i="94" s="1"/>
  <c r="F324" i="85"/>
  <c r="K324" i="85"/>
  <c r="J324" i="85" s="1"/>
  <c r="F300" i="85"/>
  <c r="K300" i="85"/>
  <c r="J300" i="85" s="1"/>
  <c r="F207" i="85"/>
  <c r="K207" i="85"/>
  <c r="J207" i="85" s="1"/>
  <c r="K278" i="85"/>
  <c r="J278" i="85" s="1"/>
  <c r="F278" i="85"/>
  <c r="K286" i="85"/>
  <c r="J286" i="85" s="1"/>
  <c r="F286" i="85"/>
  <c r="G4344" i="84"/>
  <c r="G310" i="85" s="1"/>
  <c r="J21" i="86"/>
  <c r="K27" i="85"/>
  <c r="J27" i="85" s="1"/>
  <c r="E13" i="86"/>
  <c r="F13" i="86" s="1"/>
  <c r="J13" i="86" s="1"/>
  <c r="K201" i="85"/>
  <c r="J201" i="85" s="1"/>
  <c r="D6" i="94"/>
  <c r="F6" i="94" s="1"/>
  <c r="I21" i="86"/>
  <c r="G4134" i="84"/>
  <c r="E11" i="86" s="1"/>
  <c r="K114" i="85"/>
  <c r="J114" i="85" s="1"/>
  <c r="D22" i="94"/>
  <c r="F22" i="94" s="1"/>
  <c r="J282" i="85"/>
  <c r="K328" i="85"/>
  <c r="J328" i="85" s="1"/>
  <c r="F328" i="85"/>
  <c r="F111" i="85"/>
  <c r="D14" i="94"/>
  <c r="F14" i="94" s="1"/>
  <c r="K10" i="85"/>
  <c r="D6" i="65"/>
  <c r="H6" i="65" s="1"/>
  <c r="K59" i="85"/>
  <c r="J59" i="85" s="1"/>
  <c r="I14" i="86"/>
  <c r="F8" i="95"/>
  <c r="E8" i="95" s="1"/>
  <c r="K38" i="85"/>
  <c r="J38" i="85" s="1"/>
  <c r="D10" i="94"/>
  <c r="F10" i="94" s="1"/>
  <c r="D17" i="94"/>
  <c r="F17" i="94" s="1"/>
  <c r="I16" i="86"/>
  <c r="F15" i="86"/>
  <c r="J15" i="86" s="1"/>
  <c r="K196" i="85"/>
  <c r="J196" i="85" s="1"/>
  <c r="C29" i="97"/>
  <c r="I13" i="86"/>
  <c r="I17" i="86"/>
  <c r="K259" i="85"/>
  <c r="J259" i="85" s="1"/>
  <c r="K190" i="85"/>
  <c r="J190" i="85" s="1"/>
  <c r="F10" i="86"/>
  <c r="J10" i="86" s="1"/>
  <c r="F134" i="85"/>
  <c r="E8" i="88" s="1"/>
  <c r="F8" i="88" s="1"/>
  <c r="M8" i="88" s="1"/>
  <c r="L8" i="88" s="1"/>
  <c r="L18" i="98"/>
  <c r="M16" i="98"/>
  <c r="M7" i="98"/>
  <c r="J10" i="98"/>
  <c r="J11" i="98" s="1"/>
  <c r="C28" i="97" s="1"/>
  <c r="J18" i="98"/>
  <c r="J19" i="98" s="1"/>
  <c r="C21" i="97" s="1"/>
  <c r="C23" i="97" s="1"/>
  <c r="C24" i="97" s="1"/>
  <c r="M13" i="98"/>
  <c r="J16" i="98"/>
  <c r="L10" i="98"/>
  <c r="M10" i="98" s="1"/>
  <c r="I8" i="95" s="1"/>
  <c r="K8" i="95" s="1"/>
  <c r="M9" i="98"/>
  <c r="M14" i="98"/>
  <c r="M8" i="98"/>
  <c r="E33" i="64" l="1"/>
  <c r="E29" i="64"/>
  <c r="N8" i="95"/>
  <c r="M8" i="95" s="1"/>
  <c r="G288" i="85"/>
  <c r="C30" i="97"/>
  <c r="C31" i="97" s="1"/>
  <c r="F12" i="86"/>
  <c r="J12" i="86" s="1"/>
  <c r="I12" i="86"/>
  <c r="F290" i="85"/>
  <c r="K290" i="85"/>
  <c r="J290" i="85" s="1"/>
  <c r="D25" i="94"/>
  <c r="F25" i="94" s="1"/>
  <c r="F28" i="94" s="1"/>
  <c r="K310" i="85"/>
  <c r="J310" i="85" s="1"/>
  <c r="F310" i="85"/>
  <c r="F184" i="85"/>
  <c r="K184" i="85"/>
  <c r="J184" i="85" s="1"/>
  <c r="J10" i="85"/>
  <c r="M10" i="88"/>
  <c r="K288" i="85"/>
  <c r="F288" i="85"/>
  <c r="L10" i="88"/>
  <c r="F11" i="86"/>
  <c r="J11" i="86" s="1"/>
  <c r="I11" i="86"/>
  <c r="M18" i="98"/>
  <c r="K275" i="85" l="1"/>
  <c r="G8" i="64" s="1"/>
  <c r="F8" i="64" s="1"/>
  <c r="J275" i="85"/>
  <c r="C15" i="97"/>
  <c r="C16" i="97" s="1"/>
  <c r="C17" i="97" s="1"/>
  <c r="D7" i="65"/>
  <c r="H7" i="65" s="1"/>
  <c r="H9" i="65" s="1"/>
  <c r="G13" i="64" s="1"/>
  <c r="F13" i="64" s="1"/>
  <c r="J288" i="85"/>
  <c r="J330" i="85" s="1"/>
  <c r="K330" i="85"/>
  <c r="G9" i="64" s="1"/>
  <c r="F9" i="64" s="1"/>
  <c r="I7" i="95"/>
  <c r="K7" i="95" s="1"/>
  <c r="N7" i="95" s="1"/>
  <c r="M7" i="95" s="1"/>
  <c r="I6" i="95"/>
  <c r="K6" i="95" s="1"/>
  <c r="N6" i="95" s="1"/>
  <c r="F10" i="64" l="1"/>
  <c r="G10" i="64"/>
  <c r="M6" i="95"/>
  <c r="M10" i="95" s="1"/>
  <c r="N10" i="95"/>
  <c r="G12" i="64" s="1"/>
  <c r="G14" i="64" l="1"/>
  <c r="G25" i="64" s="1"/>
  <c r="F12" i="64"/>
  <c r="F14" i="64" s="1"/>
  <c r="G15" i="64" l="1"/>
  <c r="G21" i="64" s="1"/>
  <c r="G23" i="64" s="1"/>
  <c r="F25" i="64"/>
  <c r="F27" i="64" s="1"/>
  <c r="G27" i="64"/>
  <c r="G29" i="64" l="1"/>
  <c r="G33" i="64"/>
  <c r="F21" i="64"/>
  <c r="F23" i="64" s="1"/>
  <c r="F33" i="64" s="1"/>
  <c r="F29" i="64" l="1"/>
</calcChain>
</file>

<file path=xl/comments1.xml><?xml version="1.0" encoding="utf-8"?>
<comments xmlns="http://schemas.openxmlformats.org/spreadsheetml/2006/main">
  <authors>
    <author>Author</author>
  </authors>
  <commentList>
    <comment ref="I274" authorId="0">
      <text>
        <r>
          <rPr>
            <b/>
            <sz val="9"/>
            <color indexed="81"/>
            <rFont val="Tahoma"/>
            <family val="2"/>
          </rPr>
          <t>Author:</t>
        </r>
        <r>
          <rPr>
            <sz val="9"/>
            <color indexed="81"/>
            <rFont val="Tahoma"/>
            <family val="2"/>
          </rPr>
          <t xml:space="preserve">
Prov. Rate 65
 againts 75
</t>
        </r>
      </text>
    </comment>
    <comment ref="I280" authorId="0">
      <text>
        <r>
          <rPr>
            <b/>
            <sz val="9"/>
            <color indexed="81"/>
            <rFont val="Tahoma"/>
            <family val="2"/>
          </rPr>
          <t>Author:</t>
        </r>
        <r>
          <rPr>
            <sz val="9"/>
            <color indexed="81"/>
            <rFont val="Tahoma"/>
            <family val="2"/>
          </rPr>
          <t xml:space="preserve">
Prov. Rate 3000 againts 3700
</t>
        </r>
      </text>
    </comment>
  </commentList>
</comments>
</file>

<file path=xl/comments2.xml><?xml version="1.0" encoding="utf-8"?>
<comments xmlns="http://schemas.openxmlformats.org/spreadsheetml/2006/main">
  <authors>
    <author>Author</author>
  </authors>
  <commentList>
    <comment ref="D4177" authorId="0">
      <text>
        <r>
          <rPr>
            <b/>
            <sz val="8"/>
            <color indexed="81"/>
            <rFont val="Tahoma"/>
            <family val="2"/>
          </rPr>
          <t>Author:</t>
        </r>
        <r>
          <rPr>
            <sz val="8"/>
            <color indexed="81"/>
            <rFont val="Tahoma"/>
            <family val="2"/>
          </rPr>
          <t xml:space="preserve">
Back Side Road Area
</t>
        </r>
      </text>
    </comment>
    <comment ref="D4178" authorId="0">
      <text>
        <r>
          <rPr>
            <b/>
            <sz val="8"/>
            <color indexed="81"/>
            <rFont val="Tahoma"/>
            <family val="2"/>
          </rPr>
          <t>Author:</t>
        </r>
        <r>
          <rPr>
            <sz val="8"/>
            <color indexed="81"/>
            <rFont val="Tahoma"/>
            <family val="2"/>
          </rPr>
          <t xml:space="preserve">
Parking 
Paved Area
</t>
        </r>
      </text>
    </comment>
    <comment ref="D4179" authorId="0">
      <text>
        <r>
          <rPr>
            <b/>
            <sz val="8"/>
            <color indexed="81"/>
            <rFont val="Tahoma"/>
            <family val="2"/>
          </rPr>
          <t>Author:</t>
        </r>
        <r>
          <rPr>
            <sz val="8"/>
            <color indexed="81"/>
            <rFont val="Tahoma"/>
            <family val="2"/>
          </rPr>
          <t xml:space="preserve">
Area of Front Paved Area
</t>
        </r>
      </text>
    </comment>
    <comment ref="D4279" authorId="0">
      <text>
        <r>
          <rPr>
            <b/>
            <sz val="9"/>
            <color indexed="81"/>
            <rFont val="Tahoma"/>
            <family val="2"/>
          </rPr>
          <t>Author:</t>
        </r>
        <r>
          <rPr>
            <sz val="9"/>
            <color indexed="81"/>
            <rFont val="Tahoma"/>
            <family val="2"/>
          </rPr>
          <t xml:space="preserve">
DIMENSION ASPER SITE</t>
        </r>
      </text>
    </comment>
    <comment ref="D4347" authorId="0">
      <text>
        <r>
          <rPr>
            <b/>
            <sz val="9"/>
            <color indexed="81"/>
            <rFont val="Tahoma"/>
            <family val="2"/>
          </rPr>
          <t>Author:</t>
        </r>
        <r>
          <rPr>
            <sz val="9"/>
            <color indexed="81"/>
            <rFont val="Tahoma"/>
            <family val="2"/>
          </rPr>
          <t xml:space="preserve">
DIMENSION ASPER SITE</t>
        </r>
      </text>
    </comment>
  </commentList>
</comments>
</file>

<file path=xl/sharedStrings.xml><?xml version="1.0" encoding="utf-8"?>
<sst xmlns="http://schemas.openxmlformats.org/spreadsheetml/2006/main" count="11518" uniqueCount="2556">
  <si>
    <t>Description</t>
  </si>
  <si>
    <t>DEE KAY BUILDCON PVT. LTD.</t>
  </si>
  <si>
    <t>Item No.</t>
  </si>
  <si>
    <t>No.</t>
  </si>
  <si>
    <t>Length</t>
  </si>
  <si>
    <t>Width</t>
  </si>
  <si>
    <t>Height</t>
  </si>
  <si>
    <t>Total</t>
  </si>
  <si>
    <t>m3</t>
  </si>
  <si>
    <t>Providing and laying Plain Cement Concrete</t>
  </si>
  <si>
    <t>m2</t>
  </si>
  <si>
    <t>each</t>
  </si>
  <si>
    <t>R.C.C Folded Plate Staircase</t>
  </si>
  <si>
    <t>Extra 3</t>
  </si>
  <si>
    <t xml:space="preserve">P/Eracting Terpolin Curtain Wall For Machinary Protection </t>
  </si>
  <si>
    <t>Extra 6</t>
  </si>
  <si>
    <t>Rebaring 16mm</t>
  </si>
  <si>
    <t>Rebaring 8mm</t>
  </si>
  <si>
    <t>Rebaring 12mm</t>
  </si>
  <si>
    <t>Extra 7</t>
  </si>
  <si>
    <t>Rebaring 20mm</t>
  </si>
  <si>
    <t xml:space="preserve">Extra for additional height </t>
  </si>
  <si>
    <t>DEE KAY BUIDCON PVT. LTD.</t>
  </si>
  <si>
    <t>S.NO.</t>
  </si>
  <si>
    <t>ITEM NO.</t>
  </si>
  <si>
    <t>PARTICULARS</t>
  </si>
  <si>
    <t>BOQ Qty.</t>
  </si>
  <si>
    <t>UNIT</t>
  </si>
  <si>
    <t>PREVIOUS  BILL QTY.</t>
  </si>
  <si>
    <t>THIS BILL  QTY.</t>
  </si>
  <si>
    <t>TOTAL QTY.</t>
  </si>
  <si>
    <t>RATE</t>
  </si>
  <si>
    <t>AMOUNT</t>
  </si>
  <si>
    <t>1</t>
  </si>
  <si>
    <t>A1</t>
  </si>
  <si>
    <t>Earth Work</t>
  </si>
  <si>
    <t>Main Shed</t>
  </si>
  <si>
    <t>Canteen</t>
  </si>
  <si>
    <t>3000</t>
  </si>
  <si>
    <t>A2</t>
  </si>
  <si>
    <t>Extra for every additional lift of 1.5 mtr.</t>
  </si>
  <si>
    <t>1600</t>
  </si>
  <si>
    <t>A6</t>
  </si>
  <si>
    <t xml:space="preserve">Disposal of Malba </t>
  </si>
  <si>
    <t>1000</t>
  </si>
  <si>
    <t>2</t>
  </si>
  <si>
    <t>B</t>
  </si>
  <si>
    <t>B. Cement Concrete Work :</t>
  </si>
  <si>
    <t>500</t>
  </si>
  <si>
    <t>3</t>
  </si>
  <si>
    <t>C</t>
  </si>
  <si>
    <t>Reinforced Cement Concrete Works:</t>
  </si>
  <si>
    <t>R.C.C Fottings</t>
  </si>
  <si>
    <t>300</t>
  </si>
  <si>
    <t>R.C.C Wall</t>
  </si>
  <si>
    <t>200</t>
  </si>
  <si>
    <t>4</t>
  </si>
  <si>
    <t>C19</t>
  </si>
  <si>
    <t>Centering and shuttering including strutting,propping,etc</t>
  </si>
  <si>
    <t>a</t>
  </si>
  <si>
    <t xml:space="preserve">False Work Below Plinth </t>
  </si>
  <si>
    <t>b</t>
  </si>
  <si>
    <t>Walls ( any thickness), columns,  slabs,beams, plinth beams,inlluding attach pilasters,buttresses etc</t>
  </si>
  <si>
    <t>5000</t>
  </si>
  <si>
    <t>C21</t>
  </si>
  <si>
    <t>Handling charges for RMC</t>
  </si>
  <si>
    <t>600</t>
  </si>
  <si>
    <t>D</t>
  </si>
  <si>
    <t>Brick Work</t>
  </si>
  <si>
    <t xml:space="preserve">Brick Work 230mm below plinth </t>
  </si>
  <si>
    <t>75</t>
  </si>
  <si>
    <t xml:space="preserve">Brick Work 230mm above plinth </t>
  </si>
  <si>
    <t xml:space="preserve">Brick Work 115mm  </t>
  </si>
  <si>
    <t>E</t>
  </si>
  <si>
    <t xml:space="preserve">Reinforcement &amp; Structural Steel  work </t>
  </si>
  <si>
    <t>Reinforcement work for RCC work I/c work bending, binding, and placing in position complete</t>
  </si>
  <si>
    <t>mt</t>
  </si>
  <si>
    <t>175</t>
  </si>
  <si>
    <t>27b</t>
  </si>
  <si>
    <t>M.S. Flats, M.S.Angles,M.S. Plates, Channel</t>
  </si>
  <si>
    <t>125</t>
  </si>
  <si>
    <t>27c</t>
  </si>
  <si>
    <t xml:space="preserve">M.S.Castellated ISMB sections, Plate Girders </t>
  </si>
  <si>
    <t>5</t>
  </si>
  <si>
    <t>P/F Foundation Bolt</t>
  </si>
  <si>
    <t>H</t>
  </si>
  <si>
    <t>Flooring</t>
  </si>
  <si>
    <t>45c</t>
  </si>
  <si>
    <t>P/F PVC Rain Water Pipe 200mm</t>
  </si>
  <si>
    <t>rmt</t>
  </si>
  <si>
    <t>50</t>
  </si>
  <si>
    <t>WBM 100mm</t>
  </si>
  <si>
    <t>4000</t>
  </si>
  <si>
    <t>WBM 200mm</t>
  </si>
  <si>
    <t>WBM 150mm</t>
  </si>
  <si>
    <t>2000</t>
  </si>
  <si>
    <t>75 to 150mm flooring by rmc</t>
  </si>
  <si>
    <t>51b</t>
  </si>
  <si>
    <t>Flooring 52mm</t>
  </si>
  <si>
    <t>J</t>
  </si>
  <si>
    <t>Finishing</t>
  </si>
  <si>
    <t>Plaster</t>
  </si>
  <si>
    <t>7000</t>
  </si>
  <si>
    <t>OBD</t>
  </si>
  <si>
    <t>Birla Putty</t>
  </si>
  <si>
    <t>100</t>
  </si>
  <si>
    <t>Synthetic Enamel Paint</t>
  </si>
  <si>
    <t>400</t>
  </si>
  <si>
    <t>St. Steel Enamel Paint</t>
  </si>
  <si>
    <t>K</t>
  </si>
  <si>
    <t>Dismantling Work</t>
  </si>
  <si>
    <t xml:space="preserve">Dismantling Stone Soling </t>
  </si>
  <si>
    <t>Dismantling Brick Work</t>
  </si>
  <si>
    <t>Dismantling PCC</t>
  </si>
  <si>
    <t>Dismantling RCC</t>
  </si>
  <si>
    <t xml:space="preserve">Dismantling Steel glazing </t>
  </si>
  <si>
    <t xml:space="preserve">Dismantling Sheet Cladding </t>
  </si>
  <si>
    <t>1500</t>
  </si>
  <si>
    <t xml:space="preserve">Dismantling Structural steel frames, purlins railing etc. </t>
  </si>
  <si>
    <t>60</t>
  </si>
  <si>
    <t>L</t>
  </si>
  <si>
    <t xml:space="preserve">Miscellaneous works </t>
  </si>
  <si>
    <t>GP2</t>
  </si>
  <si>
    <t xml:space="preserve">M </t>
  </si>
  <si>
    <t>Plumbing Work</t>
  </si>
  <si>
    <t>Brick manhole (900x800x900)</t>
  </si>
  <si>
    <t>Brick manhole (600x600x450)</t>
  </si>
  <si>
    <t>40</t>
  </si>
  <si>
    <t>Extra 1</t>
  </si>
  <si>
    <t>Extra 2</t>
  </si>
  <si>
    <t xml:space="preserve">Extra for de-watering </t>
  </si>
  <si>
    <t>Extra 4</t>
  </si>
  <si>
    <t>Dismantling Bitumen layer of road</t>
  </si>
  <si>
    <t>Extra 5</t>
  </si>
  <si>
    <t>Dismantling &amp; Stacking of Paver Tiles</t>
  </si>
  <si>
    <t>Extra 8</t>
  </si>
  <si>
    <t>Making Pockets by removing rcc &amp; cutting steel</t>
  </si>
  <si>
    <t xml:space="preserve">Total work done Upto Date                 </t>
  </si>
  <si>
    <t>Less Prev. Bill</t>
  </si>
  <si>
    <t>Net Amount</t>
  </si>
  <si>
    <t>kg</t>
  </si>
  <si>
    <t>M.S. Tube</t>
  </si>
  <si>
    <t xml:space="preserve">M.S.Insert plates / Nosing angles </t>
  </si>
  <si>
    <t>P/F HT Nut Bolt Washer (20x100)</t>
  </si>
  <si>
    <t>27a</t>
  </si>
  <si>
    <t>Extra11</t>
  </si>
  <si>
    <t>C20</t>
  </si>
  <si>
    <t>R.C.C</t>
  </si>
  <si>
    <t>Extra9</t>
  </si>
  <si>
    <t>Extra10</t>
  </si>
  <si>
    <t>Utility</t>
  </si>
  <si>
    <t>27d</t>
  </si>
  <si>
    <t>Fixing of Purlins</t>
  </si>
  <si>
    <t>P/F G.I. Nut,Bolt,Washer</t>
  </si>
  <si>
    <t>P/F cleats,sagrods</t>
  </si>
  <si>
    <t xml:space="preserve">Extra for Galvanising (120 GSM) sag rods </t>
  </si>
  <si>
    <t xml:space="preserve">Total </t>
  </si>
  <si>
    <t xml:space="preserve">Providing and fixing 25 mm thick Shalitex Board </t>
  </si>
  <si>
    <t>10</t>
  </si>
  <si>
    <t>25</t>
  </si>
  <si>
    <t>145</t>
  </si>
  <si>
    <t>P/F M.S. Gutter 2mm thk.</t>
  </si>
  <si>
    <t>G</t>
  </si>
  <si>
    <t>Roofing &amp; Water Proofing</t>
  </si>
  <si>
    <t>A4</t>
  </si>
  <si>
    <t>P/Filling Jamuna Sand</t>
  </si>
  <si>
    <t>P/Filling Foam Concrete</t>
  </si>
  <si>
    <t>Extra12</t>
  </si>
  <si>
    <t>Extra13</t>
  </si>
  <si>
    <t>P/Laying DPC</t>
  </si>
  <si>
    <t xml:space="preserve">Making Pockets </t>
  </si>
  <si>
    <t xml:space="preserve">Removing &amp; Refilling Jamuna Sand </t>
  </si>
  <si>
    <t>Fixing of B.G. Sheet</t>
  </si>
  <si>
    <t>A3</t>
  </si>
  <si>
    <t xml:space="preserve">Preparation of subgrade </t>
  </si>
  <si>
    <t>Road</t>
  </si>
  <si>
    <t>Extra14</t>
  </si>
  <si>
    <t>P/F S.W. Pipe 200mm</t>
  </si>
  <si>
    <t>Brick Work Piller</t>
  </si>
  <si>
    <t>105c</t>
  </si>
  <si>
    <t>106c</t>
  </si>
  <si>
    <t>P/F Fastner 12*150</t>
  </si>
  <si>
    <t>road</t>
  </si>
  <si>
    <t>CC S.W. Pipe 200mm</t>
  </si>
  <si>
    <t>150</t>
  </si>
  <si>
    <t>2500</t>
  </si>
  <si>
    <t>P/F Chiken Mesh</t>
  </si>
  <si>
    <t xml:space="preserve">Floor Hardner @ 4Kg.Per Sq.m. </t>
  </si>
  <si>
    <t xml:space="preserve">Extra for supplying and Mixing Coloured floor hardner of Nitoflor-Hardtop instead of Plain Hardener </t>
  </si>
  <si>
    <t>49c</t>
  </si>
  <si>
    <t>Brick Bat Coba</t>
  </si>
  <si>
    <t>Extra15</t>
  </si>
  <si>
    <t>Tor Steel Cutting 16mm</t>
  </si>
  <si>
    <t>Extra16</t>
  </si>
  <si>
    <t>P/F Hilti Bolt (20*300)mm</t>
  </si>
  <si>
    <t>P/F Kota Stone</t>
  </si>
  <si>
    <t>P/F Tiles</t>
  </si>
  <si>
    <t>P/F Aluminum</t>
  </si>
  <si>
    <t>Extra17</t>
  </si>
  <si>
    <t>Fixing of paver tiles with sand bed</t>
  </si>
  <si>
    <t>Applying  Two Coats of Tapecrate</t>
  </si>
  <si>
    <t>P/F RCC Pipe 300mm</t>
  </si>
  <si>
    <t>Circular type manhole 0.91m internal dia</t>
  </si>
  <si>
    <t xml:space="preserve">Making 40-50mm thick RCC Trough </t>
  </si>
  <si>
    <t>P/F G.I. Pipe 15mm</t>
  </si>
  <si>
    <t>P/F G.I. Pipe 25mm</t>
  </si>
  <si>
    <t>P/F PVC Pipe 100mm</t>
  </si>
  <si>
    <t xml:space="preserve">P/F 100 mm Nani trap </t>
  </si>
  <si>
    <t>Extra18</t>
  </si>
  <si>
    <t>rs</t>
  </si>
  <si>
    <t>Extra19</t>
  </si>
  <si>
    <t>P/F RCC Pipe 400mm</t>
  </si>
  <si>
    <t>Extra20</t>
  </si>
  <si>
    <t>F</t>
  </si>
  <si>
    <t>Door &amp; Window</t>
  </si>
  <si>
    <t>33a</t>
  </si>
  <si>
    <t>45a</t>
  </si>
  <si>
    <t>106a</t>
  </si>
  <si>
    <t>128a</t>
  </si>
  <si>
    <t>128c</t>
  </si>
  <si>
    <t xml:space="preserve">Removing &amp; Shiffting &amp; Refixing with new fittings Diesal Day Tank &amp; Pipe Line </t>
  </si>
  <si>
    <t>103d</t>
  </si>
  <si>
    <t>104d</t>
  </si>
  <si>
    <t>CC RCC Pipe 300mm</t>
  </si>
  <si>
    <t>108a</t>
  </si>
  <si>
    <t>109a</t>
  </si>
  <si>
    <t>CC RCC Pipe 400mm</t>
  </si>
  <si>
    <t xml:space="preserve">150mm Flooring </t>
  </si>
  <si>
    <t>CC PVC Pipe 100mm</t>
  </si>
  <si>
    <t>108c</t>
  </si>
  <si>
    <t>P/F Ball Valve 25mm</t>
  </si>
  <si>
    <t>134b</t>
  </si>
  <si>
    <t>Extra21</t>
  </si>
  <si>
    <t>Shiffting Water Sintex (1000 Ltr.)</t>
  </si>
  <si>
    <t>S/F Granite</t>
  </si>
  <si>
    <t xml:space="preserve">Utility </t>
  </si>
  <si>
    <t xml:space="preserve">Extra for manual excavation </t>
  </si>
  <si>
    <t>Total  L/S</t>
  </si>
  <si>
    <t>P/F Glass</t>
  </si>
  <si>
    <t>Extra22</t>
  </si>
  <si>
    <t>P/F Manhole Cover</t>
  </si>
  <si>
    <t>Groove Cutting</t>
  </si>
  <si>
    <t>Extra23</t>
  </si>
  <si>
    <t>P/F Chain Link G.I. 50x50x4mm</t>
  </si>
  <si>
    <t>Extra24</t>
  </si>
  <si>
    <t>Suppling and fixing 10mm thick black granite tiles</t>
  </si>
  <si>
    <t>Extra for plaster drip course</t>
  </si>
  <si>
    <t xml:space="preserve">Extra for granite polishing </t>
  </si>
  <si>
    <t>Extra for nosing in Steps and Treads of Kota Stone</t>
  </si>
  <si>
    <t>P/F M.S. Frames</t>
  </si>
  <si>
    <t>P/F Door Lock</t>
  </si>
  <si>
    <t>Extra25</t>
  </si>
  <si>
    <t>P/F Floor Spring</t>
  </si>
  <si>
    <t>Extra26</t>
  </si>
  <si>
    <t>P/F Blue Tinted Glass in Windows</t>
  </si>
  <si>
    <t>Extra27</t>
  </si>
  <si>
    <t>P/F S.S. Jalli in Windows</t>
  </si>
  <si>
    <t>Extra28</t>
  </si>
  <si>
    <t>Extra for Kota Stone Single Pcs (1500mm long)</t>
  </si>
  <si>
    <t>33c</t>
  </si>
  <si>
    <t>Extra29</t>
  </si>
  <si>
    <t>Extra30</t>
  </si>
  <si>
    <t xml:space="preserve">Total  </t>
  </si>
  <si>
    <t>P/F Kota Stone Riser of step,skirting</t>
  </si>
  <si>
    <t>P/F Both side laminated board 12mm</t>
  </si>
  <si>
    <t xml:space="preserve"> 10th RA Bill ISSUED TO M/S Munjal Auto industries-Bawal</t>
  </si>
  <si>
    <t>S/Fixing Rolling Shutter</t>
  </si>
  <si>
    <t>Extra31</t>
  </si>
  <si>
    <t>P/F M.S. Wired chine link 3mm</t>
  </si>
  <si>
    <t>Extra32</t>
  </si>
  <si>
    <t>P/F Angle Valve</t>
  </si>
  <si>
    <t>P/F WC</t>
  </si>
  <si>
    <t>Extra33</t>
  </si>
  <si>
    <t>P/F Sintex PVC Water Tank of 1000 Lts. Capacity</t>
  </si>
  <si>
    <t>Extra34</t>
  </si>
  <si>
    <t>P/F Waste Cupling with faxiable pipe</t>
  </si>
  <si>
    <t>P/F Bib Cock &amp; Push Cock</t>
  </si>
  <si>
    <t>Extra35</t>
  </si>
  <si>
    <t>Removing &amp; Refixing S.S. Sink</t>
  </si>
  <si>
    <t>P/L Gravel</t>
  </si>
  <si>
    <t>Extra36</t>
  </si>
  <si>
    <t>P/L Black Plastic Sheet</t>
  </si>
  <si>
    <t>Boring of 300 dia for RWH</t>
  </si>
  <si>
    <t>P/F PVC pipes with perforation 150mm</t>
  </si>
  <si>
    <t>P/L Boulders 50mm thk.</t>
  </si>
  <si>
    <t xml:space="preserve">Fixing of Curb Stone </t>
  </si>
  <si>
    <t>P/F Jalli 100mm</t>
  </si>
  <si>
    <t>P/M SW Gully</t>
  </si>
  <si>
    <t>CTR</t>
  </si>
  <si>
    <t>P/F Oval Wash Basin</t>
  </si>
  <si>
    <t>Labour Supply</t>
  </si>
  <si>
    <t>Extra37</t>
  </si>
  <si>
    <t>101b</t>
  </si>
  <si>
    <t>102a</t>
  </si>
  <si>
    <t>Extra38</t>
  </si>
  <si>
    <t>Removing of Fire Line &amp; Packing</t>
  </si>
  <si>
    <t>25.08.2014</t>
  </si>
  <si>
    <t>Unit</t>
  </si>
  <si>
    <t>Footings</t>
  </si>
  <si>
    <t>A</t>
  </si>
  <si>
    <t>S.No.</t>
  </si>
  <si>
    <t>MT</t>
  </si>
  <si>
    <t>S.No</t>
  </si>
  <si>
    <t>Amount</t>
  </si>
  <si>
    <t>Ph.NO:-</t>
  </si>
  <si>
    <t>0129-4064147,0129-4164144,7</t>
  </si>
  <si>
    <t>Fax. NO:-</t>
  </si>
  <si>
    <t>0129-4054147</t>
  </si>
  <si>
    <t>E-mail:- dkbuildcon@gmail.com</t>
  </si>
  <si>
    <t>ST NO:-</t>
  </si>
  <si>
    <t>AACCD6742KST001</t>
  </si>
  <si>
    <t>TIN NO:-</t>
  </si>
  <si>
    <t>06841325968</t>
  </si>
  <si>
    <t>RA Bill:</t>
  </si>
  <si>
    <t>APPLICATION FOR PAYMENT</t>
  </si>
  <si>
    <t>Total Amount(Rs.)</t>
  </si>
  <si>
    <t>WORK DONE</t>
  </si>
  <si>
    <t>A.1</t>
  </si>
  <si>
    <t xml:space="preserve">Total WORK DONE. </t>
  </si>
  <si>
    <t>TOTAL WORK DONE</t>
  </si>
  <si>
    <t>B.1</t>
  </si>
  <si>
    <t>NET WORK DONE</t>
  </si>
  <si>
    <t>Total Bill Value</t>
  </si>
  <si>
    <t>DEDUCTIONS:</t>
  </si>
  <si>
    <t>Net Payable Amount</t>
  </si>
  <si>
    <t>Total : G-F</t>
  </si>
  <si>
    <t>TOTAL : G</t>
  </si>
  <si>
    <t xml:space="preserve">Add for Service Tax @ 5.8% </t>
  </si>
  <si>
    <t>Prev. Bill Amount</t>
  </si>
  <si>
    <t>This Bill 
Amount</t>
  </si>
  <si>
    <t>DATE:</t>
  </si>
  <si>
    <t>PAN NO:- AACCD6742K</t>
  </si>
  <si>
    <t xml:space="preserve">Tor steel Binding </t>
  </si>
  <si>
    <t>PROJECT:- Thapar University Extension Patiala</t>
  </si>
  <si>
    <t>3.1.2</t>
  </si>
  <si>
    <t>4.2.1</t>
  </si>
  <si>
    <t>1.6.1</t>
  </si>
  <si>
    <t xml:space="preserve">a) Retention Money @ 5% of C </t>
  </si>
  <si>
    <t>Plinth Beam</t>
  </si>
  <si>
    <t>4.2.5</t>
  </si>
  <si>
    <t>PROJECT NAME - BOQ OF PEB 300 BOYS HOSTEL,THAPAR UNIVERSITY,PATIALA</t>
  </si>
  <si>
    <t>Structure Work (Section-A)</t>
  </si>
  <si>
    <t xml:space="preserve"> EARTH WORK</t>
  </si>
  <si>
    <t xml:space="preserve">(Quoted Rates are for all heights, depths, levels, leads and lifts) - Note : All basic rate are mentioned is FOR at site </t>
  </si>
  <si>
    <t>Excavation in all types of soil (Poclanable)for footings of columns, Retaining walls, Core walls, catch pits, Lift pits trenches for drains, etc., by mechanical means upto 2 m depth  (Using JCB,Poclane etc.,)including levelling, dressing the edges, with all leads and lifts including back filling in layers of 150mm with watering and compaction. Rate to include disposing the excess earth and spreading in layers to the required levels within the site wherever specified including watering, ramming , consolidating and dressing etc. working space shall be paid max 600mm extra</t>
  </si>
  <si>
    <t>1.1.1</t>
  </si>
  <si>
    <t xml:space="preserve">Up to or all kinds of soil below existing excavated level as handed over to the contractor by the Project-in-charge.  </t>
  </si>
  <si>
    <t>Cum</t>
  </si>
  <si>
    <t>Diluting and injecting chemical emulsion for PRE-CONSTRUCTIONAL ANTI- TERMITE treatment and creating a continuous chemical barrier under and all-round the column pits, wall trenches, basement excavation, top surface of plinth filling, junction of wall and floor, along the external perimeter of building, expansion joints, over the top surface of consolidated earth on which apron is to be laid, surroundings of pipes and conduits etc. complete as per specification (plinth area of the building at ground floor only shall be measured for payment)Note: The work must be executed by approved specialised Agency who is the member of IPCA. The Contractor shall give a 10 years guarantee as per instruction of Project Manager.</t>
  </si>
  <si>
    <t>Chlorpyriphos Emulsifiable concentrate 20% with 1% concentration</t>
  </si>
  <si>
    <t>Sqm</t>
  </si>
  <si>
    <t>Pumping out Under ground water for keeping water table down by creating well point system as per the requirement of site as per the approval of Project Manager (The entire system to be got approval from the Consultant / Client prior to installing the same).  The Contractor has to make the proper record of the dewatering system at site by maintaining the log book which shall be got signed from the client representative/ the Project Manager everyday. Dewatering to be carried out on 24 hour basis as per direction of Project Manager.  Contractor  should  enquire  the source for diposal of water before quoting the rate. (Dewatering should stop only after the casting of ground floor slab or completion of waterproofing of lower &amp; upper basement walls whichever is later)</t>
  </si>
  <si>
    <t>Per Hr/Per Day</t>
  </si>
  <si>
    <t>Supplying &amp; laying stone soling 225 mm thk (compacted) including preparing the surface laying stone to template and filling the voids with moorum, watering and consolidation with road roller etc. complete including cost of all labour and material.</t>
  </si>
  <si>
    <t xml:space="preserve"> PILING WORK</t>
  </si>
  <si>
    <t xml:space="preserve">Providing cast in situ RCC straight bored piles of grade M-30(Min. Cement Content 400Kg) , piles having min. length as specified below from cut off level of pile to tip of pile having safe load as per IS code 2911 Part  –III 1980 latest complete in all respects inclusive of cost of all labour material, machineries, boring, shuttering, concrete pouring, vibrating in piles etc. excluding the cost of reinforcement but ventonite including.  Bored earth to be disposed off within the project site as directed by project in charge). </t>
  </si>
  <si>
    <t>Rmt</t>
  </si>
  <si>
    <t>Providing and making spot welding of pile reinforcement at top &amp; bottom by 10mm dia ring</t>
  </si>
  <si>
    <t>Nos.</t>
  </si>
  <si>
    <t>CONCRETE WORK (CAST-IN-SITU)</t>
  </si>
  <si>
    <t>Note :- Rates for all cement concrete items plain and reinforced  described below shall include work from lowest Basement to top of last roof including roof of machine room, mumty, overhead tanks and parapets above. Dressing is include where PCC is laying on earth.</t>
  </si>
  <si>
    <t>Providing and laying in position cement concrete of specified grade including the cost of centring and shuttering.</t>
  </si>
  <si>
    <t>3.1.1</t>
  </si>
  <si>
    <t>1:5:10 (1 Cement :5 coarse sand :10 graded stone aggregate 40mm nominal size)</t>
  </si>
  <si>
    <t>1:4:8 (1 Cement: 4 coarse sand: 8 graded stone aggregate 40mm nominal size)</t>
  </si>
  <si>
    <t xml:space="preserve"> REINFORCED CONCRETE</t>
  </si>
  <si>
    <t xml:space="preserve">Providing &amp; laying cast - in - place structural controlled cement concrete using "Ready Mixed concrete" of below mentioned grades with 20mm down coarse aggregates excluding cost of centering, shuttering and steel reinforcement but including cost of making shear keys and provision of construction / contraction / control joints in various locations, laid, vibrating,finished,consolidated and surface preparation before concretingconsolidated and cured, item to include all structural items like base raft, ramp, column, wall, footings, equipment foundations, fins, mullions, beams, lintels, pergola, chajja, facia, parapet, railing, slab, trenches, drains, water tanks and sumps etc. of any shape and sizes, the rates of concrete to include the cost of admixtures / plasticisers  in recommended proportions. (As per IS9103) to accelerate, retard setting of concrete, improve workability without impairing strength and durability to achieve specified strength and to facilitate pumpable concrete. The rate shall be for all depths/ heights, lead &amp; lift.Checking from Client should not be considered as final and any defects arising during or after casting should be borne &amp; bear by contractor at his own cost.  M-25                                             </t>
  </si>
  <si>
    <t>4.1.3</t>
  </si>
  <si>
    <t>M40 Grade for all heights and depths.</t>
  </si>
  <si>
    <t xml:space="preserve">Providing, erecting, fixing in position and striking ply wood shuttering &amp; centering for form work in plane / slopes at all levels, heights &amp; locations for all shapes including strutting, proping, chamfers, splays, keys, wedges, props, bracings, bolting, brackets, cuttings holes for pipes and removal of the same etc.,complete. allow for forming grooves, drops, throats, arrises, chamfers, cutouts, openings, G.I sleeves etc. wherever called for. Providing and applying approved form oil on all surfaces of form work coming in contact with concrete including close hacking of all exposed concrete work after removal of form work all materials, fixing nosing angles, switch boxes, labour etc. complete as per specifications, drawings and as directed.(Area of form work in contact with concrete shall only be measured for payment &amp; stop boards for construction joints will not be measured for payment).Unexposed concrete surface subsequently left untreated (in the condition obtained on removal of form work) shall not constitute exposed concrete work and shall be measured under this item only. </t>
  </si>
  <si>
    <t>Footing, raft, stitching slab, pedestals,pile caps, etc.,</t>
  </si>
  <si>
    <t>4.2.2</t>
  </si>
  <si>
    <t>Columns of any size/Shear Walls</t>
  </si>
  <si>
    <t>4.2.3</t>
  </si>
  <si>
    <t xml:space="preserve">Providing and fixing  special type of approved centering, shuttering and scaffolding for exposed concrete surfaces for Columns and Shear Walls (Supporting Transfer Floor). </t>
  </si>
  <si>
    <t>4.2.4</t>
  </si>
  <si>
    <t xml:space="preserve">Providing and fixing  special type of approved centering, shuttering and scaffolding to produce Foam Finish for exposed concrete surfaces for Columns and Shear Walls. </t>
  </si>
  <si>
    <t>Suspended floors, roofs, landings balconies, access platform, Lintels, beams, plinth beams, girders, bressumers, Stairs, cantilevers (excluding landing) except spiral staircases.etc</t>
  </si>
  <si>
    <t>4.2.6</t>
  </si>
  <si>
    <t xml:space="preserve">Providing and fixing  special type of approved centering, shuttering and scaffolding for exposed concrete surfaces for Suspended Floors and Beams. </t>
  </si>
  <si>
    <t>4.2.7</t>
  </si>
  <si>
    <t>Retention Walls of any thickness.</t>
  </si>
  <si>
    <t>4.2.8</t>
  </si>
  <si>
    <t xml:space="preserve">Item same as above of shuttering but for Mivan shuttering instead of Ply or Steel plate shuttering </t>
  </si>
  <si>
    <t>4.2.9</t>
  </si>
  <si>
    <t>Extra for additional height in centring, shuttering where ever required with adequate bracing, propping etc. including cost of de shuttering and decentring at all levels, over a height of 4.0 m for every additional height of 1 meter or part thereof (Plan area to be measured)</t>
  </si>
  <si>
    <t>4.3.1</t>
  </si>
  <si>
    <t xml:space="preserve">Foundation </t>
  </si>
  <si>
    <t>4.3.2</t>
  </si>
  <si>
    <t xml:space="preserve">Columns, pillars, posts and struts </t>
  </si>
  <si>
    <t>Extra  for providing richer mixes respectively at all floors</t>
  </si>
  <si>
    <t>4.3.3</t>
  </si>
  <si>
    <t>Providing M-30 grade instead of M-25 grade RCC</t>
  </si>
  <si>
    <t>4.3.4</t>
  </si>
  <si>
    <t>Providing M-35 grade instead of M-25 grade RCC</t>
  </si>
  <si>
    <t>4.3.5</t>
  </si>
  <si>
    <t>Providing M-40 grade instead of M-25 grade RCC</t>
  </si>
  <si>
    <t>4.3.6</t>
  </si>
  <si>
    <t>4.3.7</t>
  </si>
  <si>
    <t>4.3.8</t>
  </si>
  <si>
    <t xml:space="preserve">Retention Walls of any thickness. </t>
  </si>
  <si>
    <t>Providing and laying reinforcements high yield strength ribbed TMT steel of various diameters  grade  FE 500 conforming to IS code 1786 for reinforced concrete work including cutting, bending, binding with annealed 18G MS binding wire, placing in  position according to drawings. (Rate shall include cost of binding wire, cover blocks, etc)(Basic rate-40/kg)</t>
  </si>
  <si>
    <t>Mechanical reinforcement couplers</t>
  </si>
  <si>
    <t>STRUCTURAL STEEL</t>
  </si>
  <si>
    <t>Supplying and fixing in position insert plates, bolts, angles, tees, plats, anchor bolts, anchor plates, cleats and grillage beams etc. in reinforced cement concrete work including cost of cutting, bending, drilling, threading and welding lugs etc. with all tools tackles and labour as per design or as directed including a coat of approved primer &amp; two coat painting and making good the concrete surface if required.</t>
  </si>
  <si>
    <t>Kg</t>
  </si>
  <si>
    <t>Providing &amp; fixing in position MS grating made out of M.S.Flat iron angle iron frame including providing &amp; applying two coats of synthetic enamel paint over one coat of steel primer complete as per details.</t>
  </si>
  <si>
    <t>WATER PROOFING</t>
  </si>
  <si>
    <t>Placing &amp; laying injection grouting cum polymer coating water proofing by applying two coats of polymer (cementious base) coating over water proofing 20mm plaster after cleaning the surface and providing not less than 18mm G.I. Nozzles, covering 1.5m x 1.5m grid for pressure grouting of cement slurry admixed with expandable powder of approved manufacture, admixture, waterproofing plasticiser etc. polymer coating shall be protected by 20mm thick water proofing plaster complete as per detailed specifications (work to be executed by approved specialized agency).</t>
  </si>
  <si>
    <t>6.1.1</t>
  </si>
  <si>
    <t>Foundation</t>
  </si>
  <si>
    <t>6.1.2</t>
  </si>
  <si>
    <t>Retention Walls of any thicnkness</t>
  </si>
  <si>
    <t>Providing and laying light weight foam concrete (cast-in situ) of max. density 600 kg / cum  as per specification for all floor levels</t>
  </si>
  <si>
    <t>Nos</t>
  </si>
  <si>
    <t>cum.</t>
  </si>
  <si>
    <t>sqm</t>
  </si>
  <si>
    <t>cum</t>
  </si>
  <si>
    <t>Finishing Work (Section-B)</t>
  </si>
  <si>
    <t>Masonary Work</t>
  </si>
  <si>
    <t>(Quoted Rates are for all heights, all depths, all levels, including basement to roof (mumty) &amp; all leads and lifts, including racking curved or circular masonry work,</t>
  </si>
  <si>
    <t>Block work in superstructure/Basement</t>
  </si>
  <si>
    <t>8.1.1</t>
  </si>
  <si>
    <t>Providing and laying autoclaved aerated cement blocks masonry with 200 mm thick/or more thick as required AAC blocks in super structure at any level  in cement mortar 1:5 (1 cement : 5 coarse sand ). The rate includes providing and placing RCC bend in M-25 in full width of wall and 150 mm high, with 2 nos. 10mm dia bars, all as per specifications. (this bend is constructed if wall length or height is more than 3 metres)</t>
  </si>
  <si>
    <t>8.1.1.1</t>
  </si>
  <si>
    <t>Providing and constructing brick masonry of thickness 230 mm or more in super structure for any shapes, fins, projections, in shafts, under counter / platform / cupboards, using selected quality burnt clay FPS bricks of class designation 75 laid in cement mortar 1:6 (1 cement :6 coarse sand) mix, joints finished, flush/ raked to 6mm depth including scaffolding, curing complete as per specification and drawing or as directed by Project Manager.</t>
  </si>
  <si>
    <t>Brick Work for Staircase</t>
  </si>
  <si>
    <t>8.1.1.2</t>
  </si>
  <si>
    <t>Providing and constructing brickwork in staircase steps using selected quality burnt clay FPS bricks of class designation 75 in cement mortar 1:3 (1 cement : 3 coarse sand) at all heights and levels including cutting, chamfering, scaffolding, curing, complete as per specification.</t>
  </si>
  <si>
    <t>Half block work</t>
  </si>
  <si>
    <t>8.2.1</t>
  </si>
  <si>
    <t>Providing and laying autoclaved aerated cement blocks masonry with 100 mm thick AAC blocks in super structure at any level  in cement mortar 1:4 (1 cement : 4 coarse sand ). The rate includes providing and placing RCC bend in M-25 in full width of wall and 150 mm high, with 2 nos. 10mm dia bars, all as per specifications. (this bend is constructed if wall length or height is more than 3 metres)</t>
  </si>
  <si>
    <t>Half brick work</t>
  </si>
  <si>
    <t>8.2.2</t>
  </si>
  <si>
    <t>Providing and constructing half brick masonry using selected quality burnt clay FPS brick of class designation 75 in super structure laid in cement mortar 1:4 (1 cement : 4 coarse sand) mix, joints finished, flush / raked to 6mm depth as directed by Owner including providing and placing one no. 16 gauge 25 mm wide MS flat hoop reinforcement at every fourth course and anchoring the same by screwing with R.C.C members, scaffolding, curing, complete as per specification and drawing or as directed by Owner.</t>
  </si>
  <si>
    <t>Dry Wall Partition</t>
  </si>
  <si>
    <t>Gypsum wall panel in thickness of 12.5mm shall be fixed both side of LGFS Frame with wafer head steel screws. The rock wool insulation shall be applied in slab form having thickness of 50mm thick -48kg density shall be provided in between frame vertically. The board shall be given primer coat and putty/taping and shall be given final coat of ODB paint 2 coat. </t>
  </si>
  <si>
    <t>8.3a</t>
  </si>
  <si>
    <t>CEMENT BOARD CLADDING OVER DRY WALL PARTITION</t>
  </si>
  <si>
    <t>Extra for additionally providing and installing 8mm thick cement board before gypsum board over dry wall partition framework.</t>
  </si>
  <si>
    <t xml:space="preserve">Sunken area filling </t>
  </si>
  <si>
    <t>8.4.1</t>
  </si>
  <si>
    <t>Providing and laying on sunken areas broken light weight concrete block of approximately 600 kg. per cum density laid, consolidated, finished smooth, including finishing &amp; grouting the top layer with water proof cement mortar with CICO and as per specific</t>
  </si>
  <si>
    <t>FINISHING WORKS</t>
  </si>
  <si>
    <t>(Quoted Rate shall be for all heights, depths, levels, leads and lifts and to include providing and fixing chicken wire mesh in junction RCC and brick / AAC Block walls and all chasing for electrical &amp; plumbing conduits, pipes etc. for internal and external plaster works).</t>
  </si>
  <si>
    <t>Wall plaster - Internal Plaster</t>
  </si>
  <si>
    <t>9.1.1</t>
  </si>
  <si>
    <t>Providing and applying 12 to 15mm thick plaster to masonry and RCC walls, columns etc. in cement mortar 1:5 (1 cement : 5 fine and coarse sand in equal proportion) finished smooth including scaffolding, curing, making grooves at desired location etc. complete as per drawing.</t>
  </si>
  <si>
    <t>20 mm cement plaster in two layer -External Plaster</t>
  </si>
  <si>
    <t>9.3.1</t>
  </si>
  <si>
    <t>Providing and applying 20 mm thick external cement plaster in two coats under layer 12 mm thick cement plaster 1:5 (1 cement : 5 coarse sand) finish rough with sponge, finished with a top layer 8mm thick cement plaster 1:6 (1 cement :6 fine sand) including making of grooves, bands, drip coarse as shown in drawing, scaffolding, curing, providing &amp; mixing water proofing compound (CICO) in both layers as per manufacturer specification,  including  neat cement slurry where required.</t>
  </si>
  <si>
    <t xml:space="preserve">Oil bound distemper </t>
  </si>
  <si>
    <t>9.4.1</t>
  </si>
  <si>
    <t>Providing and applying three or more coats of oil bound distemper of approved brand and colour to give an even shade on new plastered work over a coat of approved primer including the cost of preparing the surfaces with filling materials (putty), along with sand papering wherever required, scaffolding  etc. complete.</t>
  </si>
  <si>
    <t>White washing</t>
  </si>
  <si>
    <t>sqm.</t>
  </si>
  <si>
    <t>9.5.1</t>
  </si>
  <si>
    <t>Providing and applying three or more coats of white wash on wall and ceiling to give an even shade including primer and preparation of surfaces, along with sand papering wherever required, scaffolding, mixing of  blue and Fevicol-DDL or equivalent etc. complete.</t>
  </si>
  <si>
    <t>Texture paint</t>
  </si>
  <si>
    <t>9.6.1</t>
  </si>
  <si>
    <t>Providing and applying two or more coats of texture paint on External wall surfaces over a coat of primer including surface preparation scaffolding etc complete and top surface finished as per requirement of Architect and Project Manager.(Applicator basic rate with material Rs. 25 /- per sqft. ) - External Surface</t>
  </si>
  <si>
    <t>FLOORING / CLADDING WORKS</t>
  </si>
  <si>
    <t>(Quoted Rates are for all heights, depths, levels, leads and lifts and for all design and pattern shown in drawings)</t>
  </si>
  <si>
    <t xml:space="preserve">Marble shall be procured in standard and equal cut to size pieces, quoted rates also to include cutting of odd sizes and skirting from standard size stone pieces, rest all other stones shall be procured in slabs of varying sizes. </t>
  </si>
  <si>
    <t>All basic rates mentioned are FOR at site exclusive of local VAT unless otherwise mentioned.</t>
  </si>
  <si>
    <t>10.3</t>
  </si>
  <si>
    <t>Tile flooring</t>
  </si>
  <si>
    <t>10.3.1</t>
  </si>
  <si>
    <t xml:space="preserve">Providing and laying  tile flooring  of approved make, shade and pattern as approved by Architect laid over required thk of  cement  mortar 1:4 (1 cement : 4 coarse sand) including Spacer, cutting, grouting the joints with Epoxy and pigment etc. complete in all respects as per pattern and drawing.     </t>
  </si>
  <si>
    <t>10.3.1.1</t>
  </si>
  <si>
    <t>With 10mm thick Vitrified Tiles - (Basic rate of  @ Rs 85 / sqft)  (600 X 600)</t>
  </si>
  <si>
    <t>10.3.1.2</t>
  </si>
  <si>
    <t xml:space="preserve">Same as 10.3.1 but dado &amp; Skirting With 8mm thick  Ceramic Tiles  (Basic rate of  @ Rs 50 / sqft) (200 X 300  or 300 X300) </t>
  </si>
  <si>
    <t>10.3.1.4</t>
  </si>
  <si>
    <t>With 10mm thick Vitrified Tiles - (Basic rate of  @ Rs 85 / sqft)   for Skirting</t>
  </si>
  <si>
    <t>10.3.1.5</t>
  </si>
  <si>
    <t>China Mosaic Tiles (Basic  rate of @ Rs 50/sqft) grouting with water profing material</t>
  </si>
  <si>
    <t>10.4</t>
  </si>
  <si>
    <t>Counter Top</t>
  </si>
  <si>
    <t>10.4.3</t>
  </si>
  <si>
    <t>Providing and laying machine cut pre-polished stone slab/ / tile  in required size of approved quality in counters fixed over average 20 mm thick cement mortar 1:4 (1 cement : 4 coarse sand) and joints neatly finish with cement paste mixed with matching pigment including edge chamfering, moulding, making openings/ holes for sink/ wash basin, mixers, soap dispenser, ledge/ sorounding  of bath tub,back splash, facia, ledges of shower area  etc. as required and mirror polishing of moulding and cut edges, filling silicon at junctions with sanitary fixtures and corners with wall whereever required etc complete as per drawing.</t>
  </si>
  <si>
    <t>10.4.3.1</t>
  </si>
  <si>
    <t>With 18 to 20mm thick granite and joint to be filled with white cement slurry mixed with pigment to match the shade of stone including rubbing and mirror polishing complete (Base rate of unpolished Indian marble Rs 85/- per Sqft)</t>
  </si>
  <si>
    <t>Sports Flooring</t>
  </si>
  <si>
    <t>10.4.4</t>
  </si>
  <si>
    <t>10.5</t>
  </si>
  <si>
    <t xml:space="preserve">CC/IPS floor </t>
  </si>
  <si>
    <t>10.5.1</t>
  </si>
  <si>
    <t>Providing and laying upto 50mm thick Cement Concrete 1:2:4 (1cement :2 coarse sand : 4 graded stone aggregate of 12.5mm nominal size) including and finished with a floating coat of neat cement including cement slurry, 40mm wide and 6mm thick. Glass strip &amp; Neat cemet etc (if required). complete in true lines and level as per specification and drawing .(Service Area,Couping etc)</t>
  </si>
  <si>
    <t>10.5.2</t>
  </si>
  <si>
    <t>Providing and laying Precast Cement Concrete 1:2:4 (1cement :2 coarse sand : 4 graded stone aggregate of 12.5mm nominal size) including shuttering . complete in true lines and level as per specification and drawing.excluding Steel for lintel or drain  Rcc Cover for all level</t>
  </si>
  <si>
    <t>10.6</t>
  </si>
  <si>
    <t>Laminated Wooden Cladding</t>
  </si>
  <si>
    <t>10.6.1</t>
  </si>
  <si>
    <t xml:space="preserve">Providing and laying in position appd. laminated wooden cladding as per approved sample in Specification book, and  as specified in drg  . It shall be fixed with suitable glue confirming to EN-13329, with foam layer as under lay. The job shall include skirting, edge  Base profiles etc.  As laid area  shall be paid for billing.( Basic cost of wooden floor shall be Rs. 75/- per sft including laying with underlay, skirting, profiles etc. complete). Only laid area will be measured for payment. </t>
  </si>
  <si>
    <t>10.7</t>
  </si>
  <si>
    <t>Cubical Toilet stall partition</t>
  </si>
  <si>
    <t>10.7.1</t>
  </si>
  <si>
    <t xml:space="preserve">Providing and fixing toilet cubicles of varying sizes made of solid compact laminate with textured finish melamine on both sides having properties of colour fastness, scratch, moisture and impact resistance. The intermediate shall be of one continuous panel without any joint. All visible edges will be chamfered, All pilasters are to be supported with Nylon (Polyamide-6) (with M12 threaded - Rod inserted for stability) or stainless steel adjustable foot and anchored to the floor with SS screws, The intermediate panel / dividers shall be mounted to the wall with thick aluminium U channel section using SS screws. The Door will include providing for environ seal/ brush in the shutter. The top rail of the system shall be of 2mm thick, semi- round heavy duty aluminium channel section fixed to the top of pilaster with SS screws. All aluminium channel shall be anodized (Grade 6063 T5  15 Micron) or epoxy powder coated) Each type Cubicles shall be equipped with the following Nylon or stainless steel accessories: Door Knob; coat hook with rubber stopper; self closing. hinges shall be normal ; privacy Thumbturn.  suggested Make: Merino Zeus series or Equivalent Green </t>
  </si>
  <si>
    <t>10.8</t>
  </si>
  <si>
    <t>Pantry Counter</t>
  </si>
  <si>
    <t>10.8.1</t>
  </si>
  <si>
    <t>Fabricating and fixing low height storage cabinet of height 850mm and depth 600mm formed of 19mm marine grade plywood formwork/carcass and 1 Nos. internal shelf of 19mm marine ply. Shutter of storage unit to be of laminated BWP ply,  with inside also laminated. The shutter shall be mounted on 3Nos.. of approved spring loaded auto closing hinges of approved make. The rear backing of the storage shall be formed of 8mm thick marine plywood.  Low height cabinet to be topped with 20mm thick granite counter top, with double edge to form a fascia of 40mm thick affixed to carcass with exposed edge profiled polished to high gloss with 150mm height skirting formed out of 19mm thk marine ply.  Storage to be complete with hardware installed as directed to consist of the following. Shutter to have auto-closing spring loaded hinge of approved make installed strictly as per manufacturers guidelines. All necessary tools should be strictly used for correct installation of hinges. Each set of shutters to be provided with 1 Nos. chrome finished multi-purpose lock of approved make, 75mm medium sized stainless steel tower bolt, 1 Nos. heavy duty SS ball catch, 100mm C type brushed SS handles.</t>
  </si>
  <si>
    <t>10.8.1.1</t>
  </si>
  <si>
    <t>Basic Rate: 20mm thk. granite Rs.150/sft. Basic rate 1mm thk laminate Rs. 40 Sft</t>
  </si>
  <si>
    <t>10.8.1.2</t>
  </si>
  <si>
    <t>With 20-25mm thick kota Stone and joint to be filled with white cement slurry mixed with pigment to match the shade of stone including rubbing and mirror polishing complete.</t>
  </si>
  <si>
    <t xml:space="preserve">Internal WATER PROOFING WORKS  </t>
  </si>
  <si>
    <t xml:space="preserve">Tapecrete water proofing </t>
  </si>
  <si>
    <t>Providing and laying composite built up  waterproofing in the toilets/ kitchen/ pantry etc. comprising of three coats of Tapecrete or equivalent polymer, each coat admixed with cement in the proportion 1:2 (one part tapcrete and two parts cement)  over a primer coat of neat cement slurry admixed with impermeable chemical CH-9. After the second coat of tapecrete, all corners, edges, joints of pipes with concrete / masonry should be sealed with epoxy putty. The waterproofing treatment is to be laid underneath all sanitary pipes on the base and taken up onto the verticals upto a level of minimum 300mm above the finished toilet floor level including providing and fixing of PVC spout.</t>
  </si>
  <si>
    <t>11.1.1</t>
  </si>
  <si>
    <t>15mm thick protective plaster 1:4 (1 cement : 4 coarse sand) over treated surface etc complete. (Quoted rate to include grouting of RCC surface for any cracks/ fissures)</t>
  </si>
  <si>
    <t xml:space="preserve">Brick bat coba waterproofing </t>
  </si>
  <si>
    <t xml:space="preserve">Providing and laying integral cement based water proofing treatment including preparation of surface as required for treatment of roofs, balconies, terraces etc consisting of  following operations.   (a)    Applying and grouting a slurry coat of neat cement using 2.75 kg/sqm. of cement admixed with proprietary water proofing compound conforming to IS. 2645 over the RCC slab including cleaning the surface before treatment.   (b)   Laying cement concrete using broken bricks/brick bats 25 mm to 100mm size with 50% of cement mortar 1:5 (1 cement : 5 coarse sand) admixed with proprietary water proofing compound conforming to IS : 2645 over 20 mm thick layer of cement mortar of mix 1:5 (1 cement :5 coarse sand )  admixed with proprietary water proofing compound conforming to IS : 2645 to required slope and treating similarly the adjoining walls upto 300 mm height including rounding of junctions of walls and slabs.      </t>
  </si>
  <si>
    <t>(c) After two days of proper curing applying a second coat of cement slurry admixed with proprietary water proofing compound conforming to IS : 2645.     (d)   Finishing the surface with 20 mm thick joint less cement mortar of mix  1:4 (1 cement :4 coarse sand) admixed with proprietary water proofing compound conforming to IS : 2645  and finally finishing the surface with trowel with neat cement slurry and making of 300x300xmm square    (e)    The whole terrace so finished shall be flooded with water for  a minimum period of two weeks for curing and for final test.  All above operations to be done in order and as directed and specified by the Engineer-in-Charge.</t>
  </si>
  <si>
    <t>11.2.1</t>
  </si>
  <si>
    <t>With average thickness of 120mm and minimum  thickness at khurra as  65 mm. (Plan area will be measured and paid)</t>
  </si>
  <si>
    <t>11.2.2</t>
  </si>
  <si>
    <t xml:space="preserve">Add or deduct for extra or less thickness of brick bat coba waterproofing </t>
  </si>
  <si>
    <t>Providing and applying, Sika WP shield 103 P or approved equivalent  APP ( Atactic Polypropylene Polymer) modified  water proofing membrane reinforced with non-woven polyester matt having plain finish as a top finished surface. Minimum Joint strength in longitudinal and transverse direction as 600N/450N /5cm.Minimum Tear strength in longitudinal and transverse direction as 300/200N. Softening point of membrane not less than 145 Degree Celsius, with cold flexibility -2 degree, Consisting of a coat of primer Pibial primer/ Sika WP Shield W  or approeved equivalent @ 0.30 ltr./sq.mtr,.  Over the primer coat, the layer of membrane shall be laid using Butane / LPG torch and sealing all joints with 75 mm side laps &amp; 100 mm end laps to form a monolithic system. The laying of membrane shall be got done through the authorized application of the manufacturer of membrane. The quoted rate to include providing additional application for pipe penetrations and making atleast 50mm fillets  at corners as necessary and required .</t>
  </si>
  <si>
    <t>Door/Glazing</t>
  </si>
  <si>
    <t>Door &amp; Window frame/ sub frame</t>
  </si>
  <si>
    <t>Providing, making and fixing in position selected woods in frames etc. of doors, windows, ventilators made to size and shape as shown in drawing, with mitered joints fixed with 40x3mm flat iron hold fast 400mm long embedding bricks masonry work/ concrete work in cement concrete 1:2:4 by approved dash fastener in contact with RCC, as directed including making necessary grooves, chamfering etc. including applying water proof wood  primer and 2 coats of termite proof paint on concealed surfaces, etc. complete as per detailed drawings. (all item described above are to be included in the quoted price).</t>
  </si>
  <si>
    <t>12.1.1</t>
  </si>
  <si>
    <t>Sal or Ivory wood with two or more coat of Synthetic Enamel of approved shade as per specification.</t>
  </si>
  <si>
    <t>Flush door</t>
  </si>
  <si>
    <t>12.2.1</t>
  </si>
  <si>
    <t>Providing and fixing  phenol bonded flush door shutters of approved quality and make non decorative type core of block board construction with internal frame of 1st class hard wood and well matched 3mm commercial ply veneering with vertical grains or cross bands including providing and fixing 4 nos. 125mm long and 3.5mm thick SS hinges, 6 mm thick  wooden lipping all around complete as per specification.</t>
  </si>
  <si>
    <t>12.2.2</t>
  </si>
  <si>
    <t>38 mm thick with both side laminate of approved shade as per specification.</t>
  </si>
  <si>
    <t>Fire Rated Doors</t>
  </si>
  <si>
    <t>12.3.1</t>
  </si>
  <si>
    <t>Supply &amp; Installation of wooden Fire rated doors complete with all accessaries  &amp; fire rating certification from all competent authorities.</t>
  </si>
  <si>
    <t>Fire Rating: Fire rating shall be minimum 2 hours.</t>
  </si>
  <si>
    <t>Providing, Supplying and fixing of 55 mm thick double/ single leaf non-metallic asbestos free, fire /smoke check door shutters of 2hour fire rating, as per manufacturers specifications and similar to the prototype tested by CBRI, Roorkee &amp; certificate issued thereof (as per IS:3614 Part-2, 1992) with overall size as per site requirement, including door frame of section 150x65 mm made out of seasoned second class Teak wood, and shutter comprising of 2 non-combustible boards each 12 mm thick sandwiching 25 mm thick fire resistant insulation filler faced with 3mm thick commercial ply veneer on both the faces and seasoned teak wood lipping all around the shutter with neat activated Intumescent fire seal strip of size 12 mmx 4 mm on all sides except bottom (for smoke sealing) including making necessary provision for hardwares fixing as approved by Project Manager. These provision are to be left during fabrication of doors. All shutters shall be mounted on door frames with the help of 4 Nos stainless steel ball bearing hinges per door  leaf  etc. complete as  per drawing. The price to include enamel painting of the door frame as approved.</t>
  </si>
  <si>
    <t>12.3.2</t>
  </si>
  <si>
    <t>with 1 mm thick laminate on both side.</t>
  </si>
  <si>
    <t>12.3.3</t>
  </si>
  <si>
    <t>Providing, supplying and fixing steel door (double/ single leaf) of and frame  as per manufacturers specifications and similar  with overall size as per site requirement. Door frame are made with 1.6mm thk galvanised steel sheet pressed to double rebate profile of size 143x57mm. Door shutter are made with 1.6mm thk galvanised steel sheet pressed formed to provide a 46mm thk fully flush double skin panel shall with lock seam joints at style edges. The internal construction of panel is specially designed Honey comb structure with reinforcement at top, bottom and stile srounds. The item also include provision for required iron mongery and finished with H primer &amp; polynethene paint etc. compelete. The shutter is to be fixed with frame with 4 Nos SS ball bearing butt hinges.</t>
  </si>
  <si>
    <t>Hardwares</t>
  </si>
  <si>
    <t>12.4.1</t>
  </si>
  <si>
    <t xml:space="preserve">Providng &amp; Fixing of Mortise lock with  pair of handles of approved makes in Fire door including necessary screws etc. complete. With key from both sides (Basic rate of Mortice lock Rs. 2000/- each) </t>
  </si>
  <si>
    <t>12.4.4</t>
  </si>
  <si>
    <t xml:space="preserve">Providing and fixing imported Panic Latch-  for door including outside acess handles complete </t>
  </si>
  <si>
    <t>12.4.5</t>
  </si>
  <si>
    <t>Panic bar - 378 E Briton or approved equivalent for door complete as per drawing including outside access  latch Briton 1413E or approved equivelent.</t>
  </si>
  <si>
    <t>12.4.6</t>
  </si>
  <si>
    <t>Providing and fixing Door closer (Modle-1300 SIL) in  fire door (Lockwood door closer size 2-4 adjustable or approved equivalent) complete as per drgs.( Basic rate Rs 2200 / each )</t>
  </si>
  <si>
    <t>12.4.7</t>
  </si>
  <si>
    <t xml:space="preserve">Supply and fixing of 2 hrs. Fire rated clear, monolithic, borosilicate fire rated glass of size 300x600mm. (the manufacture should submit test report along with the tender bid clearly showing that the 2 hrs. wooden fire doors has been tested along with the vision panel of size 300x600mm).  </t>
  </si>
  <si>
    <t>12.4.8</t>
  </si>
  <si>
    <t>12.4.9</t>
  </si>
  <si>
    <t xml:space="preserve">Supply and fixing of SS 304 grade 25mm dia x 450mm long D-Type Pull Handle </t>
  </si>
  <si>
    <t>12.4.10</t>
  </si>
  <si>
    <t>Providing and fixing  SS Tower Bolt 250 long</t>
  </si>
  <si>
    <t>12.4.11</t>
  </si>
  <si>
    <t>Providing and fixing  SS Handle 125 mm</t>
  </si>
  <si>
    <t>12.4.12</t>
  </si>
  <si>
    <t>Providing and fixing  ss door stopper</t>
  </si>
  <si>
    <t>12.4.13</t>
  </si>
  <si>
    <t>Providing &amp; fixing  latch and  lock  and a pair of  handle  in  brushed  steel  finish  complete. Dorset Handle Dorset SD OP2 (SS) silver satin. With ML 110 (SS) mortise lock and lock body. CL 204 Cylinder for non fire rated doors</t>
  </si>
  <si>
    <t>FACADE  WORK</t>
  </si>
  <si>
    <t>Providing and fixing openable single/double doors /window as per the elevation drawings enclosed, fabricated out of heavy duty aluminum powder coated as approved shade (55 micron) all profiles as per specification including providing Masking Tapes on the profiles for safety against external scratches at site (Masking Tapes to be removed only at the time of handing over as per the instructions of Project Manager).</t>
  </si>
  <si>
    <t>The fixing shall be done on existing aluminum rough ground at anchorage locations, in jambs, sills and heads by drilling holes with an electric drill, inserting PVC sleeves and Stainless Steel Counter sunk screws of appropriate size to provide a minimum of 50 mm to 80mm anchoring in the masonry.</t>
  </si>
  <si>
    <t>The entire periphery shall be sealed by application of appropriate silicon weather sealant between the aluminum and masonry from both outside and inside to make the door glazing water tight.</t>
  </si>
  <si>
    <t>Openable shutters shall be provided with appropriate number of heavy duty floor spring of approved make, snap-on aluminum beading, necessary hardwares such as aluminum handles, cylindrical locks, door stopper, stainless steel fixing screws with anchor sleevs of FISCHER or approved equivalent make as per design and drawing.</t>
  </si>
  <si>
    <t>The Contractor shall make provision for fixing of exhaust fan including of cutting of glass where ever required as per Drawing and as required by Architect/ Project Manager.</t>
  </si>
  <si>
    <t>13.1.1</t>
  </si>
  <si>
    <t>Composite door/window  with 6 mm thick clear toughened  glass</t>
  </si>
  <si>
    <t>13.1.1.2</t>
  </si>
  <si>
    <t>fixed window/ fixed part of Composite door/window with hermatically sealed  with 6 mm thick clear toughened  glass</t>
  </si>
  <si>
    <t>13.1.2</t>
  </si>
  <si>
    <t>Extra for providing and fixing openable shutters for aluminium framed glazed window as required including wire mesh jali shutter.</t>
  </si>
  <si>
    <t>13.1.3</t>
  </si>
  <si>
    <t>Item same as above but for using aluminium framed glazed door shutter instead of window including door alumnium door frame, necessary hardware like heavy duty butt hinges, aluminium handles, door stopper, concealed lock for door and recess handle with push button concealed lock, adjustable SS friction stay for window of approved make, snap-on aluminium beading, stainless steel fixing screws with anchor sleevs of approved make, all necessary fixing arrangement etc complete  as per design approved by the Architect/ Project Manager..</t>
  </si>
  <si>
    <t>13.2.1</t>
  </si>
  <si>
    <t xml:space="preserve">with 12mm thick clear toughened glass Fixed , </t>
  </si>
  <si>
    <t>GFRC Jali</t>
  </si>
  <si>
    <t>13.3.1</t>
  </si>
  <si>
    <t>Providing &amp; fixing of GRC Decorative Jali(Pre Coloured)of approved pattern in Building Façade of as shown in drawing comprising with GRC jali panel supported with clamp fixed with bolts over rcc/brick wall including Roughening, Cleaning, Making all necessary fixing arrangements etc all complete. All MS Sections to be painted with two coats of Red Oxide Primer. After fixing of the Jali Panel frame repair of Cement Plaster and doing a Complete Job including MS Subframe etc.. Note:-Nothing extra will be payable doing the work. The quoted rates are for all Heights, depths, Levels, Leads and Lifts. Refer detailed drawing for all designs , patterns.   (Note :- The Contractor shall be submit the shop drawing for final approval by the Project Manager/Architect &amp; also submit the sample. The Contractor shall be refer all the details drawing before quote nothing extra shall be paid.)</t>
  </si>
  <si>
    <t>Rm</t>
  </si>
  <si>
    <t>13.3.2</t>
  </si>
  <si>
    <t>Item same as above but  GFRC Fins (75 X150 )    LS</t>
  </si>
  <si>
    <t>13.3.3</t>
  </si>
  <si>
    <t xml:space="preserve">Item same as above but  GFRC Fins (75 X250 ) </t>
  </si>
  <si>
    <t xml:space="preserve">FALSE CEILING </t>
  </si>
  <si>
    <t>14.3.1</t>
  </si>
  <si>
    <t>TRAC 84C FALSE CEILING SYSTEM – STEEL</t>
  </si>
  <si>
    <t>14.4.1</t>
  </si>
  <si>
    <t>Supply of TRAC 84C Ceiling System comprising of Coil Coated Galvanised Steel 84mm x 12.5mm deep panels with 23.9mm flange roll formed out of 0.45 mm thick coil coated on the both sides in manufacturer’s standard colour shades. The panels shall have coil coating on the face side for a DFT of 15-20 microns and shall be fixed on to roll formed carriers 32mm wide x 39mm deep out of 0.6mm galvanised steel with cut-outs to hold the panels in a module of 100mm at max. 1.6mtr. c/c. Carriers to be suspended from roof / truss by 4mm dia galvanised steel wire rod hangers with special height adjustment clips at max. 1.3m. c/c. Hangers fixed to roof by ‘J’ hooks and nylon inserts or to truss members by regular industrial grade 18G GI wire Panels shall be factory cut in lengths upto max. 5m to suit site dimensions / shop drawings. Edge profile / wall angle to be 19x19x0.5mm thick Steel matching the colour of panels.</t>
  </si>
  <si>
    <t>Insulation glass wood 50mm thick 16kg density shall be provided if required in polythene bag laid over ceiling.</t>
  </si>
  <si>
    <t>This Bill</t>
  </si>
  <si>
    <t>Upto Prev. Bill</t>
  </si>
  <si>
    <t>Total to Date</t>
  </si>
  <si>
    <t>Unit Rate</t>
  </si>
  <si>
    <t>Dia of Bar</t>
  </si>
  <si>
    <t>Dee Kay Buildcon Pvt. Ltd.</t>
  </si>
  <si>
    <t>S. No.</t>
  </si>
  <si>
    <t>TOTAL</t>
  </si>
  <si>
    <t>Payable Qty</t>
  </si>
  <si>
    <t>8 mm</t>
  </si>
  <si>
    <t>10 mm</t>
  </si>
  <si>
    <t>12 mm</t>
  </si>
  <si>
    <t>16 mm</t>
  </si>
  <si>
    <t>20 mm</t>
  </si>
  <si>
    <t>25 mm</t>
  </si>
  <si>
    <t>32 mm</t>
  </si>
  <si>
    <t>Columns (Footing to Plinth Beam)</t>
  </si>
  <si>
    <t xml:space="preserve">Bar Binding Schedule </t>
  </si>
  <si>
    <t>Shape of Bar</t>
  </si>
  <si>
    <t xml:space="preserve">Nos </t>
  </si>
  <si>
    <t>Length of Bar (In Mtr.)</t>
  </si>
  <si>
    <t>Total Length (Mtr.)</t>
  </si>
  <si>
    <t>Deduction</t>
  </si>
  <si>
    <t xml:space="preserve">Cutting Length </t>
  </si>
  <si>
    <t>Dia Wise Length In Mtr.</t>
  </si>
  <si>
    <t>8mm</t>
  </si>
  <si>
    <t>10mm</t>
  </si>
  <si>
    <t>12mm</t>
  </si>
  <si>
    <t>16mm</t>
  </si>
  <si>
    <t>20mm</t>
  </si>
  <si>
    <t>25mm</t>
  </si>
  <si>
    <t xml:space="preserve">PLINTH BEAM </t>
  </si>
  <si>
    <t>Block</t>
  </si>
  <si>
    <t>NO. OF BAR</t>
  </si>
  <si>
    <t>NO.OF MEMB.</t>
  </si>
  <si>
    <t>T0P&amp;BOTTOM PB1(a)(230*600)grid w/10-15</t>
  </si>
  <si>
    <t>U</t>
  </si>
  <si>
    <t xml:space="preserve">TOP EXTRA </t>
  </si>
  <si>
    <t>TOP EXTRA =</t>
  </si>
  <si>
    <t>BOTTOM EXTRA=</t>
  </si>
  <si>
    <t>TOP&amp;BOTTOM LAP LANGTH</t>
  </si>
  <si>
    <t>RING</t>
  </si>
  <si>
    <t>TOP&amp;BOTTOM PB4 (230X450) Grid U/1-6</t>
  </si>
  <si>
    <t>TOP EXTRA= GRID 1</t>
  </si>
  <si>
    <t>TOP EXTRA=</t>
  </si>
  <si>
    <t>TOP EXTRA= GRID 6</t>
  </si>
  <si>
    <t>TOP EXTRA=GRID3</t>
  </si>
  <si>
    <t>BOTTOM EXTRA=GRID 1-3</t>
  </si>
  <si>
    <t>RING=</t>
  </si>
  <si>
    <t>TOP*BOTTOMLAP LANTH</t>
  </si>
  <si>
    <t>TOP&amp;BOTTOM PB6 (230X450) Grid T/6-10&amp;15-19</t>
  </si>
  <si>
    <t>TOP EXTRA GRID 8</t>
  </si>
  <si>
    <t>TOP EXTRA=9</t>
  </si>
  <si>
    <t>TOP EXTRA=10</t>
  </si>
  <si>
    <t>BOTTOM EXTRA=GRID 8-9</t>
  </si>
  <si>
    <t>TOP&amp;BOTTOMBAR  PB6(a)230*600)GridT/10-15</t>
  </si>
  <si>
    <t>TOP EXTRA BAR GRID 10&amp;15</t>
  </si>
  <si>
    <t>TOP EXTRA BAR=11&amp;14</t>
  </si>
  <si>
    <t>BOTTOM EXTRA BAR=11&amp;14</t>
  </si>
  <si>
    <t>LAP LANTH</t>
  </si>
  <si>
    <t>TOPBAR&amp;BOTTOMBAR PB7 (230X450) Grid S/1-6 &amp; 19-24</t>
  </si>
  <si>
    <t>TOP EXTRA BAR=Grid 1</t>
  </si>
  <si>
    <t>TOP EXTRA BAR=GRID3</t>
  </si>
  <si>
    <t>TOP EXTRA BAR=GRID 3</t>
  </si>
  <si>
    <t>BOTTOM EXTRA BAR=1-3</t>
  </si>
  <si>
    <t>BOTTOM BAR=3-6</t>
  </si>
  <si>
    <t>TOP BAR&amp;BOTTOMBAR=PB8 (230X450) Grid R/1-24</t>
  </si>
  <si>
    <t>TOP EXTRA BAR=G-8-6</t>
  </si>
  <si>
    <t>TOP EXTRA BAR=G 8-6</t>
  </si>
  <si>
    <t>TOP EXTRA BAR =G9-10</t>
  </si>
  <si>
    <t>TOP EXTRA BAR =G12</t>
  </si>
  <si>
    <t>TOP EXTRA BAR =G 13</t>
  </si>
  <si>
    <t>TOP EXTRA BAR=G15&amp;16</t>
  </si>
  <si>
    <t>TOP EXTRA BAR=G 17&amp;19</t>
  </si>
  <si>
    <t>TOP EXTRA BAR=G17&amp;19</t>
  </si>
  <si>
    <t>TOP EXTRA BAR = G 22</t>
  </si>
  <si>
    <t>BOTTOM BAR=G1-3</t>
  </si>
  <si>
    <t>BOTTOM BAR=G 3-6</t>
  </si>
  <si>
    <t>BOTTO M BAR=G 8-9</t>
  </si>
  <si>
    <t>BOTTOM BAR=G 12 -13</t>
  </si>
  <si>
    <t>BOTTPM BAR=G 16-17</t>
  </si>
  <si>
    <t>BOTTOM BAR=G 22-24</t>
  </si>
  <si>
    <t xml:space="preserve">TOP BAR PB9a(230X600) Grid Q/1-4 &amp; 21-24 </t>
  </si>
  <si>
    <t>BOTTOMBAR LANTH SAME TOPBAR</t>
  </si>
  <si>
    <t>TOP EXTRA BAR G -1</t>
  </si>
  <si>
    <t>TOP EXTRA BAR G -4</t>
  </si>
  <si>
    <t>TOP EXTRA   BARG-4</t>
  </si>
  <si>
    <t>BOTTOM EXTRA BAR</t>
  </si>
  <si>
    <t>TOP BAR =PB9A(230X450) Grid Q/4-6&amp; 19-21</t>
  </si>
  <si>
    <t>TOP EXTRA  BAR =</t>
  </si>
  <si>
    <t xml:space="preserve"> TOP BAR &amp;BOTTOM BAR PB9B (230X450) Grid Q/6-19</t>
  </si>
  <si>
    <t>TOP EXTRA BAR G-8</t>
  </si>
  <si>
    <t>TOP EXTRA BAR G-9-10</t>
  </si>
  <si>
    <t>TOP EXTRA BAR G- 12</t>
  </si>
  <si>
    <t>TOP EXTRA BAR G13</t>
  </si>
  <si>
    <t>TOP EXTR BAR G 15 -16</t>
  </si>
  <si>
    <t>TOPEXTRA BAR G 17</t>
  </si>
  <si>
    <t>TOP EXTRA BAR G17</t>
  </si>
  <si>
    <t xml:space="preserve"> BOTTOM EXTRA  BAR G 8-9</t>
  </si>
  <si>
    <t>BOTTOM EXTRA BAR G16 -17</t>
  </si>
  <si>
    <t xml:space="preserve">bOTTOM EXTRA BAR G3-6 </t>
  </si>
  <si>
    <t>TOP BAR PB11a (230X600) Grid P/1-4 &amp;21-24</t>
  </si>
  <si>
    <t>BOTTOM  BAR LANTH SAME TOP BAR</t>
  </si>
  <si>
    <t>TOP EXTRA BAR G 1</t>
  </si>
  <si>
    <t>TOP EXTRA BARR G 4</t>
  </si>
  <si>
    <t>TOP EXTRA BAR G4</t>
  </si>
  <si>
    <t>BOTTOM EXTRA BAR G 1-4</t>
  </si>
  <si>
    <t>TOP BAR PB11A(230X450) Grid P/4 -8 &amp; 17-22</t>
  </si>
  <si>
    <t>BOTTOM BAR LANTH SAME TOP BAR</t>
  </si>
  <si>
    <t>TOP EXTRA BAR G 6</t>
  </si>
  <si>
    <t>TOP BAR &amp;BOTTOM BAR PB 12 (230X450) Grid N/8-17</t>
  </si>
  <si>
    <t>TOP  EXTRA BAR G 8</t>
  </si>
  <si>
    <t>TOP EXTRA BAR G8</t>
  </si>
  <si>
    <t>TOP EXTRA BAR G 9 -10</t>
  </si>
  <si>
    <t>TOP EXTRA BAR G9-10</t>
  </si>
  <si>
    <t xml:space="preserve">TOP EXTRA BAR G 12 </t>
  </si>
  <si>
    <t>TOP EXTRA BATR 13</t>
  </si>
  <si>
    <t>TOP EXTRA BAR 15 -16</t>
  </si>
  <si>
    <t>TOP EXTRA BAR G 15 16</t>
  </si>
  <si>
    <t>T0P EXTARA BAR G 17</t>
  </si>
  <si>
    <t>TOP EXTRA BAR G 17</t>
  </si>
  <si>
    <t>BOTTOM EXTRA BAR G8-9</t>
  </si>
  <si>
    <t>BOTTOM EXTRA BAR G 12-13</t>
  </si>
  <si>
    <t>B OTTOM EXTRA BAR G 16-17</t>
  </si>
  <si>
    <t>TOP BAR &amp;BOTTOM BAR PB13 (230X450) Grid M/2-8 &amp; 17-23</t>
  </si>
  <si>
    <t>TOP EXTRA BAR G 2</t>
  </si>
  <si>
    <t>TOP EXTRA BAR G 4-5</t>
  </si>
  <si>
    <t>TOP EXTRA BAR G 8</t>
  </si>
  <si>
    <t>BOTTOM EXTRA BAR  GRID 2-4</t>
  </si>
  <si>
    <t>BOTTOM EXTRA BAR G 5-8</t>
  </si>
  <si>
    <t xml:space="preserve">TOP &amp; BOTTOM BAR PB 14 (230X450) L/12-13 </t>
  </si>
  <si>
    <t>TOP EXTRA G 12&amp;13</t>
  </si>
  <si>
    <t>BOTTOM EXTRA 12-13</t>
  </si>
  <si>
    <t>TOP &amp; BTTOM BAR PB15 (230X450) Grid K/2-7 &amp; 18-23</t>
  </si>
  <si>
    <t>TOP EXTRA BAR G 2&amp;8</t>
  </si>
  <si>
    <t>TOP EXTRA 4&amp;5</t>
  </si>
  <si>
    <t xml:space="preserve">TOP&amp;EXTRA PB16 (230X450) Grid G/5-8&amp;17-20 </t>
  </si>
  <si>
    <t>TOP EXTRA 5&amp;8</t>
  </si>
  <si>
    <t>BOTTOM EXTRA 5-8</t>
  </si>
  <si>
    <t>LAP LENGTH</t>
  </si>
  <si>
    <t xml:space="preserve">TOP BAR &amp; BOTTOM BAR PB16A (230X450) Grid G/8-11 </t>
  </si>
  <si>
    <t>TOP EXTRA BAR G 9</t>
  </si>
  <si>
    <t>TOP EXTRA BAR G9</t>
  </si>
  <si>
    <t>TOP EXTRA BAR G 11</t>
  </si>
  <si>
    <t>TOP EXTRTA BAR G 11</t>
  </si>
  <si>
    <t>BOTTOM EXTRA BAR 8-9</t>
  </si>
  <si>
    <t>BOTTOM EXTRA BAR 9-11</t>
  </si>
  <si>
    <t xml:space="preserve">BOTTOM BAR </t>
  </si>
  <si>
    <t>TOP EXTRA BAR G 11-14</t>
  </si>
  <si>
    <t>TOP BAR &amp;BOOTTOMBAR PB17(230*450) Grid F/2-4&amp;21-23</t>
  </si>
  <si>
    <t>TOP EXTRA BAR G 2-4</t>
  </si>
  <si>
    <t>LAP</t>
  </si>
  <si>
    <t>TOP BAR &amp; BOOTTOM BARPB18(230*450)Gridf-g/9-11</t>
  </si>
  <si>
    <t xml:space="preserve">BOTTOM EXTYRA </t>
  </si>
  <si>
    <t>TOPBAR&amp;BOTTOMBAR PB19(230*450)Grid E/5-20</t>
  </si>
  <si>
    <t>TOP EXTRA BAR G 5</t>
  </si>
  <si>
    <t>TOP EXTRA BAR G11</t>
  </si>
  <si>
    <t>TOP EXTRA BAR G14</t>
  </si>
  <si>
    <t>TOP EXTRA BAR G 16</t>
  </si>
  <si>
    <t>TOP EXTRA  BAR G 17</t>
  </si>
  <si>
    <t>TOP EXTRA BAR G 20</t>
  </si>
  <si>
    <t>BOTTOM EXTRA G 5-8</t>
  </si>
  <si>
    <t>BOTTOM EXTRA G 8-9</t>
  </si>
  <si>
    <t>BOTTOM EXTRA G 9-11</t>
  </si>
  <si>
    <t>BOTTOM EXTRA G 11-14</t>
  </si>
  <si>
    <t>BOTTOM EXTRA G 14-16</t>
  </si>
  <si>
    <t>BOTTOM EXTRA G 16-17</t>
  </si>
  <si>
    <t>BOTTOM EXTRA G 17-20</t>
  </si>
  <si>
    <t xml:space="preserve">LAP LENGTH </t>
  </si>
  <si>
    <t>TOP BAR &amp;BOTTOMBAR PB20A(230*450)Grid E-F</t>
  </si>
  <si>
    <t>TOP BAR &amp; BOTTOM BARPB20(230*450)GridF/14-15</t>
  </si>
  <si>
    <t>TOP BAR &amp;BOTTOM BAR PB21(230*450)Grid F/16-17</t>
  </si>
  <si>
    <t>TOP BAR &amp;BOOTTOM BAR(PB22(230*450)Grid D/4-21</t>
  </si>
  <si>
    <t>TOP EXTRA BAR G 4</t>
  </si>
  <si>
    <t>TOP EXTRA BAR G 6-8</t>
  </si>
  <si>
    <t>TOP EXTRA BAR G6-8</t>
  </si>
  <si>
    <t>TOPEXTRA BAR G9</t>
  </si>
  <si>
    <t>TOP EXTRA BAR G 14</t>
  </si>
  <si>
    <t>TOP EXTRA BAR G16</t>
  </si>
  <si>
    <t>TOP EXTRA BAR G 17-19</t>
  </si>
  <si>
    <t>TOP EXTRA BAR G1719</t>
  </si>
  <si>
    <t>TOP EXTRA BAR G 21</t>
  </si>
  <si>
    <t>BOTTOM BAR G  8-9</t>
  </si>
  <si>
    <t>BOTTOM BAR G  9-11</t>
  </si>
  <si>
    <t>BOTTOM BAR G 11-14</t>
  </si>
  <si>
    <t>BOTTOM BAR G 14-16</t>
  </si>
  <si>
    <t>BOTTOM BAR G16-17</t>
  </si>
  <si>
    <t>TOPEXTRABAR G 8</t>
  </si>
  <si>
    <t>TOP EXTRA G11</t>
  </si>
  <si>
    <t>TOP EXTRA G 11</t>
  </si>
  <si>
    <t>TOP EXTRA G 14</t>
  </si>
  <si>
    <t>TOP EXTRA G 16</t>
  </si>
  <si>
    <t>TOP EXTRA G 17</t>
  </si>
  <si>
    <t>BOTTOM EXTRA 8-9</t>
  </si>
  <si>
    <t>BOTTOM EXTRA 9-11</t>
  </si>
  <si>
    <t>BOTTOM EXTRA 11-14</t>
  </si>
  <si>
    <t>BOTTOM EXTRA 14-16</t>
  </si>
  <si>
    <t>BOTTOM EXTRA 16-17</t>
  </si>
  <si>
    <t>TOP &amp; BOTTOM BAR PB24(230*450) Grid B/11-14</t>
  </si>
  <si>
    <t>LAP LENTH</t>
  </si>
  <si>
    <t>TOP &amp; BOTTOM BAR Beam PB26(230*450) Grid 1and 24/p-u</t>
  </si>
  <si>
    <t>TOP EXTRA G Q&amp;S</t>
  </si>
  <si>
    <t>TOP EXTRA G U</t>
  </si>
  <si>
    <t xml:space="preserve">EXTRA BOTTOM BAR G S-U </t>
  </si>
  <si>
    <t>TOP &amp; BOTTOM BAR Beam PB 26A(230*450)Grid 2and23/F-P</t>
  </si>
  <si>
    <t>TOP EXTRA G-F</t>
  </si>
  <si>
    <t>TOP EXTRA G-J-K-M</t>
  </si>
  <si>
    <t>BOTTOM EXTRA BAR G-F-J</t>
  </si>
  <si>
    <t>BOTTOM EXTRA BAR G-J-K&amp;K-M</t>
  </si>
  <si>
    <t>TOP &amp; BOTTOM BAR Beam PB 31(230*450)Grid 4and21/D-F</t>
  </si>
  <si>
    <t>TOP &amp; BOTTOM BAR Beam31A(230*450)Grid 4 and2/F-P</t>
  </si>
  <si>
    <t>TOP EXTRA BAR G-F</t>
  </si>
  <si>
    <t>TOP EXTRA BAR G-J&amp;K</t>
  </si>
  <si>
    <t>TOP EXTRA BAR G-M</t>
  </si>
  <si>
    <t>BOTTOM EXTRA G- F-J</t>
  </si>
  <si>
    <t>BOTTOM EXTRA G- J-K&amp;K-M</t>
  </si>
  <si>
    <t xml:space="preserve">LAP LANTH </t>
  </si>
  <si>
    <t>TOP &amp; BOTTOM BAR Beam PB 27(230*450)Grid 3-2and 22-23/S-u</t>
  </si>
  <si>
    <t>BOTTOM EXTRA</t>
  </si>
  <si>
    <t>TOP &amp; BOTTOM BAR Beam PB28(a)( 230*600) Grid3and22/Q-U</t>
  </si>
  <si>
    <t xml:space="preserve">TOP EXTRA G-R </t>
  </si>
  <si>
    <t>TOP EXTRA G-U</t>
  </si>
  <si>
    <t>BOTTOM EXTRA G-R-U</t>
  </si>
  <si>
    <t>TOP &amp; BOTTOM BAR Beam PB29(230*450)Grid 3 and22/p-q</t>
  </si>
  <si>
    <t>TOP &amp; BOTTOM BARBeamPb30(230*450)grid 4and21/p-r</t>
  </si>
  <si>
    <t>TOP EXTRA G-Q</t>
  </si>
  <si>
    <t>TOP &amp; BOTTOM BAR PB32 (230*450)Grid 5and 20/d-j</t>
  </si>
  <si>
    <t>TOP EXTRA G- E&amp;G</t>
  </si>
  <si>
    <t>TOP &amp; BOTTOM BAR PB32A(230*450)grid 5 and20/m-j</t>
  </si>
  <si>
    <t>TOP EXTRA G-J&amp;M</t>
  </si>
  <si>
    <t>TOP EXTRA G-K</t>
  </si>
  <si>
    <t>BOTTOM EXTRA G-J-K&amp;K-M</t>
  </si>
  <si>
    <t>TOP &amp; BOTTOM BAR PB32B(230*450)grid 5 and20/p-m</t>
  </si>
  <si>
    <t>TOP &amp; BOTTOM BAR PB33(230*450)grid 6and19/d-c</t>
  </si>
  <si>
    <t>TOP EXTRA G-C&amp;D</t>
  </si>
  <si>
    <t>TOP &amp; bottom bar BAR PB34(230*450) grid 6and19/m-q</t>
  </si>
  <si>
    <t>TOP  BAR PB34A(230*450) G-q-r, pb 34(a)230*600 grid r-u</t>
  </si>
  <si>
    <t>TOP EXTRA BAR G-R</t>
  </si>
  <si>
    <t>TOP EXTRA BAR G-U</t>
  </si>
  <si>
    <t>BOTTOM BAR pb34B G-R-U</t>
  </si>
  <si>
    <t>LAP  DIA 12</t>
  </si>
  <si>
    <t>LAP  DIA 16</t>
  </si>
  <si>
    <t>RING PB34A G-Q-R</t>
  </si>
  <si>
    <t>RING PB34B G-R-U</t>
  </si>
  <si>
    <t>TOP &amp; BOTTOM BAR PB35(230*450)Grid7-8and17-18/c-t</t>
  </si>
  <si>
    <t>TOP EXTRA G-C</t>
  </si>
  <si>
    <t>TOP EXTRA G-D-E</t>
  </si>
  <si>
    <t>TOP EXTRA G-G-J</t>
  </si>
  <si>
    <t>TOP EXTRA G-M-N</t>
  </si>
  <si>
    <t>TOP EXTRA G-Q-R</t>
  </si>
  <si>
    <t>TOP EXTRA G-T</t>
  </si>
  <si>
    <t>BOTTOM EXTRA G -C-D</t>
  </si>
  <si>
    <t>BOTTOM EXTRA G -E-G</t>
  </si>
  <si>
    <t>BOTTOM EXTRA G -J-K</t>
  </si>
  <si>
    <t>BOTTOM EXTRA G -K-M</t>
  </si>
  <si>
    <t>BOTTOM EXTRA G -N-Q</t>
  </si>
  <si>
    <t>BOTTOM EXTRA G -R-T</t>
  </si>
  <si>
    <t>TOP &amp; BOTTOM BAR PB36(230*450)grid 9and16/c-g and n-t</t>
  </si>
  <si>
    <t>TOP EXTRA G-G</t>
  </si>
  <si>
    <t>BOTTOM EXTRA G-E-G</t>
  </si>
  <si>
    <t>TOP &amp; BOTTOM BARS PB36A GRID E-G/15 (230*450)</t>
  </si>
  <si>
    <t>BOTTOM EXTRA G-G-T</t>
  </si>
  <si>
    <t>TOP &amp; BOTTOM BAR PB37(a)(230*600)grid 10and15/T-w</t>
  </si>
  <si>
    <t>TOP EXTRA BAR G-T&amp;W</t>
  </si>
  <si>
    <t>TOP EXTRA BAR G-V</t>
  </si>
  <si>
    <t>BOTTOM  EXTRA BAR</t>
  </si>
  <si>
    <t>TOP &amp; BOTTOM BAR PB37(230*450)grid 10and15/ n-t</t>
  </si>
  <si>
    <t>TOP EXTRA BAR G-N</t>
  </si>
  <si>
    <t>TOP EXTRA BAR G-Q-R</t>
  </si>
  <si>
    <t>TOP EXTRA BAR G-T</t>
  </si>
  <si>
    <t>TOP &amp; BOTTOM BAR PB38(230*450)GRID 11AND 14/a-h</t>
  </si>
  <si>
    <t>TOP EXTRA G-B-C</t>
  </si>
  <si>
    <t>TOP EXTRA G-H</t>
  </si>
  <si>
    <t>BOTTOM EXTRA G-C-D</t>
  </si>
  <si>
    <t>RING G-A-E</t>
  </si>
  <si>
    <t>RING G-E-H</t>
  </si>
  <si>
    <t>TOP &amp; BOTTOM BAR PB 39(a)(230*600)grid 11and14/T-w</t>
  </si>
  <si>
    <t>TOP EXTRA G-V</t>
  </si>
  <si>
    <t>TOP EXTRA G-W</t>
  </si>
  <si>
    <t>TOP &amp; BOTTOM BAR PB40(230*450)Grid12and13/I-t</t>
  </si>
  <si>
    <t>TOP EXTRA G-N</t>
  </si>
  <si>
    <t>BOTTOM EXTRA G-N-Q</t>
  </si>
  <si>
    <t>BOTTOM EXTRA G-R</t>
  </si>
  <si>
    <t>TOP &amp; BOTTOM BAR PB 41(230*450)Grid 16-17/E-G</t>
  </si>
  <si>
    <t>PB Spacer</t>
  </si>
  <si>
    <t>Dia Wise Total Cutting Length</t>
  </si>
  <si>
    <t>Dia Wise Wieght of Steel in kg (per mtr)</t>
  </si>
  <si>
    <t>Dia Wise Wieght of Steel (in kg)</t>
  </si>
  <si>
    <t>Dia Wise Wieght of Steel (in MT)</t>
  </si>
  <si>
    <t>Total Weight In MT</t>
  </si>
  <si>
    <t xml:space="preserve">KITCHEN SLAB +75 LVL </t>
  </si>
  <si>
    <t>TOP MAIN &amp;BOTTAM DISTRIBUTION</t>
  </si>
  <si>
    <t>TOP DISTRIBUTION &amp; BOTTAM MAIN</t>
  </si>
  <si>
    <t>CHAIR</t>
  </si>
  <si>
    <t>Pedstal</t>
  </si>
  <si>
    <t>pedstal</t>
  </si>
  <si>
    <t>ring</t>
  </si>
  <si>
    <t>rectanangle</t>
  </si>
  <si>
    <t>tringle ring</t>
  </si>
  <si>
    <t>tie</t>
  </si>
  <si>
    <t>Footing F1 (1800x1800)</t>
  </si>
  <si>
    <t>Footing F2 (2100x2100)</t>
  </si>
  <si>
    <t>Footing F3 (2400x2400)</t>
  </si>
  <si>
    <t>Footing F4 (2700x2700)</t>
  </si>
  <si>
    <t xml:space="preserve">Straight </t>
  </si>
  <si>
    <t>Footing F5 (3250x2250)</t>
  </si>
  <si>
    <t>CF1 (4800x2400)</t>
  </si>
  <si>
    <t>CF2 (4500X2700)</t>
  </si>
  <si>
    <t>FB1 (4800x600x750) Top Bar</t>
  </si>
  <si>
    <t>Bottom bar same top bar</t>
  </si>
  <si>
    <t>FB2 (4500x750x750) Top Bar</t>
  </si>
  <si>
    <t>FB1 Strips (600x750)</t>
  </si>
  <si>
    <t>Strips</t>
  </si>
  <si>
    <t>FB2 Strip(750*750)</t>
  </si>
  <si>
    <t>TOP BAR&amp;BOTTOM  BAR PB 10 (230X450) Grid Q-P/3-6 &amp; 19-22</t>
  </si>
  <si>
    <t xml:space="preserve"> TOP B AR PB 16 B 230*450 H 11-14</t>
  </si>
  <si>
    <t>Ring</t>
  </si>
  <si>
    <t>U Shape</t>
  </si>
  <si>
    <t>Streight</t>
  </si>
  <si>
    <t>L Shape</t>
  </si>
  <si>
    <t>TOP EXTRA AT Q</t>
  </si>
  <si>
    <t>TOP EXTRA AT M</t>
  </si>
  <si>
    <t>BOTTOM EXTRA AT M</t>
  </si>
  <si>
    <t>TOP EXTRA AT G</t>
  </si>
  <si>
    <t>Top Extra Bar Grid - T</t>
  </si>
  <si>
    <t>BOTTOM EXTRA AT GRID N TO Q, R TO T</t>
  </si>
  <si>
    <t>BOTTOM EXTRA V-W</t>
  </si>
  <si>
    <t>TO EXTRA BAR 11 &amp; 14</t>
  </si>
  <si>
    <t>Shape 
of Bar</t>
  </si>
  <si>
    <t>Dia of
 Bar</t>
  </si>
  <si>
    <t>Total length
 in Mtr</t>
  </si>
  <si>
    <t xml:space="preserve">Cutting 
Length </t>
  </si>
  <si>
    <t>NO.OF 
MEMB.</t>
  </si>
  <si>
    <t>NO. OF 
BAR</t>
  </si>
  <si>
    <t>T0P  MAIN &amp; BOTTOM 
DISTRIBUTION grid W-T/10-15</t>
  </si>
  <si>
    <t>BOTTOM BAR Q TO R</t>
  </si>
  <si>
    <t>TOP &amp; BOTTOM BAR PB25(a)(230*600)Grid A/11-14</t>
  </si>
  <si>
    <t>TOP EXTRA A/ 11</t>
  </si>
  <si>
    <t>TOP EXTRA A/ 14</t>
  </si>
  <si>
    <t>BOTTOM EXTRA A/ 11-14</t>
  </si>
  <si>
    <t>TOP BAR&amp;BOTTOMBAR BAR PB23(230*450)Grid C/6-20</t>
  </si>
  <si>
    <t>Top &amp; Bottom Bar</t>
  </si>
  <si>
    <t>Rings</t>
  </si>
  <si>
    <t>Outer Section</t>
  </si>
  <si>
    <t>3rd</t>
  </si>
  <si>
    <t>Grade Slab</t>
  </si>
  <si>
    <t>1st Floor</t>
  </si>
  <si>
    <t>2nd Floor</t>
  </si>
  <si>
    <t>Ground Floor</t>
  </si>
  <si>
    <t>Grid On Grid C/6-8</t>
  </si>
  <si>
    <t>(-) W1</t>
  </si>
  <si>
    <t>On Grid 2/F-P</t>
  </si>
  <si>
    <t>(-) W1 7 Nos.</t>
  </si>
  <si>
    <t>Part 1</t>
  </si>
  <si>
    <t>On Grid 8/G-J</t>
  </si>
  <si>
    <t>(-)W3 1nos</t>
  </si>
  <si>
    <t>On Grid 8/J-N</t>
  </si>
  <si>
    <t>(-) W1 4 Nos.</t>
  </si>
  <si>
    <t>(-) W2 1 Nos.</t>
  </si>
  <si>
    <t>On Grid T/6-8</t>
  </si>
  <si>
    <t>(-) W1 1 Nos.</t>
  </si>
  <si>
    <t>On Grid P/1-4</t>
  </si>
  <si>
    <t>(-) D5 1 Nos</t>
  </si>
  <si>
    <t>FHC</t>
  </si>
  <si>
    <t>On Grid 4/P-Q</t>
  </si>
  <si>
    <t>(-) D6 1 Nos</t>
  </si>
  <si>
    <t>FHC 3-4</t>
  </si>
  <si>
    <t>Ground Floor B/W FFL above</t>
  </si>
  <si>
    <t>Part 1 Toilet area</t>
  </si>
  <si>
    <t>On Grid Q/1-4</t>
  </si>
  <si>
    <t>On Grid R/3-6</t>
  </si>
  <si>
    <t>On Grid S/1-6</t>
  </si>
  <si>
    <t>(-) D10</t>
  </si>
  <si>
    <t>(-) Opening</t>
  </si>
  <si>
    <t>On Grid U/1-6</t>
  </si>
  <si>
    <t>(-) W2</t>
  </si>
  <si>
    <t>On Grid 1/Q-U</t>
  </si>
  <si>
    <t>Between 2-3/S-U</t>
  </si>
  <si>
    <t>On Grid 6/R-U</t>
  </si>
  <si>
    <t>On Grid 3/S-U</t>
  </si>
  <si>
    <t>Bar Binding Schedule  (Pedestal)</t>
  </si>
  <si>
    <t>Bar Binding Schedule (Footing)</t>
  </si>
  <si>
    <t>Kitchen Grade Slab</t>
  </si>
  <si>
    <t xml:space="preserve">1st Floor </t>
  </si>
  <si>
    <t>Straight</t>
  </si>
  <si>
    <t>225c/c</t>
  </si>
  <si>
    <t>250c/c</t>
  </si>
  <si>
    <t>S NO</t>
  </si>
  <si>
    <t>Bar</t>
  </si>
  <si>
    <t>Nos of</t>
  </si>
  <si>
    <t>Length of Bar in Metre</t>
  </si>
  <si>
    <t>Cutting Length With Dedution</t>
  </si>
  <si>
    <t>Total Length of Over Laps</t>
  </si>
  <si>
    <t>Dia Wise Length</t>
  </si>
  <si>
    <t>Dia</t>
  </si>
  <si>
    <t>Spacing</t>
  </si>
  <si>
    <t>Shape</t>
  </si>
  <si>
    <t>Member</t>
  </si>
  <si>
    <t>Bar per Mamber</t>
  </si>
  <si>
    <t>At grid-AtoC</t>
  </si>
  <si>
    <t>At grid-11to14</t>
  </si>
  <si>
    <t>At grid-CtoD</t>
  </si>
  <si>
    <t>At grid-6to19</t>
  </si>
  <si>
    <t>At grid-DtoF</t>
  </si>
  <si>
    <t>At grid-4to21</t>
  </si>
  <si>
    <t>At grid-FtoG</t>
  </si>
  <si>
    <t>At grid-2to23</t>
  </si>
  <si>
    <t>At grid-GtoH</t>
  </si>
  <si>
    <t>At grid-JtoP</t>
  </si>
  <si>
    <t>At grid-2to8</t>
  </si>
  <si>
    <t>At grid-PtoU</t>
  </si>
  <si>
    <t>At grid-1to6</t>
  </si>
  <si>
    <t>At grid-NtoT</t>
  </si>
  <si>
    <t>At grid-LtoN</t>
  </si>
  <si>
    <t>At grid-12to13</t>
  </si>
  <si>
    <t>SUNKEN AREA LAPS</t>
  </si>
  <si>
    <t>At grid AtoB</t>
  </si>
  <si>
    <t>At grid 11to14</t>
  </si>
  <si>
    <t>At grid HtoE</t>
  </si>
  <si>
    <t>At grid GtoF</t>
  </si>
  <si>
    <t>At grid 9to11</t>
  </si>
  <si>
    <t>At grid 14to15</t>
  </si>
  <si>
    <t>At grid GtoE</t>
  </si>
  <si>
    <t>At grid 16to17</t>
  </si>
  <si>
    <t>At grid MtoQ</t>
  </si>
  <si>
    <t>At grid 6to8</t>
  </si>
  <si>
    <t>At grid LtoN</t>
  </si>
  <si>
    <t>At grid 12to13</t>
  </si>
  <si>
    <t>At grid PtoQ</t>
  </si>
  <si>
    <t>At grid 1to3</t>
  </si>
  <si>
    <t>At grid QtoU</t>
  </si>
  <si>
    <t>At grid StoU</t>
  </si>
  <si>
    <t>At grid QtoR/4</t>
  </si>
  <si>
    <t>At grid 3to4</t>
  </si>
  <si>
    <t>At grid NtoQ,TtoR/9to10</t>
  </si>
  <si>
    <t xml:space="preserve"> Bar Binding Schedule  (Grade Slab)</t>
  </si>
  <si>
    <t xml:space="preserve"> Bar Binding Schedule (Top Slab)</t>
  </si>
  <si>
    <t>Grid 6-8/C-D (3400X4775)</t>
  </si>
  <si>
    <t>Grid 4-8/D-F (7325X3775)</t>
  </si>
  <si>
    <t>Grid 2-8/F-P (12000X22500)</t>
  </si>
  <si>
    <t>Grid 1-8/P-T (14123X10400)</t>
  </si>
  <si>
    <t>Grid 1-6/T-U (10923X2287)</t>
  </si>
  <si>
    <t>Grid 8-11/C-G (Part 3) (12700X12000)</t>
  </si>
  <si>
    <t>Grid 8-12/N-T (Part 2) (13400X12575)</t>
  </si>
  <si>
    <t>Roof Slab 1st &amp; 2nd Floor Part 1, 2 &amp; 3</t>
  </si>
  <si>
    <t>A.2</t>
  </si>
  <si>
    <t>Non Scheduled Item</t>
  </si>
  <si>
    <t>Non Schedule Items</t>
  </si>
  <si>
    <t>Rate</t>
  </si>
  <si>
    <t>S.NO</t>
  </si>
  <si>
    <t>Total
Amount</t>
  </si>
  <si>
    <t>Pre.
Quantity</t>
  </si>
  <si>
    <t>Total
Quantity</t>
  </si>
  <si>
    <t>Pre. Bill
Amount</t>
  </si>
  <si>
    <t>This Bill
Amount</t>
  </si>
  <si>
    <t>This Bill
Quantity</t>
  </si>
  <si>
    <t>Toilet 1-7/N-U &amp; 17-24/N-U</t>
  </si>
  <si>
    <t>PART -2</t>
  </si>
  <si>
    <t>Grid On Grid T/8-11</t>
  </si>
  <si>
    <t>On Grid N/8-11</t>
  </si>
  <si>
    <t>(-)W1</t>
  </si>
  <si>
    <t>(-)W7</t>
  </si>
  <si>
    <t>Between R-S/9-10</t>
  </si>
  <si>
    <t>(-) D3</t>
  </si>
  <si>
    <t>PART-3</t>
  </si>
  <si>
    <t>On Grid 8-11/C</t>
  </si>
  <si>
    <t>On Grid 8-11/G</t>
  </si>
  <si>
    <t>(-)W10</t>
  </si>
  <si>
    <t>(-)W9</t>
  </si>
  <si>
    <t>On 9-10/Q</t>
  </si>
  <si>
    <t xml:space="preserve">(-) </t>
  </si>
  <si>
    <t>PART-4</t>
  </si>
  <si>
    <t>On Grid N/11-18</t>
  </si>
  <si>
    <t>(-) D8 1 Nos</t>
  </si>
  <si>
    <t>(-) W1 3 Nos.</t>
  </si>
  <si>
    <t>(-) W7 1 Nos.</t>
  </si>
  <si>
    <t>On Grid T/15-18</t>
  </si>
  <si>
    <t>Between 15-16/R-S</t>
  </si>
  <si>
    <t>(-)D3</t>
  </si>
  <si>
    <t xml:space="preserve">NIGHT CANTEEN </t>
  </si>
  <si>
    <t>On Grid L/12-13</t>
  </si>
  <si>
    <t>(-)D8</t>
  </si>
  <si>
    <t>On Grid 12/L-N</t>
  </si>
  <si>
    <t>On Grid 13/L-N</t>
  </si>
  <si>
    <t>(-)W8</t>
  </si>
  <si>
    <t>PART-5</t>
  </si>
  <si>
    <t>On Grid 14-15/E-F(FHC)</t>
  </si>
  <si>
    <t>(-)D6</t>
  </si>
  <si>
    <t>Long wall</t>
  </si>
  <si>
    <t>(-)D7</t>
  </si>
  <si>
    <t>ON GRID C/14-18</t>
  </si>
  <si>
    <t>ON GRID G/14-18</t>
  </si>
  <si>
    <t>(-)W2</t>
  </si>
  <si>
    <t>PART-6</t>
  </si>
  <si>
    <t>Grid On Grid C/18-19</t>
  </si>
  <si>
    <t>On Grid 23/F-P</t>
  </si>
  <si>
    <t>On Grid 18/G-J</t>
  </si>
  <si>
    <t>On Grid 18/J-N</t>
  </si>
  <si>
    <t>On Grid T/18-19</t>
  </si>
  <si>
    <t>On Grid 21/P-Q</t>
  </si>
  <si>
    <t>Part 2</t>
  </si>
  <si>
    <t>(-)W5</t>
  </si>
  <si>
    <t>(-)w1</t>
  </si>
  <si>
    <t>(-)w5</t>
  </si>
  <si>
    <t xml:space="preserve">PART-3 </t>
  </si>
  <si>
    <t>On Grid W/10-15</t>
  </si>
  <si>
    <t>PART -4</t>
  </si>
  <si>
    <t>(-) W5 1 Nos.</t>
  </si>
  <si>
    <t>On Grid T/11-18</t>
  </si>
  <si>
    <t>ON GRID 11-14/B</t>
  </si>
  <si>
    <t>(-) W6 1 Nos</t>
  </si>
  <si>
    <t>PART 6</t>
  </si>
  <si>
    <t>TOILET AREA</t>
  </si>
  <si>
    <t>On Grid S/19-24</t>
  </si>
  <si>
    <t>On Grid U/19-24</t>
  </si>
  <si>
    <t>part-2</t>
  </si>
  <si>
    <t>On Grid R/10-15</t>
  </si>
  <si>
    <t>On Grid 6/U-Q</t>
  </si>
  <si>
    <t>Front staircase mumty(11-14/H-D)</t>
  </si>
  <si>
    <t>On Grid E/11-14</t>
  </si>
  <si>
    <t>On Grid C/6-11</t>
  </si>
  <si>
    <t>On Grid C/14-19</t>
  </si>
  <si>
    <t>On Grid T/6-10</t>
  </si>
  <si>
    <t>Part 6 Toilet area</t>
  </si>
  <si>
    <t>Kitchen Area</t>
  </si>
  <si>
    <t>On Grid T/10-13</t>
  </si>
  <si>
    <t>(-) FHC opening</t>
  </si>
  <si>
    <t>(-) W8 3nos</t>
  </si>
  <si>
    <t>(-) W9 1nos</t>
  </si>
  <si>
    <t>(-) D8 1nos</t>
  </si>
  <si>
    <t>(-) D4 1nos</t>
  </si>
  <si>
    <t>On Grid 10/D-W</t>
  </si>
  <si>
    <t>(-) W8 2nos</t>
  </si>
  <si>
    <t>Toilet area, 9-11/F-G</t>
  </si>
  <si>
    <t>Toilet area, 16-17/E-G</t>
  </si>
  <si>
    <t>E-G</t>
  </si>
  <si>
    <t>E-F</t>
  </si>
  <si>
    <t>Hori..</t>
  </si>
  <si>
    <t>(-) D9 1nos</t>
  </si>
  <si>
    <t>(-) W5 2 Nos</t>
  </si>
  <si>
    <t>(-) DW1 1 Nos</t>
  </si>
  <si>
    <t>Kitchen area</t>
  </si>
  <si>
    <t>On grid 10-12+/V</t>
  </si>
  <si>
    <t>(-) D8</t>
  </si>
  <si>
    <t>Grid V-W/11</t>
  </si>
  <si>
    <t>On Grid U-V/12-15</t>
  </si>
  <si>
    <t>(-) Through pass</t>
  </si>
  <si>
    <t>On Grid 12-13/V-W</t>
  </si>
  <si>
    <t>Toilet wall, Grid 13-14/V-W</t>
  </si>
  <si>
    <t>(-) D9</t>
  </si>
  <si>
    <t>Grid 12-13/T-U</t>
  </si>
  <si>
    <t>(-) D2</t>
  </si>
  <si>
    <t>Internal Plaster 12-15 mm</t>
  </si>
  <si>
    <t>On Grid 10/T-W</t>
  </si>
  <si>
    <t>Ground floor</t>
  </si>
  <si>
    <t>Grid 8-11/E-G</t>
  </si>
  <si>
    <t>Grid 15-18/E-G</t>
  </si>
  <si>
    <t>Grid 8-9/N-Q</t>
  </si>
  <si>
    <t>Washing room</t>
  </si>
  <si>
    <t>Water cooler room</t>
  </si>
  <si>
    <t>Wooden Door Frame</t>
  </si>
  <si>
    <t>Non-Schedule Items</t>
  </si>
  <si>
    <t>Total 
Length (Mtr.)</t>
  </si>
  <si>
    <t>Bar Binding Schedule (Plinth Beam)</t>
  </si>
  <si>
    <t>Part 3</t>
  </si>
  <si>
    <t>Part 6 (Same as part 1)</t>
  </si>
  <si>
    <r>
      <rPr>
        <b/>
        <sz val="11"/>
        <rFont val="Cambria"/>
        <family val="1"/>
        <scheme val="major"/>
      </rPr>
      <t xml:space="preserve">Kitchen area </t>
    </r>
    <r>
      <rPr>
        <sz val="11"/>
        <rFont val="Cambria"/>
        <family val="1"/>
        <scheme val="major"/>
      </rPr>
      <t>Grid 10-15/T-W (12900X9359)</t>
    </r>
  </si>
  <si>
    <t>(Double mesh)</t>
  </si>
  <si>
    <r>
      <rPr>
        <b/>
        <sz val="11"/>
        <rFont val="Cambria"/>
        <family val="1"/>
        <scheme val="major"/>
      </rPr>
      <t>Grid 12-18/N-T (Part 4)</t>
    </r>
    <r>
      <rPr>
        <sz val="11"/>
        <rFont val="Cambria"/>
        <family val="1"/>
        <scheme val="major"/>
      </rPr>
      <t xml:space="preserve"> (18400X12000)</t>
    </r>
  </si>
  <si>
    <r>
      <rPr>
        <b/>
        <sz val="11"/>
        <rFont val="Cambria"/>
        <family val="1"/>
        <scheme val="major"/>
      </rPr>
      <t>Night Canteen, 12-13/L-N</t>
    </r>
    <r>
      <rPr>
        <sz val="11"/>
        <rFont val="Cambria"/>
        <family val="1"/>
        <scheme val="major"/>
      </rPr>
      <t xml:space="preserve"> (5100X3300)</t>
    </r>
  </si>
  <si>
    <r>
      <rPr>
        <b/>
        <sz val="11"/>
        <rFont val="Cambria"/>
        <family val="1"/>
        <scheme val="major"/>
      </rPr>
      <t>Grid 11-14/A-B (Part 5)</t>
    </r>
    <r>
      <rPr>
        <sz val="11"/>
        <rFont val="Cambria"/>
        <family val="1"/>
        <scheme val="major"/>
      </rPr>
      <t xml:space="preserve"> (6500X2400)</t>
    </r>
  </si>
  <si>
    <r>
      <rPr>
        <b/>
        <sz val="11"/>
        <rFont val="Cambria"/>
        <family val="1"/>
        <scheme val="major"/>
      </rPr>
      <t>Grid 11-14/D-E (Part 5)</t>
    </r>
    <r>
      <rPr>
        <sz val="11"/>
        <rFont val="Cambria"/>
        <family val="1"/>
        <scheme val="major"/>
      </rPr>
      <t xml:space="preserve"> (6500X2250)</t>
    </r>
  </si>
  <si>
    <r>
      <rPr>
        <b/>
        <sz val="11"/>
        <rFont val="Cambria"/>
        <family val="1"/>
        <scheme val="major"/>
      </rPr>
      <t>Grid 14-18/C-G (Part 5)</t>
    </r>
    <r>
      <rPr>
        <sz val="11"/>
        <rFont val="Cambria"/>
        <family val="1"/>
        <scheme val="major"/>
      </rPr>
      <t xml:space="preserve"> (12900X12000)</t>
    </r>
  </si>
  <si>
    <r>
      <rPr>
        <b/>
        <sz val="11"/>
        <rFont val="Cambria"/>
        <family val="1"/>
        <scheme val="major"/>
      </rPr>
      <t>Grid 11-14/B-E (Part 5)</t>
    </r>
    <r>
      <rPr>
        <sz val="11"/>
        <rFont val="Cambria"/>
        <family val="1"/>
        <scheme val="major"/>
      </rPr>
      <t xml:space="preserve"> (6500X9150)</t>
    </r>
  </si>
  <si>
    <r>
      <rPr>
        <b/>
        <sz val="11"/>
        <rFont val="Cambria"/>
        <family val="1"/>
        <scheme val="major"/>
      </rPr>
      <t>Grid 1-6/Q-U</t>
    </r>
    <r>
      <rPr>
        <sz val="11"/>
        <rFont val="Cambria"/>
        <family val="1"/>
        <scheme val="major"/>
      </rPr>
      <t xml:space="preserve"> (10923X9512)</t>
    </r>
  </si>
  <si>
    <r>
      <rPr>
        <b/>
        <sz val="11"/>
        <rFont val="Cambria"/>
        <family val="1"/>
        <scheme val="major"/>
      </rPr>
      <t>Grid 4-6/N-Q</t>
    </r>
    <r>
      <rPr>
        <sz val="11"/>
        <rFont val="Cambria"/>
        <family val="1"/>
        <scheme val="major"/>
      </rPr>
      <t xml:space="preserve"> (3825X4700)</t>
    </r>
  </si>
  <si>
    <r>
      <rPr>
        <b/>
        <sz val="11"/>
        <rFont val="Cambria"/>
        <family val="1"/>
        <scheme val="major"/>
      </rPr>
      <t>Grid 2-4/N-P</t>
    </r>
    <r>
      <rPr>
        <sz val="11"/>
        <rFont val="Cambria"/>
        <family val="1"/>
        <scheme val="major"/>
      </rPr>
      <t xml:space="preserve"> (4600X1425)</t>
    </r>
  </si>
  <si>
    <r>
      <rPr>
        <b/>
        <sz val="11"/>
        <rFont val="Cambria"/>
        <family val="1"/>
        <scheme val="major"/>
      </rPr>
      <t>Grid 6-7/N-Q (1/2*L*B*H)</t>
    </r>
    <r>
      <rPr>
        <sz val="11"/>
        <rFont val="Cambria"/>
        <family val="1"/>
        <scheme val="major"/>
      </rPr>
      <t xml:space="preserve"> (3025X4700)</t>
    </r>
  </si>
  <si>
    <t>Mumty of stair</t>
  </si>
  <si>
    <r>
      <rPr>
        <b/>
        <sz val="11"/>
        <rFont val="Cambria"/>
        <family val="1"/>
        <scheme val="major"/>
      </rPr>
      <t xml:space="preserve">Grid 1-3/P-Q &amp; 22-24/P-Q </t>
    </r>
    <r>
      <rPr>
        <sz val="11"/>
        <rFont val="Cambria"/>
        <family val="1"/>
        <scheme val="major"/>
      </rPr>
      <t>(6098X3375)</t>
    </r>
  </si>
  <si>
    <r>
      <rPr>
        <b/>
        <sz val="11"/>
        <rFont val="Cambria"/>
        <family val="1"/>
        <scheme val="major"/>
      </rPr>
      <t xml:space="preserve">Grid 11-14/E-H </t>
    </r>
    <r>
      <rPr>
        <sz val="11"/>
        <rFont val="Cambria"/>
        <family val="1"/>
        <scheme val="major"/>
      </rPr>
      <t>(6500X6575)</t>
    </r>
  </si>
  <si>
    <t>Beam (Mumty Toilet) 200X400</t>
  </si>
  <si>
    <t>On Grid 1 &amp; 6 /Q-U
(9412 Rmt, 4 Memb.)</t>
  </si>
  <si>
    <t>Striups</t>
  </si>
  <si>
    <t>On Grid U/1-6
(10725 Rmt, 2 Memb.)</t>
  </si>
  <si>
    <t>On Grid Q/1-4
(6898 Rmt, 2 Memb.)</t>
  </si>
  <si>
    <t>Between 6-7/N-Q Trangular
(5505 Rmt, 2 Memb.)</t>
  </si>
  <si>
    <t>On Grid N/2-7
(11450 Rmt, 2 Memb.)</t>
  </si>
  <si>
    <t>Precast lintel including shuttring</t>
  </si>
  <si>
    <t xml:space="preserve">Part 1 </t>
  </si>
  <si>
    <t>At Brickwork</t>
  </si>
  <si>
    <t>At Half Brick Work</t>
  </si>
  <si>
    <t>Total 
Length</t>
  </si>
  <si>
    <t>Unit/
Weight</t>
  </si>
  <si>
    <t>Total
Weight</t>
  </si>
  <si>
    <t>Lintel Beam</t>
  </si>
  <si>
    <t>Total Qty. in KG</t>
  </si>
  <si>
    <t>BBS for Lintel Beam</t>
  </si>
  <si>
    <t>Date:- 01.07.2016</t>
  </si>
  <si>
    <t>Vitrified Tile Skirting</t>
  </si>
  <si>
    <r>
      <t>Cement Board Clading at Dry Wall</t>
    </r>
    <r>
      <rPr>
        <b/>
        <sz val="12"/>
        <color theme="1"/>
        <rFont val="Cambria"/>
        <family val="1"/>
        <scheme val="major"/>
      </rPr>
      <t xml:space="preserve"> (Item No. 8.3.a)</t>
    </r>
  </si>
  <si>
    <t>Aluminium Door/Window</t>
  </si>
  <si>
    <t>Back side/1-24</t>
  </si>
  <si>
    <t>Outer Side</t>
  </si>
  <si>
    <t>Courtyard  Side</t>
  </si>
  <si>
    <t>On Grid G/8-17</t>
  </si>
  <si>
    <t>On Grid N/8-17</t>
  </si>
  <si>
    <t>Grid 8/N-G</t>
  </si>
  <si>
    <t>Grid 17/N-G</t>
  </si>
  <si>
    <t>D1 (153 Nos)</t>
  </si>
  <si>
    <t>Frame (Horizental)</t>
  </si>
  <si>
    <t xml:space="preserve">(Vertical) </t>
  </si>
  <si>
    <t>Total Qty. of W1 (158 Nos)</t>
  </si>
  <si>
    <t>Chicken Wiremesh</t>
  </si>
  <si>
    <t>Same as Plaster Qty.</t>
  </si>
  <si>
    <t>Item No. 9.1.1 Internal Plaster Payable</t>
  </si>
  <si>
    <t>Item No. 9.3.1 External Plaster Payable</t>
  </si>
  <si>
    <t>NS 8</t>
  </si>
  <si>
    <t>Preparation of Sub grade</t>
  </si>
  <si>
    <t>D2 (1 Nos)</t>
  </si>
  <si>
    <t>D9 ( 4Nos)</t>
  </si>
  <si>
    <t>D10 ( 6Nos)</t>
  </si>
  <si>
    <t>D12 ( 1Nos)</t>
  </si>
  <si>
    <t>D9 (4 Nos)</t>
  </si>
  <si>
    <t>D10 (6 Nos)</t>
  </si>
  <si>
    <t>D12 (1 Nos)</t>
  </si>
  <si>
    <t>P/F MS Structure</t>
  </si>
  <si>
    <t xml:space="preserve">P/F  latch and  lock </t>
  </si>
  <si>
    <t>P/F  SS Tower Bolt</t>
  </si>
  <si>
    <t>NS 9</t>
  </si>
  <si>
    <t xml:space="preserve">Preparation of Sub grade
</t>
  </si>
  <si>
    <t>NS 10</t>
  </si>
  <si>
    <t xml:space="preserve">P/F ACP Sheet
</t>
  </si>
  <si>
    <t>P/F ACP Sheet</t>
  </si>
  <si>
    <t>P/F LGF Framing with 16mm Bison Board for Coloumn</t>
  </si>
  <si>
    <t>Excavation</t>
  </si>
  <si>
    <t>P/L PCC 1:4:8</t>
  </si>
  <si>
    <t>PB1 (230*600) on grid W/10-15</t>
  </si>
  <si>
    <t>PB4 (230*450) on grid U/1-6 &amp; 19-24</t>
  </si>
  <si>
    <t>PB6 (230*600) on grid T/6-19</t>
  </si>
  <si>
    <t>PB7 (230*450) on grid S/1-6 &amp; 19-24</t>
  </si>
  <si>
    <t>PB8 (230*450) on grid R/1-24</t>
  </si>
  <si>
    <t>PB9 (230*600) on grid Q/1-4 &amp; 21-24</t>
  </si>
  <si>
    <t>PB9A (230*450) on grid Q/4-6 &amp; 19-21</t>
  </si>
  <si>
    <t>PB9B (230*450) on grid Q/6-19</t>
  </si>
  <si>
    <t>PB10 (230*450) on grid P'/4-6 &amp; 19-22</t>
  </si>
  <si>
    <t>PB11a (230*600) Grid P/1-4 &amp;21-24</t>
  </si>
  <si>
    <t>PB11A(230*450) Grid P/4 -8 &amp; 17-22</t>
  </si>
  <si>
    <t>PB 12 (230*450) Grid N/8-17</t>
  </si>
  <si>
    <t>PB13 (230*450) Grid M/2-8 &amp; 17-23</t>
  </si>
  <si>
    <t xml:space="preserve">PB 14 (230*450) L/12-13 </t>
  </si>
  <si>
    <t>PB15 (230*450) Grid K &amp; J/2-7 &amp; 18-23</t>
  </si>
  <si>
    <t xml:space="preserve">PB16 (230*450) Grid G/5-8&amp;17-20 </t>
  </si>
  <si>
    <t xml:space="preserve">PB16A (230*450) Grid G/6-11 </t>
  </si>
  <si>
    <t>PB16B(230*450) GRID G/11-14</t>
  </si>
  <si>
    <t>PB16C(230*450)Grid G/14-17</t>
  </si>
  <si>
    <t>PB17(230*450) Grid F/2-4&amp;21-23</t>
  </si>
  <si>
    <t>PB18(230*450)Grid F-G/9-11</t>
  </si>
  <si>
    <t>PB19(230*450)Grid E/5-19</t>
  </si>
  <si>
    <t>PB20(230*450)GridF/14-15</t>
  </si>
  <si>
    <t>PB20A(230*450)Grid E-F</t>
  </si>
  <si>
    <t>PB21(230*450)Grid F/16-17</t>
  </si>
  <si>
    <t>PB22(230*450)Grid D/4-21</t>
  </si>
  <si>
    <t>PB23(230*450)Grid C/6-19</t>
  </si>
  <si>
    <t>PB24(230*450) Grid B/11-14</t>
  </si>
  <si>
    <t>PB25(a)(230*600)Grid B/11-14</t>
  </si>
  <si>
    <t>PB26(230*450) Grid 1 &amp; 24/P-U</t>
  </si>
  <si>
    <t>PB 26A(230*450)Grid 2 &amp; 23/F-P</t>
  </si>
  <si>
    <t>PB 27(230*450)Grid 3-2 &amp; 22-23/S-U</t>
  </si>
  <si>
    <t>PB28(a)( 230*600) Grid3 &amp; 22/Q-V</t>
  </si>
  <si>
    <t>PB29(230*450)Grid 3 &amp; 22/P-Q</t>
  </si>
  <si>
    <t>PB30(230*450)Grid 4 &amp; 21/P-R</t>
  </si>
  <si>
    <t>PB 31(230*450)Grid  4&amp; 21/C-D</t>
  </si>
  <si>
    <t>PB 31-31A(230*450)Grid 4 &amp; 2/F-P</t>
  </si>
  <si>
    <t>PB32 (230*450)Grid 5 &amp; 20/D-J</t>
  </si>
  <si>
    <t>PB32A (230*450)Grid 5 &amp; 20/M-J</t>
  </si>
  <si>
    <t>PB32 B(230*450)Grid 5 &amp; 20/P-M</t>
  </si>
  <si>
    <t>PB33(230*450)Grid 6 &amp; 19/D-C</t>
  </si>
  <si>
    <t>PB34(230*450) Grid 6 &amp; 19/M-Q</t>
  </si>
  <si>
    <t>PB34A (230*450) Grid 6 &amp; 19/Q-R</t>
  </si>
  <si>
    <t>PB34B(a)(230*600)Grid 6 &amp; 19/R-U</t>
  </si>
  <si>
    <t>PB35(230*450)Grid7-8 &amp; 17-18/C-T</t>
  </si>
  <si>
    <t>PB36(230*450)Grid 9 &amp;16/C-G &amp; N-T</t>
  </si>
  <si>
    <t>PB36A (230*450)Grid 15/E-G</t>
  </si>
  <si>
    <t>PB37(230*600)Grid 10 &amp; 15/ N-W</t>
  </si>
  <si>
    <t>PB38(230*450)Grid 11 &amp; 14/A-H</t>
  </si>
  <si>
    <t>PB 39(230*600)grid 11 &amp; 14/T-W</t>
  </si>
  <si>
    <t>PB40(230*450)Grid 12 &amp; 13/L-T</t>
  </si>
  <si>
    <t>PB 41(230*450)Grid 16-17/E-G</t>
  </si>
  <si>
    <t>RA-05</t>
  </si>
  <si>
    <t>Centering and shuttering</t>
  </si>
  <si>
    <t>RA-03</t>
  </si>
  <si>
    <t>On Grid N/2-7</t>
  </si>
  <si>
    <t>On Grid B/11-14</t>
  </si>
  <si>
    <t>On Grid A/11-14</t>
  </si>
  <si>
    <t>On Grid 15/T-W</t>
  </si>
  <si>
    <t>On Grid 15/W-T</t>
  </si>
  <si>
    <t>12/L-N</t>
  </si>
  <si>
    <t>Both Sides</t>
  </si>
  <si>
    <t>Between 6-7/Q-N</t>
  </si>
  <si>
    <t>On Grid 8/J-M</t>
  </si>
  <si>
    <t>On Grid 17/J-M</t>
  </si>
  <si>
    <t>On Grid G/8-11</t>
  </si>
  <si>
    <t>On Grid G/14-18</t>
  </si>
  <si>
    <t>On Grid N/6-11</t>
  </si>
  <si>
    <t>On Grid N/14-18</t>
  </si>
  <si>
    <t>On Grid T/15-19</t>
  </si>
  <si>
    <t>P/L RCC</t>
  </si>
  <si>
    <t>P/L RCC in Coloumn in Plinth beams</t>
  </si>
  <si>
    <t>Insert Plate</t>
  </si>
  <si>
    <t>At outer PB For Chanel Fixing</t>
  </si>
  <si>
    <t>U/weight</t>
  </si>
  <si>
    <t>RA-06</t>
  </si>
  <si>
    <t>Brickwork</t>
  </si>
  <si>
    <t xml:space="preserve">Back road </t>
  </si>
  <si>
    <t>RA-07</t>
  </si>
  <si>
    <t>At grid S-U/1-4</t>
  </si>
  <si>
    <t>At grid S-U/4-6</t>
  </si>
  <si>
    <t>At grid R-S/1-6</t>
  </si>
  <si>
    <t>At grid Q-R/1-4</t>
  </si>
  <si>
    <t>At grid 1/S-U</t>
  </si>
  <si>
    <t>At grid 2-3/S-U</t>
  </si>
  <si>
    <t>At grid 3/S-U</t>
  </si>
  <si>
    <t>At grid 6/S-U</t>
  </si>
  <si>
    <t>At grid U/1-3</t>
  </si>
  <si>
    <t>At grid U/3-6</t>
  </si>
  <si>
    <t>At grid 6/R-S</t>
  </si>
  <si>
    <t>At grid R/4-6</t>
  </si>
  <si>
    <t>At grid Q/1-4</t>
  </si>
  <si>
    <t>At grid 1/S-R</t>
  </si>
  <si>
    <t>Doors</t>
  </si>
  <si>
    <t>DW1,  Glass Shutter</t>
  </si>
  <si>
    <t>D3,  Glass Shutter</t>
  </si>
  <si>
    <t>D4,  Glass Shutter</t>
  </si>
  <si>
    <t>D6,  Glass Shutter</t>
  </si>
  <si>
    <t>D8,  Glass Shutter</t>
  </si>
  <si>
    <t>Parking Paved area Grid F-A &amp; M-S</t>
  </si>
  <si>
    <t>Front Side Paved Area</t>
  </si>
  <si>
    <t>elevation A</t>
  </si>
  <si>
    <t>elevation C</t>
  </si>
  <si>
    <t xml:space="preserve"> elevation B</t>
  </si>
  <si>
    <t>elevation D</t>
  </si>
  <si>
    <t>elevation 1</t>
  </si>
  <si>
    <t>elevation2</t>
  </si>
  <si>
    <t>elevation 3</t>
  </si>
  <si>
    <t>elevation4</t>
  </si>
  <si>
    <t>Quantity</t>
  </si>
  <si>
    <t>Plinth Protection</t>
  </si>
  <si>
    <t>On Grid C/1-24</t>
  </si>
  <si>
    <t>On Grid 2/B-W</t>
  </si>
  <si>
    <t>On Grid 23/B-W</t>
  </si>
  <si>
    <t>On Grid 6 &amp; 19/T-U</t>
  </si>
  <si>
    <t>PCC at Bottom</t>
  </si>
  <si>
    <t>IPS Flooring</t>
  </si>
  <si>
    <t>area of angle</t>
  </si>
  <si>
    <t xml:space="preserve">parking area </t>
  </si>
  <si>
    <t>front area</t>
  </si>
  <si>
    <t>Road Work, Toe Wall</t>
  </si>
  <si>
    <t>Horizental, 8-17 between j-k/L</t>
  </si>
  <si>
    <t>Vertical 12-13/9-10, j-m</t>
  </si>
  <si>
    <t>Vertical 12-13, h-L</t>
  </si>
  <si>
    <t>Vertical 12-13/16, j-k</t>
  </si>
  <si>
    <t>Vertical 16-17/15-16, g-n</t>
  </si>
  <si>
    <t>Toe wall for Paver Block at Courtyard</t>
  </si>
  <si>
    <t>NS 11</t>
  </si>
  <si>
    <t>Add for Service Tax @ 6% on new</t>
  </si>
  <si>
    <t>Zim (2nd floor)11-15/P-Q</t>
  </si>
  <si>
    <t>Abstract Non-Schedule Items (RA-07)</t>
  </si>
  <si>
    <t>Date:- 02.08.2016</t>
  </si>
  <si>
    <t>Q-S/1-3</t>
  </si>
  <si>
    <t>R-S/4-6</t>
  </si>
  <si>
    <t>Q-R/3-4</t>
  </si>
  <si>
    <t>On Grid H/11-14</t>
  </si>
  <si>
    <t>(same as chhajja length)</t>
  </si>
  <si>
    <t xml:space="preserve">On Grid 1 &amp; 24/P-Q </t>
  </si>
  <si>
    <t>Extra for p/f openable shutters (alum)</t>
  </si>
  <si>
    <t>P/F GFRC Jaali</t>
  </si>
  <si>
    <t>Road Work(Qty as/RA 06)</t>
  </si>
  <si>
    <t>Material Received</t>
  </si>
  <si>
    <t>Box</t>
  </si>
  <si>
    <t>Floor tile</t>
  </si>
  <si>
    <t>Ceremic tile</t>
  </si>
  <si>
    <t>water cooler area (Both side all floor)</t>
  </si>
  <si>
    <t>washing room  (Both side all floor)</t>
  </si>
  <si>
    <t>Hand wash area (GF)</t>
  </si>
  <si>
    <t>Kitchen</t>
  </si>
  <si>
    <t>Stock</t>
  </si>
  <si>
    <t>Grand total</t>
  </si>
  <si>
    <t>billed</t>
  </si>
  <si>
    <t>Physical balance</t>
  </si>
  <si>
    <t>Night canteen</t>
  </si>
  <si>
    <t>Dishpot wash area</t>
  </si>
  <si>
    <t>Vegetable Store</t>
  </si>
  <si>
    <t>Store</t>
  </si>
  <si>
    <t>Toilet &amp; changing room</t>
  </si>
  <si>
    <t>toilet in side</t>
  </si>
  <si>
    <t>Garbage storing &amp; Holding</t>
  </si>
  <si>
    <t>Coocking area</t>
  </si>
  <si>
    <t>Dishpot wash Outer wall</t>
  </si>
  <si>
    <t>Mess manager office outer wall</t>
  </si>
  <si>
    <t>Vegetable Store outer wall</t>
  </si>
  <si>
    <t>Store outer wall</t>
  </si>
  <si>
    <t>Main entry in wall</t>
  </si>
  <si>
    <t>Warden Room Toilet</t>
  </si>
  <si>
    <t>Toilet, Guest room</t>
  </si>
  <si>
    <t>D7 (3 Nos)</t>
  </si>
  <si>
    <t>P/F Mortise lock in Fire rated Doors</t>
  </si>
  <si>
    <t>NS-12</t>
  </si>
  <si>
    <t>NS 12</t>
  </si>
  <si>
    <t>Ceramic</t>
  </si>
  <si>
    <t>Vitrified</t>
  </si>
  <si>
    <t>Without bill</t>
  </si>
  <si>
    <t>Total Rec.</t>
  </si>
  <si>
    <t>Grad total</t>
  </si>
  <si>
    <t>Total Billed</t>
  </si>
  <si>
    <t>Physical Balance</t>
  </si>
  <si>
    <t>Theoritical Balance</t>
  </si>
  <si>
    <t>Difference</t>
  </si>
  <si>
    <t>P/F Wooden Door Moulding</t>
  </si>
  <si>
    <t>NS-13</t>
  </si>
  <si>
    <t>NS 13</t>
  </si>
  <si>
    <t>NS 14</t>
  </si>
  <si>
    <t>P/F Wooden Piller 150X150  (Laminated) (NS-13)</t>
  </si>
  <si>
    <t>(200+150)+(200)+(200+150)</t>
  </si>
  <si>
    <t>Lux,  3 Nos in 1 Plate, of 12mm Dia Rod</t>
  </si>
  <si>
    <t>Back road  (Re-work)</t>
  </si>
  <si>
    <r>
      <t xml:space="preserve">Brick Work Above Plinth Beam </t>
    </r>
    <r>
      <rPr>
        <b/>
        <sz val="12"/>
        <color theme="1"/>
        <rFont val="Cambria"/>
        <family val="1"/>
        <scheme val="major"/>
      </rPr>
      <t>(Item No. 8.1.1)</t>
    </r>
  </si>
  <si>
    <r>
      <t xml:space="preserve">Half Brick Work </t>
    </r>
    <r>
      <rPr>
        <b/>
        <sz val="12"/>
        <color theme="1"/>
        <rFont val="Cambria"/>
        <family val="1"/>
        <scheme val="major"/>
      </rPr>
      <t>(Item No. 8.2.2)</t>
    </r>
  </si>
  <si>
    <r>
      <t xml:space="preserve">Non Shrink Grout GP2 </t>
    </r>
    <r>
      <rPr>
        <b/>
        <sz val="12"/>
        <color theme="1"/>
        <rFont val="Cambria"/>
        <family val="1"/>
        <scheme val="major"/>
      </rPr>
      <t>(Item No. 15.1)</t>
    </r>
  </si>
  <si>
    <r>
      <t xml:space="preserve">Fixing of Foundation Bolt </t>
    </r>
    <r>
      <rPr>
        <b/>
        <sz val="12"/>
        <color theme="1"/>
        <rFont val="Cambria"/>
        <family val="1"/>
        <scheme val="major"/>
      </rPr>
      <t>(NS-5)</t>
    </r>
  </si>
  <si>
    <r>
      <t xml:space="preserve">P/F Chicken Wire mesh </t>
    </r>
    <r>
      <rPr>
        <b/>
        <sz val="12"/>
        <color theme="1"/>
        <rFont val="Cambria"/>
        <family val="1"/>
        <scheme val="major"/>
      </rPr>
      <t>(NS-6)</t>
    </r>
  </si>
  <si>
    <t>P/F Paver Block (NS-11)</t>
  </si>
  <si>
    <t>P/F Wooden Door Moulding (NS-12)</t>
  </si>
  <si>
    <t>P/F Wooden Clading (Laminated) (NS-13)</t>
  </si>
  <si>
    <t>Total Amount (Non-scheduled Items)</t>
  </si>
  <si>
    <r>
      <t xml:space="preserve">P/F Gypsum Board False Ceiling </t>
    </r>
    <r>
      <rPr>
        <b/>
        <sz val="12"/>
        <color theme="1"/>
        <rFont val="Cambria"/>
        <family val="1"/>
        <scheme val="major"/>
      </rPr>
      <t>(Ref. PEB 600 BOQ Item No. 14.3.1)</t>
    </r>
  </si>
  <si>
    <t>Brick work in Foundation with 1:6 cement mortar</t>
  </si>
  <si>
    <t>Providing and laying GP2 as per manufacturers specification and as per site requirment</t>
  </si>
  <si>
    <t>TOTAL AMOUNT OF WORKDONE</t>
  </si>
  <si>
    <t>Escalation</t>
  </si>
  <si>
    <t>Basic rate in SQFT</t>
  </si>
  <si>
    <t>Approved Rate in SQFT</t>
  </si>
  <si>
    <t>Rate Difference in SQFT</t>
  </si>
  <si>
    <t>Rate Difference in SQM</t>
  </si>
  <si>
    <r>
      <t xml:space="preserve">Floor tile Vitrified 
</t>
    </r>
    <r>
      <rPr>
        <b/>
        <sz val="12"/>
        <color theme="1"/>
        <rFont val="Cambria"/>
        <family val="1"/>
        <scheme val="major"/>
      </rPr>
      <t>(Item No. 10.3.1.1)</t>
    </r>
  </si>
  <si>
    <r>
      <t xml:space="preserve">Floor tile Vitrified (Skirting)
</t>
    </r>
    <r>
      <rPr>
        <b/>
        <sz val="12"/>
        <color theme="1"/>
        <rFont val="Cambria"/>
        <family val="1"/>
        <scheme val="major"/>
      </rPr>
      <t>(Item No. 10.3.1.4)</t>
    </r>
  </si>
  <si>
    <r>
      <t xml:space="preserve">Ceramic tiles                    </t>
    </r>
    <r>
      <rPr>
        <b/>
        <sz val="12"/>
        <color theme="1"/>
        <rFont val="Cambria"/>
        <family val="1"/>
        <scheme val="major"/>
      </rPr>
      <t>(Item No. 10.3.1.2)</t>
    </r>
  </si>
  <si>
    <t>Total Amount</t>
  </si>
  <si>
    <t>Supplying &amp; Fixing ACP Sheet Cladding ALSTRONG make 4mm x0.5mm coating, aluminium section will be 38mm x 25mm tube as per drawing.</t>
  </si>
  <si>
    <t>Date:- 10.10.2016</t>
  </si>
  <si>
    <t>Abstract Escalation (RA-08)</t>
  </si>
  <si>
    <t>RA-08</t>
  </si>
  <si>
    <t>For GFRC Jaali Plateform</t>
  </si>
  <si>
    <t>Machine Foundation (AC)</t>
  </si>
  <si>
    <t>For GFRC Jaali Plateform (Below B/W)</t>
  </si>
  <si>
    <t>For GFRC Jaali Plateform (Above B/W)</t>
  </si>
  <si>
    <t>Extra for Parapet Band (50 mm thick)</t>
  </si>
  <si>
    <t>Parapet Band (50 mm thick)</t>
  </si>
  <si>
    <t>300X350, 12mm Thick, 72 Nos</t>
  </si>
  <si>
    <t>Weight in Mt</t>
  </si>
  <si>
    <t>Mt</t>
  </si>
  <si>
    <t>Water cooler area 1steps partition</t>
  </si>
  <si>
    <t>Laminated buffet counter</t>
  </si>
  <si>
    <t>Top</t>
  </si>
  <si>
    <t>Front staircase (6 steps rework)</t>
  </si>
  <si>
    <t xml:space="preserve">For GFRC Jaali Plateform </t>
  </si>
  <si>
    <t>Toilet area (both side 1st &amp; 2nd floors)</t>
  </si>
  <si>
    <t>(300mm both side added)</t>
  </si>
  <si>
    <t>Washing &amp; Water cooler All floors</t>
  </si>
  <si>
    <t>(300mm added)</t>
  </si>
  <si>
    <t>Handwash room (Both side)</t>
  </si>
  <si>
    <t>Back support (Horizental)</t>
  </si>
  <si>
    <t>(Vertical)</t>
  </si>
  <si>
    <t>Hand wash area at GF (2 Doors)</t>
  </si>
  <si>
    <t>14.1.1</t>
  </si>
  <si>
    <t>All floors, corners railing (6 Nos &amp; 2set)</t>
  </si>
  <si>
    <t>U/W.</t>
  </si>
  <si>
    <t>Top runner, MS Square Pipe, 50mm</t>
  </si>
  <si>
    <t>Bottom runner, MS Square Pipe, 50mm</t>
  </si>
  <si>
    <t>Vertical, MS Square, 50mm (4*2*6)</t>
  </si>
  <si>
    <t>Mid Vertical, MS Square, 12mm (9*2*6)</t>
  </si>
  <si>
    <t>MS Shoe, 75X75X10, ((4+4)*2*6) )</t>
  </si>
  <si>
    <t>Grouting Bolt, 12mm dia</t>
  </si>
  <si>
    <t>1st floors, entrance are (1set)</t>
  </si>
  <si>
    <t>Vertical, MS Square, 50mm</t>
  </si>
  <si>
    <t>Mid Vertical, MS Square, 12mm</t>
  </si>
  <si>
    <t xml:space="preserve">MS Shoe, 75X75X10, </t>
  </si>
  <si>
    <t>Main staircase, all floor (3set)</t>
  </si>
  <si>
    <t>Elec. room railing on shaft, 1st &amp; 2nd</t>
  </si>
  <si>
    <t>Front Staircase</t>
  </si>
  <si>
    <t>Flat patti for staircase gap covering</t>
  </si>
  <si>
    <t>(150 mm, 6mm thick)</t>
  </si>
  <si>
    <t>Railing 1 side (@10kg/ Rmt)</t>
  </si>
  <si>
    <t>Front staircase railing (as/attached bill)</t>
  </si>
  <si>
    <t>14.5.1</t>
  </si>
  <si>
    <t>P/F trap door in false ceiling</t>
  </si>
  <si>
    <t>In False Ceiling</t>
  </si>
  <si>
    <t>Dinning</t>
  </si>
  <si>
    <t>TV room</t>
  </si>
  <si>
    <t>Zym</t>
  </si>
  <si>
    <t>Above DV</t>
  </si>
  <si>
    <t>Above Plinth Beam</t>
  </si>
  <si>
    <t>For GFRC Jaali Plateform outer wall</t>
  </si>
  <si>
    <t>Toilet area (both side GF)</t>
  </si>
  <si>
    <t>W11</t>
  </si>
  <si>
    <t>Sides</t>
  </si>
  <si>
    <t>NS-16</t>
  </si>
  <si>
    <t>Removing &amp; Refixing work for GRC Decorative Jali</t>
  </si>
  <si>
    <t>GFRC Jaali</t>
  </si>
  <si>
    <t>Left side (PEB 600 side)</t>
  </si>
  <si>
    <t>Front side</t>
  </si>
  <si>
    <t>Courtyard area</t>
  </si>
  <si>
    <t>NS-17</t>
  </si>
  <si>
    <t>Extra for making nosing in treads</t>
  </si>
  <si>
    <t>Staircase</t>
  </si>
  <si>
    <t>left side staircase</t>
  </si>
  <si>
    <t>right side staircase</t>
  </si>
  <si>
    <t>front staircase</t>
  </si>
  <si>
    <t>Counter Slab</t>
  </si>
  <si>
    <t>Toilets counter (GF, 1st &amp; 2nd floor)</t>
  </si>
  <si>
    <t>Hand wash area GF</t>
  </si>
  <si>
    <t>Night Canteen</t>
  </si>
  <si>
    <t>Passthrough counter</t>
  </si>
  <si>
    <t>P/F Indian marbel (Udaypur green) 
with 40mm thick mortar</t>
  </si>
  <si>
    <t>landings</t>
  </si>
  <si>
    <t>2nd Landing</t>
  </si>
  <si>
    <t>endings</t>
  </si>
  <si>
    <t>Staircase (Base area)</t>
  </si>
  <si>
    <t>Front stair</t>
  </si>
  <si>
    <t>(-) FHC</t>
  </si>
  <si>
    <t>Kitchen Flooring</t>
  </si>
  <si>
    <t>Dishpot area</t>
  </si>
  <si>
    <t>Mess Manager office</t>
  </si>
  <si>
    <t>Vegetable storage room</t>
  </si>
  <si>
    <t>Stores</t>
  </si>
  <si>
    <t>Garbage</t>
  </si>
  <si>
    <t>Cooking area</t>
  </si>
  <si>
    <t>Toilet &amp; Changing Room</t>
  </si>
  <si>
    <t>Gallary</t>
  </si>
  <si>
    <t>Ramp</t>
  </si>
  <si>
    <t>Back side Ramp</t>
  </si>
  <si>
    <t>Steps in right of Kitchen</t>
  </si>
  <si>
    <t>Front Ramp</t>
  </si>
  <si>
    <t>Planter area</t>
  </si>
  <si>
    <t>NS-19</t>
  </si>
  <si>
    <t>P/F SS Railing</t>
  </si>
  <si>
    <t>SS Railing at Entry</t>
  </si>
  <si>
    <t>Making staging with scaffolding for other aggency</t>
  </si>
  <si>
    <t>Qty same as external paint</t>
  </si>
  <si>
    <t xml:space="preserve">Staging engased </t>
  </si>
  <si>
    <t>Elevation A</t>
  </si>
  <si>
    <t>On Grid C/6-19</t>
  </si>
  <si>
    <t>(-) W1 (30 Nos)</t>
  </si>
  <si>
    <t>(-) W5, 2 Nos</t>
  </si>
  <si>
    <t>Add jems</t>
  </si>
  <si>
    <t>(-) DW1, 1 Nos</t>
  </si>
  <si>
    <t>(-) W6, 1 Nos</t>
  </si>
  <si>
    <t>(-) GRC Jaali</t>
  </si>
  <si>
    <t>Add Jems</t>
  </si>
  <si>
    <t>Elevation B</t>
  </si>
  <si>
    <t>(-) W1 (22 Nos)</t>
  </si>
  <si>
    <t>(-) W2 (12 Nos)</t>
  </si>
  <si>
    <t>(-) W8 (3 Nos)</t>
  </si>
  <si>
    <t>(-) W9, 1 Nos</t>
  </si>
  <si>
    <t>(-) D4, 1 Nos</t>
  </si>
  <si>
    <t>(-) D8, 1 Nos</t>
  </si>
  <si>
    <t>(-) D3, 1 Nos</t>
  </si>
  <si>
    <t>Elevation C</t>
  </si>
  <si>
    <t>Wall B-U</t>
  </si>
  <si>
    <t>U-W</t>
  </si>
  <si>
    <t>(-) W1 (21 Nos)</t>
  </si>
  <si>
    <t>Elevation 1</t>
  </si>
  <si>
    <t>(-) W1 (20 Nos)</t>
  </si>
  <si>
    <t>(-) W10 (2 Nos)</t>
  </si>
  <si>
    <t>(-) W9 (3 Nos)</t>
  </si>
  <si>
    <t>(-) W2 (3 Nos)</t>
  </si>
  <si>
    <t>Deduct GRC Jali</t>
  </si>
  <si>
    <t>Plaster Around GRC Jali</t>
  </si>
  <si>
    <t>Elevation 3</t>
  </si>
  <si>
    <t>(-) D8, (1 Nos)</t>
  </si>
  <si>
    <t>(-) W8, (1 Nos)</t>
  </si>
  <si>
    <t>(-) W1 (18 Nos)</t>
  </si>
  <si>
    <t>(-) W7 (2 Nos)</t>
  </si>
  <si>
    <t>Jems</t>
  </si>
  <si>
    <t>(-) W5 (2 Nos)</t>
  </si>
  <si>
    <t>(-) D3 (1 Nos)</t>
  </si>
  <si>
    <t>(-) W4 (1 Nos)</t>
  </si>
  <si>
    <t>Elevation 4</t>
  </si>
  <si>
    <t>(-) W1 (12 Nos)</t>
  </si>
  <si>
    <t>(-) W3 (3 Nos)</t>
  </si>
  <si>
    <t>Elevation 2</t>
  </si>
  <si>
    <t>Terrace above</t>
  </si>
  <si>
    <t>Above Toilet Block (Both side)</t>
  </si>
  <si>
    <t>On Grid N/2-8</t>
  </si>
  <si>
    <t>On Grid 2/P-N</t>
  </si>
  <si>
    <t>Trangular part</t>
  </si>
  <si>
    <t>On Grid 11/H-D</t>
  </si>
  <si>
    <t>On Grid 14/H-D</t>
  </si>
  <si>
    <t>On Grid D/11-14</t>
  </si>
  <si>
    <t>Parapet Wall, above terrace</t>
  </si>
  <si>
    <t>Outer wall</t>
  </si>
  <si>
    <t>On Grid 2/F-N</t>
  </si>
  <si>
    <t>On Grid F/2-4</t>
  </si>
  <si>
    <t>On Grid 4/D-F</t>
  </si>
  <si>
    <t>On Grid D/4-6</t>
  </si>
  <si>
    <t>On Grid 6/C-D</t>
  </si>
  <si>
    <t>On Grid 11/-C-D</t>
  </si>
  <si>
    <t>On Grid 14/-C-D</t>
  </si>
  <si>
    <t>On Grid 19/C-D</t>
  </si>
  <si>
    <t>On Grid C/19-21</t>
  </si>
  <si>
    <t>On Grid 21/D-F</t>
  </si>
  <si>
    <t>On Grid F/21-23</t>
  </si>
  <si>
    <t>On Grid 23/F-N</t>
  </si>
  <si>
    <t>On Grid T/19-15</t>
  </si>
  <si>
    <t>On Grid 15/T-R</t>
  </si>
  <si>
    <t>On Grid R/15-10</t>
  </si>
  <si>
    <t>On Grid 10/T-R</t>
  </si>
  <si>
    <t>50% of Total Scaffolding area to be debited to other aggency as/instruction e.i.</t>
  </si>
  <si>
    <t>Extra for Fixing of tile with chemical bound instead of Mortar (in skirting)</t>
  </si>
  <si>
    <t>Qty same as/vitrified tile skirting</t>
  </si>
  <si>
    <t>Ref. Item No.10.3.1.4</t>
  </si>
  <si>
    <t>At kitchen windos w8 (extra)</t>
  </si>
  <si>
    <t>at handwash area</t>
  </si>
  <si>
    <t>at drinking area</t>
  </si>
  <si>
    <t>NS-11</t>
  </si>
  <si>
    <t>P/F Paver Block</t>
  </si>
  <si>
    <t xml:space="preserve">Cycle parking front side </t>
  </si>
  <si>
    <t>Parking in between two side parkigns</t>
  </si>
  <si>
    <t>pcc in plinth protection both corners on top</t>
  </si>
  <si>
    <t>pcc on bottom</t>
  </si>
  <si>
    <t>parking area toe wall</t>
  </si>
  <si>
    <t>path</t>
  </si>
  <si>
    <t>side parking in between two parkings</t>
  </si>
  <si>
    <t>harwesting pit</t>
  </si>
  <si>
    <t>both L corners for plinth protection</t>
  </si>
  <si>
    <t>External Plaster</t>
  </si>
  <si>
    <t>Harwesting pit</t>
  </si>
  <si>
    <t>toe wall</t>
  </si>
  <si>
    <t>Front side cycle parking</t>
  </si>
  <si>
    <t>in front side</t>
  </si>
  <si>
    <t>in left nd right side</t>
  </si>
  <si>
    <t>back side</t>
  </si>
  <si>
    <t>in courtyard</t>
  </si>
  <si>
    <t>on grid-g</t>
  </si>
  <si>
    <t>on grid-n</t>
  </si>
  <si>
    <t>on grid-8&amp;18</t>
  </si>
  <si>
    <t>P/F MS Structure work</t>
  </si>
  <si>
    <t>Squre pipe on top grc (size 50x35x3mm)</t>
  </si>
  <si>
    <t>Re-work</t>
  </si>
  <si>
    <t xml:space="preserve">floor tiles </t>
  </si>
  <si>
    <t>Damaged by Other Agency (zamil)</t>
  </si>
  <si>
    <t>Ceramic Tile</t>
  </si>
  <si>
    <t xml:space="preserve">wall tiles </t>
  </si>
  <si>
    <t>beam outer</t>
  </si>
  <si>
    <t>inner</t>
  </si>
  <si>
    <t>beam 2</t>
  </si>
  <si>
    <t>slab</t>
  </si>
  <si>
    <t xml:space="preserve">Shuttring of harvesting pit </t>
  </si>
  <si>
    <t>Beam</t>
  </si>
  <si>
    <t>Harvesting Pit</t>
  </si>
  <si>
    <t xml:space="preserve">Pre-cast Slab </t>
  </si>
  <si>
    <t>Pre-cast Slab</t>
  </si>
  <si>
    <t>Side</t>
  </si>
  <si>
    <t>Re work door of dinning area (Damaged)</t>
  </si>
  <si>
    <t>Dismantling of Gypsum False Ceiling</t>
  </si>
  <si>
    <t xml:space="preserve">P/F Red agra stone on top of GFRC  </t>
  </si>
  <si>
    <t>Railing on all floor nd both side in staircase</t>
  </si>
  <si>
    <t>Making bore 250 mm Dia</t>
  </si>
  <si>
    <t>For Harvesting pit</t>
  </si>
  <si>
    <t>PVC Pipe 150mm Dia in Boring</t>
  </si>
  <si>
    <t>Gravel Filling in Boring</t>
  </si>
  <si>
    <t>Harvesting pit</t>
  </si>
  <si>
    <t>OD</t>
  </si>
  <si>
    <t>Pie</t>
  </si>
  <si>
    <t>r*r</t>
  </si>
  <si>
    <t>ID</t>
  </si>
  <si>
    <t>Total Qty. As/Attached BBS</t>
  </si>
  <si>
    <t>Miscelleneous</t>
  </si>
  <si>
    <t>Mild steel / stainless steel work &amp; False ceiling</t>
  </si>
  <si>
    <t>Providing and fixing in position railing (staircase, balcony, boundary wall or wherever required) , screen, guard rail, gratings, drain cover, ladder, angle iron,chennal,  column guards, foot rests, Trellis, louvers  etc made of MS Pipe, MS square bars/tube with MS flats, MS shoes welded as per design and drawing including bending to profile as per drawing, grinding, cutting holes in RCC / Stone work, grouting the balustrades in position etc. complete including providing two coats of red oxide primer and two or more coat of Synthetic Enamel paint of approved shade and make  etc complete as per design and drawing and direction of Project Manager.</t>
  </si>
  <si>
    <t>MS  Steel</t>
  </si>
  <si>
    <t>14.1.2</t>
  </si>
  <si>
    <t>MS  Louvers</t>
  </si>
  <si>
    <t>14.1.3</t>
  </si>
  <si>
    <t xml:space="preserve">MS railing for Staircase </t>
  </si>
  <si>
    <t>MS Rungs</t>
  </si>
  <si>
    <t>14.2.1</t>
  </si>
  <si>
    <t>Providing and fixing in position the PVC coated MS  steps of size 300 X 150 mm for UG water tank and OH Tank including placing 150 mm inside concrete ( while doing the form work ), aligning during concreting, grouting the junction if required. Lump Sump</t>
  </si>
  <si>
    <t>Trap door</t>
  </si>
  <si>
    <t>Fire sealant</t>
  </si>
  <si>
    <t xml:space="preserve">Fire resistant cable entry sealing thermal insulation material. Supply &amp; fixing of 2 hour rated, UL approved, Fire sealant material suitable for sealing electrical cable try pipes etc. entry cut-outs in concrete/brick wall/ceiling etc as required. </t>
  </si>
  <si>
    <t>14.6.1</t>
  </si>
  <si>
    <t>All electrical shafts - 3M CS 195 + MPP</t>
  </si>
  <si>
    <t>14.6.2</t>
  </si>
  <si>
    <t>Plumbing shafts - 3M fire Barrier Mortar</t>
  </si>
  <si>
    <t>14.6.3</t>
  </si>
  <si>
    <t>HVAC ducts - 3M fire Barrier Mortar or 3M CP 25WB+ in tumescent Caulk supported with fire rated wool</t>
  </si>
  <si>
    <t xml:space="preserve">Make: McCoy Soudal, Flamnadur,3M, Hilti or Promat </t>
  </si>
  <si>
    <t>NON SHRINK GROUT GP2</t>
  </si>
  <si>
    <t>Providing and Grouting GP2 of Fosroc or approved equivalent make in Machine foundations, bases of columns etc., including cleaning, sealing the edges with C.mortar for grouting all complete as per manufacturers specifications</t>
  </si>
  <si>
    <t>Cement Board Clading at Dry Wall</t>
  </si>
  <si>
    <t>Grid 6-11/C-D</t>
  </si>
  <si>
    <t>Vertical</t>
  </si>
  <si>
    <t>Galary</t>
  </si>
  <si>
    <t>(-) D1 3 Nos.</t>
  </si>
  <si>
    <t>(-) D4 1 Nos.</t>
  </si>
  <si>
    <t>Grid 14-19/C-D</t>
  </si>
  <si>
    <t>(-) D1 5 Nos.</t>
  </si>
  <si>
    <t>(-) D1 4 Nos.</t>
  </si>
  <si>
    <t>(-) D1 2 Nos.</t>
  </si>
  <si>
    <t>Grid F-P/2-4'+</t>
  </si>
  <si>
    <t>Horiz..</t>
  </si>
  <si>
    <t>(-) D1 7 Nos.</t>
  </si>
  <si>
    <t>Grid E-M/5-8</t>
  </si>
  <si>
    <t>(-) W11 2 Nos.</t>
  </si>
  <si>
    <t>Grid F-P/23-21'+</t>
  </si>
  <si>
    <t>Grid E-M/17-20</t>
  </si>
  <si>
    <t>Grid 6-9/R-T</t>
  </si>
  <si>
    <t>Grid 16-18/N-Q</t>
  </si>
  <si>
    <t>Grid 16-19/R-T</t>
  </si>
  <si>
    <t>1st floor</t>
  </si>
  <si>
    <t>Grid J-M/5-8</t>
  </si>
  <si>
    <t>Grid J-M/18-20</t>
  </si>
  <si>
    <t>Grid 8-10/N-Q</t>
  </si>
  <si>
    <t>Grid 6-10/R-T</t>
  </si>
  <si>
    <t>Grid 15-18/N-Q</t>
  </si>
  <si>
    <t>Grid 15-19/R-T</t>
  </si>
  <si>
    <t>2nd floor</t>
  </si>
  <si>
    <t>S/F of fire rated glass</t>
  </si>
  <si>
    <t>D5 (8 Nos)</t>
  </si>
  <si>
    <t>GRC jalli on All L corners</t>
  </si>
  <si>
    <t>Courtyard portion</t>
  </si>
  <si>
    <t>Night Canteen Rainwater pipe</t>
  </si>
  <si>
    <t>Chamber</t>
  </si>
  <si>
    <t xml:space="preserve">Chamber outer </t>
  </si>
  <si>
    <t>mortize lock (warden toilet &amp; guest room toilet) (D9)</t>
  </si>
  <si>
    <t>P/F Gypsum Board False Ceiling</t>
  </si>
  <si>
    <t>Main Entrance, Top</t>
  </si>
  <si>
    <t>Piller</t>
  </si>
  <si>
    <t>Reception Terrace Rainwater Pipe</t>
  </si>
  <si>
    <t>Front side Raiin Water Pipe</t>
  </si>
  <si>
    <t>Front side Corner</t>
  </si>
  <si>
    <t>Above Kitchen</t>
  </si>
  <si>
    <t>Beside Kitchen</t>
  </si>
  <si>
    <t>Project: PEB 300 BOYS HOSTEL,THAPAR UNIVERSITY,PATIALA</t>
  </si>
  <si>
    <t>Gate
Entry No.</t>
  </si>
  <si>
    <t>Vehicle
No.</t>
  </si>
  <si>
    <t>Bill
Date</t>
  </si>
  <si>
    <t>Supplier/
Party</t>
  </si>
  <si>
    <t>Challan/
Bill No.</t>
  </si>
  <si>
    <t>8 mm
Dia</t>
  </si>
  <si>
    <t>10 mm
Dia</t>
  </si>
  <si>
    <t>12 mm
Dia</t>
  </si>
  <si>
    <t>16 mm
Dia</t>
  </si>
  <si>
    <t>20 mm
Dia</t>
  </si>
  <si>
    <t>Total 
Qty.</t>
  </si>
  <si>
    <t>Total 
Amount</t>
  </si>
  <si>
    <t>PB10CR9533</t>
  </si>
  <si>
    <t>PB04K9563</t>
  </si>
  <si>
    <t>PB10CP2534</t>
  </si>
  <si>
    <t>PB10CX1334</t>
  </si>
  <si>
    <t>PB10CA1534</t>
  </si>
  <si>
    <t>PB10BM9234</t>
  </si>
  <si>
    <t>Rate Diff.</t>
  </si>
  <si>
    <t>Bags</t>
  </si>
  <si>
    <t>Executed 
Qty</t>
  </si>
  <si>
    <t>Basic 
Rate</t>
  </si>
  <si>
    <t>Purchase 
Rate (Avg)</t>
  </si>
  <si>
    <t>Date</t>
  </si>
  <si>
    <t>Date:- 12.10.2016</t>
  </si>
  <si>
    <t xml:space="preserve">pcc in between two parkings </t>
  </si>
  <si>
    <t>Left &amp; Right side atair(NEED TO CHECK AT SITE)</t>
  </si>
  <si>
    <t>TEXTURE PAINT</t>
  </si>
  <si>
    <t>D7 (3 Nos) ELECTRICAL ROOM</t>
  </si>
  <si>
    <t>(For MOUSEQUITOmesh )</t>
  </si>
  <si>
    <t>vertical</t>
  </si>
  <si>
    <t>enterance</t>
  </si>
  <si>
    <t>riser</t>
  </si>
  <si>
    <t>MAIN DOOR THRESHOLD</t>
  </si>
  <si>
    <t>DEDUCT PLANTER AREA</t>
  </si>
  <si>
    <t>THRESHOLD</t>
  </si>
  <si>
    <t>STEP NEAR HANDWASH AREA</t>
  </si>
  <si>
    <t xml:space="preserve">PCC in CYCLE parking area </t>
  </si>
  <si>
    <t xml:space="preserve">Centering and shuttering </t>
  </si>
  <si>
    <t>plinth protection NEAR GRC JALI AT BOTH L CORNER</t>
  </si>
  <si>
    <r>
      <t>Ground floor(</t>
    </r>
    <r>
      <rPr>
        <b/>
        <i/>
        <u/>
        <sz val="14"/>
        <rFont val="Cambria"/>
        <family val="1"/>
        <scheme val="major"/>
      </rPr>
      <t>ALL FLOOR</t>
    </r>
    <r>
      <rPr>
        <b/>
        <i/>
        <sz val="11"/>
        <rFont val="Cambria"/>
        <family val="1"/>
        <scheme val="major"/>
      </rPr>
      <t>)</t>
    </r>
  </si>
  <si>
    <t>P/L GRANITE STONE ON COUNTER SLAB</t>
  </si>
  <si>
    <t>LAMINATED BUFFET COUNTER</t>
  </si>
  <si>
    <t>Area Double of GRC Jaali</t>
  </si>
  <si>
    <t>LESS 20%</t>
  </si>
  <si>
    <t>distribution bar</t>
  </si>
  <si>
    <t>SLAB</t>
  </si>
  <si>
    <t>PRE-CAST</t>
  </si>
  <si>
    <t>top steel</t>
  </si>
  <si>
    <t>chairs</t>
  </si>
  <si>
    <t xml:space="preserve">bottom </t>
  </si>
  <si>
    <t xml:space="preserve">slab </t>
  </si>
  <si>
    <t>ring shoter span</t>
  </si>
  <si>
    <t>ring longer span</t>
  </si>
  <si>
    <t>beam shoter span</t>
  </si>
  <si>
    <t>lap</t>
  </si>
  <si>
    <t>beam longer span</t>
  </si>
  <si>
    <t>harvesting pit</t>
  </si>
  <si>
    <t xml:space="preserve">BBS </t>
  </si>
  <si>
    <t>BBS HARVESTING PIT</t>
  </si>
  <si>
    <t>F1 (1800*1800)</t>
  </si>
  <si>
    <t>F2 (2100*2100)</t>
  </si>
  <si>
    <t>F3 (2400*2400)</t>
  </si>
  <si>
    <t>F4 (2700*2700)</t>
  </si>
  <si>
    <t>F5 (3250*2250)</t>
  </si>
  <si>
    <t>CF1 (4800*2400)</t>
  </si>
  <si>
    <t>CF2 (4500*2700)</t>
  </si>
  <si>
    <t>Plinth beam excavation</t>
  </si>
  <si>
    <t>RA-1</t>
  </si>
  <si>
    <t>ATT</t>
  </si>
  <si>
    <t>FB1 (600*750)</t>
  </si>
  <si>
    <t>FB2 (750*750)</t>
  </si>
  <si>
    <t>Pedestal</t>
  </si>
  <si>
    <t xml:space="preserve">F1 </t>
  </si>
  <si>
    <t>F2</t>
  </si>
  <si>
    <t>For Plinth Beam</t>
  </si>
  <si>
    <t>PB1 230*600</t>
  </si>
  <si>
    <t>PB4 230*450</t>
  </si>
  <si>
    <t>PB6 230*450</t>
  </si>
  <si>
    <t>PB6  230*600</t>
  </si>
  <si>
    <t>PB7</t>
  </si>
  <si>
    <t>PB8</t>
  </si>
  <si>
    <t>PB9</t>
  </si>
  <si>
    <t>PB 9A</t>
  </si>
  <si>
    <t>PB 9B</t>
  </si>
  <si>
    <t>PB10</t>
  </si>
  <si>
    <t>PB11</t>
  </si>
  <si>
    <t>PB11A</t>
  </si>
  <si>
    <t>PB12</t>
  </si>
  <si>
    <t>PB13</t>
  </si>
  <si>
    <t>PB14</t>
  </si>
  <si>
    <t>PB15</t>
  </si>
  <si>
    <t>PB16</t>
  </si>
  <si>
    <t>PB 16A</t>
  </si>
  <si>
    <t>PB16B</t>
  </si>
  <si>
    <t>PB16C</t>
  </si>
  <si>
    <t>PB17</t>
  </si>
  <si>
    <t>PB18</t>
  </si>
  <si>
    <t>PB19</t>
  </si>
  <si>
    <t>PB20</t>
  </si>
  <si>
    <t>PB20A</t>
  </si>
  <si>
    <t>PB21</t>
  </si>
  <si>
    <t>PB22</t>
  </si>
  <si>
    <t>PB23</t>
  </si>
  <si>
    <t>PB24</t>
  </si>
  <si>
    <t>PB25</t>
  </si>
  <si>
    <t>PB26</t>
  </si>
  <si>
    <t>PB26A</t>
  </si>
  <si>
    <t>PB27</t>
  </si>
  <si>
    <t>PB28</t>
  </si>
  <si>
    <t>PB29</t>
  </si>
  <si>
    <t>PB30</t>
  </si>
  <si>
    <t>PB31</t>
  </si>
  <si>
    <t>PB 31A</t>
  </si>
  <si>
    <t xml:space="preserve">PB32 </t>
  </si>
  <si>
    <t xml:space="preserve">PB32A </t>
  </si>
  <si>
    <t>PB32B</t>
  </si>
  <si>
    <t>PB33</t>
  </si>
  <si>
    <t>PB34</t>
  </si>
  <si>
    <t xml:space="preserve">PB34A </t>
  </si>
  <si>
    <t>PB34B</t>
  </si>
  <si>
    <t>PB35</t>
  </si>
  <si>
    <t>PB36</t>
  </si>
  <si>
    <t>PB36A</t>
  </si>
  <si>
    <t>PB37</t>
  </si>
  <si>
    <t>PB37a</t>
  </si>
  <si>
    <t>PB38</t>
  </si>
  <si>
    <t>PB 39</t>
  </si>
  <si>
    <t>PB40</t>
  </si>
  <si>
    <t>PB41</t>
  </si>
  <si>
    <t>Outer Section A-A</t>
  </si>
  <si>
    <t>Less 1st Bill</t>
  </si>
  <si>
    <t>RA-2</t>
  </si>
  <si>
    <t>ATT covered area (Below Grade slab)</t>
  </si>
  <si>
    <t>Grid (A-C)/11-14</t>
  </si>
  <si>
    <t>Grid (C-C)/6-19</t>
  </si>
  <si>
    <t>Grid (D-F)/4-21</t>
  </si>
  <si>
    <t>Grid (F-G)/2-23</t>
  </si>
  <si>
    <t>Grid (G-H)/11-14</t>
  </si>
  <si>
    <t>Grid (G-P)/2-8 &amp; 18-23</t>
  </si>
  <si>
    <t>Grid (L-N)/12-13</t>
  </si>
  <si>
    <t>Grid (P-U)/1-8 &amp; 17-24</t>
  </si>
  <si>
    <t>(-) on Grid T-U/6-8</t>
  </si>
  <si>
    <t>Grid (N-T)/8-10 &amp; 15-17</t>
  </si>
  <si>
    <t>Grid N-W/10-15</t>
  </si>
  <si>
    <t>Below Plinth Beam</t>
  </si>
  <si>
    <t>PCC Below Grade Slab</t>
  </si>
  <si>
    <t>Less Plinth Beam area</t>
  </si>
  <si>
    <t>Less Pedestal area</t>
  </si>
  <si>
    <t xml:space="preserve">F3 </t>
  </si>
  <si>
    <t>F4</t>
  </si>
  <si>
    <t>F5</t>
  </si>
  <si>
    <t>CF1</t>
  </si>
  <si>
    <t xml:space="preserve">CF2 </t>
  </si>
  <si>
    <t xml:space="preserve">PB16 (230*450) Grid G/5-8 &amp; 17-20 </t>
  </si>
  <si>
    <t>PB-37(230*450)</t>
  </si>
  <si>
    <t>PB11 (230*600) Grid P/1-4 &amp;21-24</t>
  </si>
  <si>
    <t xml:space="preserve">PB16A (230X450) Grid G/6-11 </t>
  </si>
  <si>
    <t>PB 40(230*450)grid 12 &amp; 13/L toT</t>
  </si>
  <si>
    <t>PB 37 (230*450)</t>
  </si>
  <si>
    <t>PB 6 (230*450)</t>
  </si>
  <si>
    <t>Grid N-T/10-15</t>
  </si>
  <si>
    <r>
      <t>Grid T-W/10-15</t>
    </r>
    <r>
      <rPr>
        <b/>
        <sz val="11"/>
        <rFont val="Cambria"/>
        <family val="1"/>
        <scheme val="major"/>
      </rPr>
      <t xml:space="preserve"> (Kitchen area)</t>
    </r>
  </si>
  <si>
    <t>Roof Slab</t>
  </si>
  <si>
    <t>Part 1, Grid 1-8/C-U</t>
  </si>
  <si>
    <t>Grid 6-8/C-D</t>
  </si>
  <si>
    <t>Grid 4-8/D-F</t>
  </si>
  <si>
    <t>Grid 2-8/F-P</t>
  </si>
  <si>
    <t>Grid 1-8/P-T</t>
  </si>
  <si>
    <t>(-) Staircase Grid 1-3/P-Q</t>
  </si>
  <si>
    <t>Grid 1-6/T-U</t>
  </si>
  <si>
    <t>Grid 8-11/C-G (Part 3)</t>
  </si>
  <si>
    <t>Grid 8-12/N-T (Part 2)</t>
  </si>
  <si>
    <t>RA-3</t>
  </si>
  <si>
    <t>Pedestal GP2 Grouting</t>
  </si>
  <si>
    <t>300X350, 12mm Thick</t>
  </si>
  <si>
    <t>Block work in superstructure</t>
  </si>
  <si>
    <t>On Grid 8/E-G</t>
  </si>
  <si>
    <t>On Grid J/5-8</t>
  </si>
  <si>
    <t>On Grid M/5-8</t>
  </si>
  <si>
    <t>On Grid 5/M-P</t>
  </si>
  <si>
    <t>On Grid 8/N-Q</t>
  </si>
  <si>
    <t>On Grid P/6-8</t>
  </si>
  <si>
    <t>On Grid Q/6-8</t>
  </si>
  <si>
    <t>Between T-S/4-5</t>
  </si>
  <si>
    <t>RA-8</t>
  </si>
  <si>
    <t>Half Block Work</t>
  </si>
  <si>
    <t>Grid Q-R/2-5</t>
  </si>
  <si>
    <t>Half Brick Work</t>
  </si>
  <si>
    <t>Sunken area W/P</t>
  </si>
  <si>
    <t>G.F.</t>
  </si>
  <si>
    <t>Grid 11-14/A-B, Main entrance</t>
  </si>
  <si>
    <t>Grid 11-14/E-H, Staircase area</t>
  </si>
  <si>
    <t xml:space="preserve">Grid 9-11/F-G', </t>
  </si>
  <si>
    <t>Grid 14-15/E-G</t>
  </si>
  <si>
    <t>Grid 16-17/G-E (Between)</t>
  </si>
  <si>
    <t>Grid 12-13/L-N</t>
  </si>
  <si>
    <t>Grid 6-8/M-Q</t>
  </si>
  <si>
    <t>Grid 17-19/M-Q</t>
  </si>
  <si>
    <t>Grid 1-3/P-Q</t>
  </si>
  <si>
    <t>Grid 22-24/P-Q</t>
  </si>
  <si>
    <t>Grid 1-6/P-U</t>
  </si>
  <si>
    <t>Grid 19-24/P-U</t>
  </si>
  <si>
    <t>Grid 9-10 &amp; 15-16/N-Q &amp; R-T</t>
  </si>
  <si>
    <t>Grid 10-15/T-W, Kitchen area</t>
  </si>
  <si>
    <t>NON SHRINK GROUT GP2 (NS ITEM)</t>
  </si>
  <si>
    <t>Part 6, Grid 18-24/C-U</t>
  </si>
  <si>
    <t>Grid 18-19/C-D</t>
  </si>
  <si>
    <t>Grid 18-21/D-F</t>
  </si>
  <si>
    <t>Grid 18-23/F-P</t>
  </si>
  <si>
    <t>Grid 18-24/P-T</t>
  </si>
  <si>
    <t>(-) Staircase Grid 21-24/P-Q</t>
  </si>
  <si>
    <t>Grid 18-24/T-U</t>
  </si>
  <si>
    <t>Kitchen Area, 10-15/T-W</t>
  </si>
  <si>
    <t>Grid 12-18/N-T (Part 4)</t>
  </si>
  <si>
    <t>Night Canteen, 12-13/L-N</t>
  </si>
  <si>
    <t>Grid 11-18/A-H (Part 5)</t>
  </si>
  <si>
    <t>Grid 11-14/A-B</t>
  </si>
  <si>
    <t>Grid 11-14/D-E</t>
  </si>
  <si>
    <t>Grid 14-18/C-G</t>
  </si>
  <si>
    <t>Grid 11-14/B-E</t>
  </si>
  <si>
    <t>Above Terrace</t>
  </si>
  <si>
    <t>Grid 1-6/Q-U</t>
  </si>
  <si>
    <t>Grid 4-6/N-Q</t>
  </si>
  <si>
    <t>Grid 2-4/N-P</t>
  </si>
  <si>
    <t>Grid 6-7/N-Q (1/2*L*B*H)</t>
  </si>
  <si>
    <t>Beam (200X400) (200 merge in slab)</t>
  </si>
  <si>
    <t>On Grid 1 &amp; 6 /Q-U</t>
  </si>
  <si>
    <t>Between 6-7/N-Q Trangular</t>
  </si>
  <si>
    <t>Mumty of Stair</t>
  </si>
  <si>
    <t>Grid 1-3/P-Q &amp; 22-24/P-Q</t>
  </si>
  <si>
    <t>Grid 11-14/E-H</t>
  </si>
  <si>
    <t>Grid On Grid T/6-9</t>
  </si>
  <si>
    <t>On Grid 10/N-Q</t>
  </si>
  <si>
    <t>ON GRID 10/T-R</t>
  </si>
  <si>
    <t>On Grid 9/N-Q</t>
  </si>
  <si>
    <t>On Grid 9/T-R</t>
  </si>
  <si>
    <t>On Grid Q/9-10</t>
  </si>
  <si>
    <t>On Grid 11/A-D</t>
  </si>
  <si>
    <t>On Grid 11/E-H</t>
  </si>
  <si>
    <t>On Grid 15/N-Q</t>
  </si>
  <si>
    <t>On Grid 16/N-Q</t>
  </si>
  <si>
    <t>On Grid 16/R-T</t>
  </si>
  <si>
    <t>On Q/15-16</t>
  </si>
  <si>
    <t>ON GRID 14/A-D</t>
  </si>
  <si>
    <t>ON GRID 14/E-H</t>
  </si>
  <si>
    <t>ON GRID 15/E-G</t>
  </si>
  <si>
    <t>On Grid 18/E-G</t>
  </si>
  <si>
    <t>On Grid M/18-20</t>
  </si>
  <si>
    <t>On Grid 2O/M-P</t>
  </si>
  <si>
    <t>On Grid 18/N-Q</t>
  </si>
  <si>
    <t>On Grid P/19-18</t>
  </si>
  <si>
    <t>On Grid Q/19-18</t>
  </si>
  <si>
    <t>On Grid P/21-24</t>
  </si>
  <si>
    <t>FHC 21-22</t>
  </si>
  <si>
    <t>On Grid 11/B-D</t>
  </si>
  <si>
    <t>ON GRID 11/A-B(PARAPET)</t>
  </si>
  <si>
    <t>KITCHEN AREA(PARAPET)</t>
  </si>
  <si>
    <t>On GRID 10/T-W</t>
  </si>
  <si>
    <t>ON Grid 15/T-W</t>
  </si>
  <si>
    <t>On Grid L/12-13(PARAPET WALL)</t>
  </si>
  <si>
    <t>On Grid A/11-14 (PARAPET WALL)</t>
  </si>
  <si>
    <t>ON GRID 14/A-B</t>
  </si>
  <si>
    <t>On Grid 14/B-D</t>
  </si>
  <si>
    <t>On Grid Q/21-24</t>
  </si>
  <si>
    <t>On Grid R/19-22</t>
  </si>
  <si>
    <t>Between T-S/22-23</t>
  </si>
  <si>
    <t>On Grid 24/Q-U</t>
  </si>
  <si>
    <t>Between 22-23/S-U</t>
  </si>
  <si>
    <t>On Grid 22/S-U</t>
  </si>
  <si>
    <t>On Grid 19/R-U</t>
  </si>
  <si>
    <t>Part 1   (HEIGHT CHANGE)</t>
  </si>
  <si>
    <t>ON GRID T-R/10</t>
  </si>
  <si>
    <t>ON GRID T/10-15</t>
  </si>
  <si>
    <t>On Grid M/18-19</t>
  </si>
  <si>
    <t>On Grid 20/M-P</t>
  </si>
  <si>
    <t>Dry wall Partition</t>
  </si>
  <si>
    <t>On Block Work</t>
  </si>
  <si>
    <t>On Grid P/2-4</t>
  </si>
  <si>
    <t>(-)W1 4nos</t>
  </si>
  <si>
    <t>(-)W1 2nos</t>
  </si>
  <si>
    <t>On Grid 11/C-D</t>
  </si>
  <si>
    <t>On Grid 11/E-G</t>
  </si>
  <si>
    <t>On Grid 11/G-H</t>
  </si>
  <si>
    <t>(-)W1 3 nos</t>
  </si>
  <si>
    <t>ON GRID 14/E-G</t>
  </si>
  <si>
    <t>F-G</t>
  </si>
  <si>
    <t>(-)W1, 4nos</t>
  </si>
  <si>
    <t>(-)W1, 2nos</t>
  </si>
  <si>
    <t>(-)W2, 1 nos</t>
  </si>
  <si>
    <t>(-)W9, 1 nos</t>
  </si>
  <si>
    <t>(Same as Part 1) (Grid as/part1)</t>
  </si>
  <si>
    <t>(-) W1, 1nos</t>
  </si>
  <si>
    <t>On Grid 11/B-C</t>
  </si>
  <si>
    <t>On Grid 14/C-D</t>
  </si>
  <si>
    <t>(Same as/Part 1(Copied)(Grid as/part1)</t>
  </si>
  <si>
    <t>On Grid P/1-2</t>
  </si>
  <si>
    <t>Bedroom</t>
  </si>
  <si>
    <t>Ground floor(FOR ALL FLOOR)</t>
  </si>
  <si>
    <t>Sunken area Filling</t>
  </si>
  <si>
    <t>On grid 1-6/P-U, 2 NOS</t>
  </si>
  <si>
    <t>(-) Deduction P-Q/5-4</t>
  </si>
  <si>
    <t>M-Q/5-8, 2 NOS</t>
  </si>
  <si>
    <t>Q-N/9-10 4 NOS</t>
  </si>
  <si>
    <t>11-14/A-B</t>
  </si>
  <si>
    <t>11-14/E-H</t>
  </si>
  <si>
    <t>BETWEEN 9-11/F-G</t>
  </si>
  <si>
    <t>16-17/F-G</t>
  </si>
  <si>
    <t>14-15/E-G</t>
  </si>
  <si>
    <t>RA-5</t>
  </si>
  <si>
    <t>Parapet Coloumn</t>
  </si>
  <si>
    <t>(Both Sides)</t>
  </si>
  <si>
    <t>On Grid 6/-Q-U</t>
  </si>
  <si>
    <t>Between N-Q/6-7</t>
  </si>
  <si>
    <t>On Grid T/11-14</t>
  </si>
  <si>
    <t>RCC Chhajja</t>
  </si>
  <si>
    <t>(-)W10, 2nos</t>
  </si>
  <si>
    <t>(-)W9, 2 nos</t>
  </si>
  <si>
    <t>On Grid 11/A-C</t>
  </si>
  <si>
    <t>On Grid N/12-13</t>
  </si>
  <si>
    <t>ON GRID 14/A-C</t>
  </si>
  <si>
    <t>ON GRID 14/C-D</t>
  </si>
  <si>
    <t>ON GRID 14/G-H</t>
  </si>
  <si>
    <t>On Grid 14/B-C</t>
  </si>
  <si>
    <t>Same as Part 1 (Grid as/Part 1)</t>
  </si>
  <si>
    <t>On Half Block Wall</t>
  </si>
  <si>
    <t>Grid Q-R/20-23</t>
  </si>
  <si>
    <t>Oil Bound Distemper</t>
  </si>
  <si>
    <t>Office</t>
  </si>
  <si>
    <t>(-) Toilet</t>
  </si>
  <si>
    <t>Elec. Room</t>
  </si>
  <si>
    <t>Warden Room</t>
  </si>
  <si>
    <t>(-) toilet</t>
  </si>
  <si>
    <t>Reading room</t>
  </si>
  <si>
    <t>Handwash room</t>
  </si>
  <si>
    <t>Coridore</t>
  </si>
  <si>
    <t>F-P/4-5</t>
  </si>
  <si>
    <t>P-R/4-6</t>
  </si>
  <si>
    <t>6-10/R-Q</t>
  </si>
  <si>
    <t>10-15/N-T (Dinning space)</t>
  </si>
  <si>
    <t>15-19/Q-R</t>
  </si>
  <si>
    <t>19-21/P-R</t>
  </si>
  <si>
    <t>P-F/20-21</t>
  </si>
  <si>
    <t>20-21/D-F</t>
  </si>
  <si>
    <t>6-18/D-E</t>
  </si>
  <si>
    <t>4-6/D-E</t>
  </si>
  <si>
    <t>4-5/F-E</t>
  </si>
  <si>
    <t>Grid 14-18/E-G</t>
  </si>
  <si>
    <t>library</t>
  </si>
  <si>
    <t>Cyber room</t>
  </si>
  <si>
    <t>10-15/N-T (Common area &amp; Platform)</t>
  </si>
  <si>
    <t>(-) D1, 3</t>
  </si>
  <si>
    <t>(-) D4, 1</t>
  </si>
  <si>
    <t>(-) D1, 5</t>
  </si>
  <si>
    <t>(-) D1,</t>
  </si>
  <si>
    <t>D3</t>
  </si>
  <si>
    <t>D8</t>
  </si>
  <si>
    <t>D7</t>
  </si>
  <si>
    <t>D4</t>
  </si>
  <si>
    <t>D6</t>
  </si>
  <si>
    <t>GF,FF&amp;Second Floor</t>
  </si>
  <si>
    <t>W1</t>
  </si>
  <si>
    <t>W2</t>
  </si>
  <si>
    <t>W3</t>
  </si>
  <si>
    <t>W4</t>
  </si>
  <si>
    <t>W5</t>
  </si>
  <si>
    <t>W6</t>
  </si>
  <si>
    <t>W7</t>
  </si>
  <si>
    <t>W8</t>
  </si>
  <si>
    <t>W9</t>
  </si>
  <si>
    <t>W10</t>
  </si>
  <si>
    <t>DW1</t>
  </si>
  <si>
    <t>D2</t>
  </si>
  <si>
    <t>D5</t>
  </si>
  <si>
    <t>D9</t>
  </si>
  <si>
    <t>D10</t>
  </si>
  <si>
    <t>D12</t>
  </si>
  <si>
    <t>Openings</t>
  </si>
  <si>
    <t>Handwash Area</t>
  </si>
  <si>
    <t>Water Cooler Room</t>
  </si>
  <si>
    <t>Wasing Room</t>
  </si>
  <si>
    <t>Near Ramp(Left Side)</t>
  </si>
  <si>
    <t>Near Ramp(Right Side)</t>
  </si>
  <si>
    <t>Pass through</t>
  </si>
  <si>
    <t>Toilet Openings</t>
  </si>
  <si>
    <t>Brick bat coba</t>
  </si>
  <si>
    <t>11-14/a-b</t>
  </si>
  <si>
    <t>Flush Door</t>
  </si>
  <si>
    <t>D1 (100 Nos)</t>
  </si>
  <si>
    <t xml:space="preserve">Foundation Bolt Fixing </t>
  </si>
  <si>
    <t>10-15/U-W KITCHEN AREA</t>
  </si>
  <si>
    <t>Deduct Plinth Beam</t>
  </si>
  <si>
    <t>RA-6</t>
  </si>
  <si>
    <t>(-) W1 3nos</t>
  </si>
  <si>
    <t>(-)W1 3nos</t>
  </si>
  <si>
    <t xml:space="preserve">(-)W7 </t>
  </si>
  <si>
    <t>(-)D3 2nos</t>
  </si>
  <si>
    <t>.</t>
  </si>
  <si>
    <t>(-)w1 3 nos</t>
  </si>
  <si>
    <t>FHC Block</t>
  </si>
  <si>
    <t>GridG/9-11</t>
  </si>
  <si>
    <t>Between Grid 9-11/F-G</t>
  </si>
  <si>
    <t>On Half Brick Wall</t>
  </si>
  <si>
    <t>Deduct D5</t>
  </si>
  <si>
    <t>Deduct D6</t>
  </si>
  <si>
    <t>On Grid D/19-21</t>
  </si>
  <si>
    <t>On Grid 8/M-N</t>
  </si>
  <si>
    <t>On Grid 6/R-T</t>
  </si>
  <si>
    <t>On Grid 6/T-U</t>
  </si>
  <si>
    <t>On Full Brick Wall</t>
  </si>
  <si>
    <t>Part 6 Toilet area (Same as part 1)</t>
  </si>
  <si>
    <t>On Grid 10/T-W Mess Manager office</t>
  </si>
  <si>
    <t>(-) W8 1nos</t>
  </si>
  <si>
    <t>Grid G/9-11</t>
  </si>
  <si>
    <t>On grid 10-11/V-W</t>
  </si>
  <si>
    <t>Grid T-V/12-14</t>
  </si>
  <si>
    <t>On Grid V-W/12-15</t>
  </si>
  <si>
    <t>On Grid 14-15/V-W</t>
  </si>
  <si>
    <t>At RCC Chhajja</t>
  </si>
  <si>
    <t>Reception area, 11-14/B-D</t>
  </si>
  <si>
    <t>Toilet Flooring Tiles</t>
  </si>
  <si>
    <t>GROUND FLOOR PART-1</t>
  </si>
  <si>
    <t xml:space="preserve">PART-6 </t>
  </si>
  <si>
    <t>At grid S-U/22-24</t>
  </si>
  <si>
    <t>At grid S-U/19-22</t>
  </si>
  <si>
    <t>At grid R-S/19-24</t>
  </si>
  <si>
    <t>At grid Q-R/22-24</t>
  </si>
  <si>
    <t>1st FLOOR</t>
  </si>
  <si>
    <t>2nd FLOOR</t>
  </si>
  <si>
    <t>Toilet Walls Tiles On G.F</t>
  </si>
  <si>
    <t>PART-1</t>
  </si>
  <si>
    <t>(-w3) 1 no.</t>
  </si>
  <si>
    <t>PART-6 Same as PART-1</t>
  </si>
  <si>
    <t>1st FLOOR (PART-1)</t>
  </si>
  <si>
    <t>2nd FLOOR (PART-1)</t>
  </si>
  <si>
    <t>deduct(opening)</t>
  </si>
  <si>
    <t>(-) D8 1 nos</t>
  </si>
  <si>
    <t>(-) W8 2 nos</t>
  </si>
  <si>
    <t>(-) D8 2 nos</t>
  </si>
  <si>
    <t>(-) W8 1 nos</t>
  </si>
  <si>
    <t>(-) D4</t>
  </si>
  <si>
    <t>(-) W9</t>
  </si>
  <si>
    <t>Buffet outer wall</t>
  </si>
  <si>
    <t>(-) D12</t>
  </si>
  <si>
    <t>10-15/N-T (Common Area)</t>
  </si>
  <si>
    <t>10-15/N-T (Gym. &amp; Common Area)</t>
  </si>
  <si>
    <t>Dinning area wall Tile</t>
  </si>
  <si>
    <t>(-) D3, 2 nos</t>
  </si>
  <si>
    <t>(-) W7</t>
  </si>
  <si>
    <t>Coloumn tile</t>
  </si>
  <si>
    <t>P/L vinyl flooring of sports flooring</t>
  </si>
  <si>
    <t>*</t>
  </si>
  <si>
    <t>TOTAL QUANTITY</t>
  </si>
  <si>
    <t>Door 32nos.</t>
  </si>
  <si>
    <t>Inner wall partation</t>
  </si>
  <si>
    <t>Outer cubicale wall</t>
  </si>
  <si>
    <t>First floor</t>
  </si>
  <si>
    <t>Second floor</t>
  </si>
  <si>
    <t>10-15/r-t</t>
  </si>
  <si>
    <t>Fire rated Doors</t>
  </si>
  <si>
    <t>P/F Panic Bar in Fire rated Doors</t>
  </si>
  <si>
    <t>D5 (9 Nos)</t>
  </si>
  <si>
    <t>P/F Door closer in Fire rated Doors</t>
  </si>
  <si>
    <t>on grid v-w/10-15</t>
  </si>
  <si>
    <t>on grid t-v/10-12</t>
  </si>
  <si>
    <t xml:space="preserve">on grid a-b/11-13(entrance area) </t>
  </si>
  <si>
    <t>Toilet area (both side all floors)</t>
  </si>
  <si>
    <t>Grid Ceiling (Both side all Floors)</t>
  </si>
  <si>
    <t>On Grid S-U/2-3</t>
  </si>
  <si>
    <t>On Grid S-U/3-6</t>
  </si>
  <si>
    <t>GROUND FLOOR</t>
  </si>
  <si>
    <t>DOUBLING</t>
  </si>
  <si>
    <t>RA-04</t>
  </si>
  <si>
    <t>Gypsum Board False Ceiling</t>
  </si>
  <si>
    <t xml:space="preserve">G.F(PART 1&amp;6) ON CORNERS BOTH SIDE </t>
  </si>
  <si>
    <t>At grid 4-6/D-F</t>
  </si>
  <si>
    <t>At grid R-P/4-6</t>
  </si>
  <si>
    <t>1st FLOOR (PART1&amp;6)</t>
  </si>
  <si>
    <t>At grid 4-5/D-F</t>
  </si>
  <si>
    <t>2nd FLOOR (PART 1&amp;6)</t>
  </si>
  <si>
    <t>F-E/4-5</t>
  </si>
  <si>
    <t>Reception</t>
  </si>
  <si>
    <t>GF, Coridore (GF, 1st &amp; 2nd)</t>
  </si>
  <si>
    <t>Below stair(GF, 1st &amp; 2nd)</t>
  </si>
  <si>
    <t>Common room 10-15/N-Q (1st Floor)</t>
  </si>
  <si>
    <t>Front of common room 10-15/R-T</t>
  </si>
  <si>
    <t>Coridore front of Zim 10-15/Q-R</t>
  </si>
  <si>
    <t>Washing room (GF, 1st &amp; 2nd)</t>
  </si>
  <si>
    <t>Water cooler room (GF, 1st, 2nd)</t>
  </si>
  <si>
    <t>Handwash room (GF)</t>
  </si>
  <si>
    <t>Buffet counter area</t>
  </si>
  <si>
    <t>T-V/12-15</t>
  </si>
  <si>
    <t>10-15/N-T, dinning area</t>
  </si>
  <si>
    <t>Ramp area, R-T/9-10</t>
  </si>
  <si>
    <t>Reception  (Verticals)</t>
  </si>
  <si>
    <t>Road Work</t>
  </si>
  <si>
    <t>Below Paver Block at Courtyard area</t>
  </si>
  <si>
    <t>NS-10</t>
  </si>
  <si>
    <t xml:space="preserve">G.F </t>
  </si>
  <si>
    <t>On Reception area beam clading</t>
  </si>
  <si>
    <t>Grid D-F/4&amp;21(GF, 1st &amp; 2nd)</t>
  </si>
  <si>
    <t>Grid D/4-6 &amp; 19-21(GF, 1st &amp; 2nd)</t>
  </si>
  <si>
    <t>Paver Block at Courtyard area</t>
  </si>
  <si>
    <t>Reception area</t>
  </si>
  <si>
    <t>NS-14</t>
  </si>
  <si>
    <t>P/F Wooden Piller (laminated)</t>
  </si>
  <si>
    <t xml:space="preserve">MB NOT COMPLETE BECAUSE WASHING,COOLER,HANDWASH ROOM FALSE CEILING NOT MEASURED </t>
  </si>
  <si>
    <t xml:space="preserve">13.3.1 </t>
  </si>
  <si>
    <t>NON-SCHEDULED ITEMS</t>
  </si>
  <si>
    <t xml:space="preserve">     JMR REQUIRED</t>
  </si>
  <si>
    <t>Supply staking and laying of material WBM 63mm to 45mm</t>
  </si>
  <si>
    <t>RA-02</t>
  </si>
  <si>
    <t>PCC at Top</t>
  </si>
  <si>
    <t>Parapet Band</t>
  </si>
  <si>
    <t>LESS LINTLE VOLUME</t>
  </si>
  <si>
    <t>WATER COOLER ROOM</t>
  </si>
  <si>
    <t>WASHING ROOM</t>
  </si>
  <si>
    <t>NIGHT CANTEEN</t>
  </si>
  <si>
    <t>LIBRARY &amp; CYBER ROOM</t>
  </si>
  <si>
    <t>OFFICE 9-11/C-D</t>
  </si>
  <si>
    <t>GUEST ROOM 9-11/E-G</t>
  </si>
  <si>
    <t>LESS WALL AREA</t>
  </si>
  <si>
    <t>ELECTRICAL ROOM E-G/14-15</t>
  </si>
  <si>
    <t>WARDEN ROOM&amp;TOILET E-G/15-16&amp;17</t>
  </si>
  <si>
    <t>FIRE STAIRCASE P-Q/1-4</t>
  </si>
  <si>
    <t>MIDDLE STAIR CASE</t>
  </si>
  <si>
    <t>DINNING HALL</t>
  </si>
  <si>
    <t>W2,  Toilet</t>
  </si>
  <si>
    <t>W3, Library</t>
  </si>
  <si>
    <t>S .No</t>
  </si>
  <si>
    <t>Qty</t>
  </si>
  <si>
    <t>Factor</t>
  </si>
  <si>
    <t>SQM</t>
  </si>
  <si>
    <t>NS-18</t>
  </si>
  <si>
    <t>Marble stone flooring with 18 mm thick marble stone, as per sample of marble approved by Engineer-in-charge, over 20 mm (average) thick base of cement mortar 1:4 (1 cement : 4 coarse sand) laid and jointed with grey cement slurry, including rubbing and polishing complete with Udaipur green Marble</t>
  </si>
  <si>
    <t>Basic Rate Difference (Tiles)</t>
  </si>
  <si>
    <t>Basic Rate Difference (Cement &amp; Steel)</t>
  </si>
  <si>
    <t>Lucky Traders</t>
  </si>
  <si>
    <t>Guru Kripa Building Material</t>
  </si>
  <si>
    <t>Bill No.</t>
  </si>
  <si>
    <t>PB65D 9245</t>
  </si>
  <si>
    <t>PB11AD 9095</t>
  </si>
  <si>
    <t>Top runner, MS Square Pipe, 50mm*50mm*2.9mm</t>
  </si>
  <si>
    <t>NS-27</t>
  </si>
  <si>
    <t>Dia-wise Total</t>
  </si>
  <si>
    <t>10mm thick Vitrified Tiles</t>
  </si>
  <si>
    <t>Beams, plinth beams, girders, bressumers, cantilevers, Suspended floors, facias, lintels roofs and staircases including spiral staircases, shelves etc.</t>
  </si>
  <si>
    <t>Providing and laying autoclaved aerated cement blocks masonry with 200 mm thick/or more thick as required AAC blocks in super structure at any level  in cement mortar 1:5 (1 cement : 5 coarse sand). The rate includes providing and placing RCC bend in M-25 in full width of wall and 150 mm high, with 2 nos. 10mm dia bars, all as per specifications. (this bend is constructed if wall length or height is more than 3 metres)</t>
  </si>
  <si>
    <t>Providing and laying autoclaved aerated cement blocks masonry with 100 mm thick AAC blocks in super structure at any level  in cement mortar 1:4 (1 cement : 4 coarse sand). The rate includes providing and placing RCC bend in M-25 in full width of wall and 150 mm high, with 2 nos. 10mm dia bars, all as per specifications. (this bend is constructed if wall length or height is more than 3 metres)</t>
  </si>
  <si>
    <t>Precast terrazo tiles with graded marble chips of size upto 12 mm, laid in floors, and landings, jointed with neat cement slurry mixed with pigment to match the shade of the tiles, including rubbing and polishing complete, on as per required thick bed of cement mortar 1:4  (1 cement:4 coarse sand) or CC 1:2:4</t>
  </si>
  <si>
    <t>Less for not using toughened glass</t>
  </si>
  <si>
    <t>PB28(a) (230*600) Grid3 &amp; 22/Q-V</t>
  </si>
  <si>
    <t>PB29 (230*450)Grid 3 &amp; 22/P-Q</t>
  </si>
  <si>
    <t>PB30 (230*450)Grid 4 &amp; 21/P-R</t>
  </si>
  <si>
    <t>PB33 (230*450)Grid 6 &amp; 19/D-C</t>
  </si>
  <si>
    <t>PB34 (230*450) Grid 6 &amp; 19/M-Q</t>
  </si>
  <si>
    <t>PB34B (a)(230*600)Grid 6 &amp; 19/R-U</t>
  </si>
  <si>
    <t>PB35 (230*450)Grid7-8 &amp; 17-18/C-T</t>
  </si>
  <si>
    <t>PB36 (230*450)Grid 9 &amp;16/C-G &amp; N-T</t>
  </si>
  <si>
    <t>PB37 (230*600)Grid 10 &amp; 15/ N-W</t>
  </si>
  <si>
    <t>PB38 (230*450)Grid 11 &amp; 14/A-H</t>
  </si>
  <si>
    <t>PB 39 (230*600)grid 11 &amp; 14/T-W</t>
  </si>
  <si>
    <t>PB40 (230*450)Grid 12 &amp; 13/L-T</t>
  </si>
  <si>
    <t>PB 41 (230*450)Grid 16-17/E-G</t>
  </si>
  <si>
    <t>Providing  and fixing trap door in false ceiling, made of 12 mm thick prelaminated partical board resting/ fixed including all hardware, hard wood lipping etc. complete as per drawing and drawing.</t>
  </si>
  <si>
    <t>TOTAL FOR SCHEDULED ITEM</t>
  </si>
  <si>
    <t>NS-01</t>
  </si>
  <si>
    <t>NS-02</t>
  </si>
  <si>
    <t>NS-03</t>
  </si>
  <si>
    <t>NS-04</t>
  </si>
  <si>
    <t>NS-05</t>
  </si>
  <si>
    <t>NS-07</t>
  </si>
  <si>
    <t>NS-06</t>
  </si>
  <si>
    <t>NS-08</t>
  </si>
  <si>
    <t>NS-09</t>
  </si>
  <si>
    <t>NS-26</t>
  </si>
  <si>
    <t>NS-25</t>
  </si>
  <si>
    <t>NS-24</t>
  </si>
  <si>
    <t>NS-23</t>
  </si>
  <si>
    <t>NS-22</t>
  </si>
  <si>
    <t>P/F Wooden Cladding (laminated)</t>
  </si>
  <si>
    <t>NS-20</t>
  </si>
  <si>
    <t>NS-21</t>
  </si>
  <si>
    <t>To be paid by Concern Agency</t>
  </si>
  <si>
    <t>Not Payable</t>
  </si>
  <si>
    <t>Rate per Bag</t>
  </si>
  <si>
    <t>Remark</t>
  </si>
  <si>
    <t>Challan
No.</t>
  </si>
  <si>
    <t>Project: PEB 300 BOYS HOSTEL, THAPAR UNIVERSITY,PATIALA</t>
  </si>
  <si>
    <t>PCC 1:4:8 - By RMC</t>
  </si>
  <si>
    <t>4.3.1 &amp; 4.3.6</t>
  </si>
  <si>
    <t>Half Brick Work in 1:4</t>
  </si>
  <si>
    <t>Red Agra Stone (Taken Cement Consumption only 20% of Total)</t>
  </si>
  <si>
    <t>0000000670</t>
  </si>
  <si>
    <t>0000000079</t>
  </si>
  <si>
    <t>STEEL AUTHORITY OF INDIA LIMITED</t>
  </si>
  <si>
    <t>0000007382</t>
  </si>
  <si>
    <t>0000007381</t>
  </si>
  <si>
    <t>0000000168</t>
  </si>
  <si>
    <t>0000000669</t>
  </si>
  <si>
    <t>0000007235</t>
  </si>
  <si>
    <t>0000007234</t>
  </si>
  <si>
    <t>0000007310</t>
  </si>
  <si>
    <t>Average Purchase Rate</t>
  </si>
  <si>
    <t>Reinforcement Steel Receiving Detail</t>
  </si>
  <si>
    <t>Cement Consumed at Site</t>
  </si>
  <si>
    <t>RMC Receiving Detail</t>
  </si>
  <si>
    <t>Cement Receiving Detail</t>
  </si>
  <si>
    <t>RMC Ready Mix India</t>
  </si>
  <si>
    <t>111_1617_0_0_000013</t>
  </si>
  <si>
    <t>Invoice No.</t>
  </si>
  <si>
    <t>M25</t>
  </si>
  <si>
    <t>111_1617_0_0_000715</t>
  </si>
  <si>
    <t>M7.5</t>
  </si>
  <si>
    <t>111_1617_0_0_000691</t>
  </si>
  <si>
    <t>111_1617_0_0_000586</t>
  </si>
  <si>
    <t>111_1617_0_0_000651</t>
  </si>
  <si>
    <t>111_1617_0_0_000558</t>
  </si>
  <si>
    <t>111_1617_0_0_000541</t>
  </si>
  <si>
    <t>111_1617_0_0_000527</t>
  </si>
  <si>
    <t>111_1617_0_0_000518</t>
  </si>
  <si>
    <t>111_1617_0_0_000514</t>
  </si>
  <si>
    <t>111_1617_0_0_000504</t>
  </si>
  <si>
    <t>113_1617_0_0_000394</t>
  </si>
  <si>
    <t>111_1617_0_0_000492</t>
  </si>
  <si>
    <t>111_1617_0_0_000493</t>
  </si>
  <si>
    <t>111_1617_0_0_000482</t>
  </si>
  <si>
    <t>111_1617_0_0_000472</t>
  </si>
  <si>
    <t>111_1617_0_0_000449</t>
  </si>
  <si>
    <t>111_1617_0_0_000439</t>
  </si>
  <si>
    <t>111_1617_0_0_000422</t>
  </si>
  <si>
    <t>111_1617_0_0_000405</t>
  </si>
  <si>
    <t>111_1617_0_0_000382</t>
  </si>
  <si>
    <t>111_1617_0_0_000365</t>
  </si>
  <si>
    <t>111_1617_0_0_000333</t>
  </si>
  <si>
    <t>111_1617_0_0_000307</t>
  </si>
  <si>
    <t>111_1617_0_0_000295</t>
  </si>
  <si>
    <t>111_1617_0_0_000276</t>
  </si>
  <si>
    <t>111_1617_0_0_000275</t>
  </si>
  <si>
    <t>111_1617_0_0_000268</t>
  </si>
  <si>
    <t>111_1617_0_0_000261</t>
  </si>
  <si>
    <t>111_1617_0_0_000253</t>
  </si>
  <si>
    <t>111_1516_0_0_002506</t>
  </si>
  <si>
    <t>111_1516_0_0_002493</t>
  </si>
  <si>
    <t>111_1516_0_0_002484</t>
  </si>
  <si>
    <t>111_1617_0_0_000023</t>
  </si>
  <si>
    <t>111_1617_0_0_000042</t>
  </si>
  <si>
    <t>111_1617_0_0_000032</t>
  </si>
  <si>
    <t>111_1617_0_0_000076</t>
  </si>
  <si>
    <t>111_1617_0_0_000066</t>
  </si>
  <si>
    <t>111_1617_0_0_000051</t>
  </si>
  <si>
    <t>111_1516_0_0_002467</t>
  </si>
  <si>
    <t>111_1516_0_0_002455</t>
  </si>
  <si>
    <t>111_1516_0_0_002451</t>
  </si>
  <si>
    <t>111_1516_0_0_002443</t>
  </si>
  <si>
    <t>111_1516_0_0_002434</t>
  </si>
  <si>
    <t>111_1516_0_0_002412</t>
  </si>
  <si>
    <t>111_1516_0_0_002397</t>
  </si>
  <si>
    <t>111_1516_0_0_002398</t>
  </si>
  <si>
    <t>111_1617_0_0_000196</t>
  </si>
  <si>
    <t>111_1617_0_0_000191</t>
  </si>
  <si>
    <t>111_1617_0_0_000183</t>
  </si>
  <si>
    <t>111_1617_0_0_000007</t>
  </si>
  <si>
    <t>111_1617_0_0_000001</t>
  </si>
  <si>
    <t>111_1516_0_0_002376</t>
  </si>
  <si>
    <t>111_1516_0_0_002383</t>
  </si>
  <si>
    <t>111_1516_0_0_002382</t>
  </si>
  <si>
    <t>P-SAT CONCRETE SOLUTIONS</t>
  </si>
  <si>
    <t>RMC 91</t>
  </si>
  <si>
    <t>RMC 90</t>
  </si>
  <si>
    <t>RMC 89</t>
  </si>
  <si>
    <t>RMC 88</t>
  </si>
  <si>
    <t>RMC 85</t>
  </si>
  <si>
    <t>RMC 84</t>
  </si>
  <si>
    <t>RMC 101</t>
  </si>
  <si>
    <t>RMC 99</t>
  </si>
  <si>
    <t>RMC 98</t>
  </si>
  <si>
    <t>RMC 97</t>
  </si>
  <si>
    <t>RMC 96</t>
  </si>
  <si>
    <t>RMC 95</t>
  </si>
  <si>
    <t>RMC 92</t>
  </si>
  <si>
    <t>RMC V 01</t>
  </si>
  <si>
    <t>RMC V 02</t>
  </si>
  <si>
    <t>PB11BA 8107</t>
  </si>
  <si>
    <t>PB23H 6270</t>
  </si>
  <si>
    <t>Average Purchase Rate = Total Amont / Total Quantity</t>
  </si>
  <si>
    <t>Cement Cnsumption</t>
  </si>
  <si>
    <t>On Site</t>
  </si>
  <si>
    <t>By RMC</t>
  </si>
  <si>
    <t>Cement Consumption Statement</t>
  </si>
  <si>
    <t>PROJECT NAME - PEB 300 BOYS HOSTEL,THAPAR UNIVERSITY,PATIALA</t>
  </si>
  <si>
    <t>Reinforcement Steel Summary of Consumption</t>
  </si>
  <si>
    <t>Sl.No.</t>
  </si>
  <si>
    <t>Tor Steel</t>
  </si>
  <si>
    <t>Remarks</t>
  </si>
  <si>
    <t>A)</t>
  </si>
  <si>
    <t>REINFORCEMENT</t>
  </si>
  <si>
    <t>Total Received</t>
  </si>
  <si>
    <t>Reconciliation Statement</t>
  </si>
  <si>
    <t>B)</t>
  </si>
  <si>
    <t>CEMENT</t>
  </si>
  <si>
    <t>Bag</t>
  </si>
  <si>
    <t>Total Theoretical Consumption</t>
  </si>
  <si>
    <t>111_1617_0_0_000214</t>
  </si>
  <si>
    <t>111_1617_0_0_000223</t>
  </si>
  <si>
    <t>111_1617_0_0_000233</t>
  </si>
  <si>
    <t>111_1617_0_0_000249</t>
  </si>
  <si>
    <t>111_1617_0_0_000206</t>
  </si>
  <si>
    <t>056</t>
  </si>
  <si>
    <t>Amar Nath Shankar Dass</t>
  </si>
  <si>
    <t>061</t>
  </si>
  <si>
    <t>067</t>
  </si>
  <si>
    <t>Total Consumption as Billed</t>
  </si>
  <si>
    <t>Wastage and Scrap i/c small length, Rings, Chairs, Scrap</t>
  </si>
  <si>
    <t>Total % of Balance / Wastage on Billed Quantity</t>
  </si>
  <si>
    <t>Actual Balance /Wastage at Site</t>
  </si>
  <si>
    <t>RCC M25 - Site Mix</t>
  </si>
  <si>
    <t>PCC 1:4:8 - Site Mix</t>
  </si>
  <si>
    <t>Total Consumption of Cement (Bags)</t>
  </si>
  <si>
    <t>NA</t>
  </si>
  <si>
    <t>Krishna Steel Corp.</t>
  </si>
  <si>
    <t>1035</t>
  </si>
  <si>
    <t>956</t>
  </si>
  <si>
    <t>Summary of Supply</t>
  </si>
  <si>
    <t>Cement Co-efficient for P-SAT</t>
  </si>
  <si>
    <t>Cement Co-efficient for RMC Ready Mix</t>
  </si>
  <si>
    <t>in Bags</t>
  </si>
  <si>
    <t>Cement Consumption for P-SAT</t>
  </si>
  <si>
    <t>Cement Consumption for RMC Ready Mix</t>
  </si>
  <si>
    <t>414/25.06.16</t>
  </si>
  <si>
    <t>403/24.06.16</t>
  </si>
  <si>
    <t>1215/24.07.16</t>
  </si>
  <si>
    <t>1222/24.07.16</t>
  </si>
  <si>
    <t>052</t>
  </si>
  <si>
    <t>1185/22.07.16</t>
  </si>
  <si>
    <t>050</t>
  </si>
  <si>
    <t>674/04.07.16</t>
  </si>
  <si>
    <t>HR73 3686</t>
  </si>
  <si>
    <t>405/25.06.16</t>
  </si>
  <si>
    <t>PB23C 3720</t>
  </si>
  <si>
    <t>Tractor-Trolly</t>
  </si>
  <si>
    <t>1472/07.08.16</t>
  </si>
  <si>
    <t>PB11AQ 9342</t>
  </si>
  <si>
    <t>058</t>
  </si>
  <si>
    <t>396/24.06.16</t>
  </si>
  <si>
    <t>PB23 2415</t>
  </si>
  <si>
    <t>M/s Anand Cement Store</t>
  </si>
  <si>
    <t>1103/02.06.16</t>
  </si>
  <si>
    <t>19/10.06.16</t>
  </si>
  <si>
    <t>133/14.06.16</t>
  </si>
  <si>
    <t>131/14.06.16</t>
  </si>
  <si>
    <t>399/24.06.16</t>
  </si>
  <si>
    <t>400/24.06.16</t>
  </si>
  <si>
    <t>1089/01.06.16</t>
  </si>
  <si>
    <t>Grand Total - Cement Bags, Total Amount &amp; Average Purchase Rate</t>
  </si>
  <si>
    <t>968/14.07.16</t>
  </si>
  <si>
    <t>700 Bags, Bill Not available</t>
  </si>
  <si>
    <t>Total Cement in 50 Kg Bags</t>
  </si>
  <si>
    <t>Tiles Receiving Detail</t>
  </si>
  <si>
    <t>Ganpati Bath Gallery</t>
  </si>
  <si>
    <t>Qty Sft</t>
  </si>
  <si>
    <t>Tiles Per Box</t>
  </si>
  <si>
    <t>Tile Area</t>
  </si>
  <si>
    <t>Rate per Box</t>
  </si>
  <si>
    <t>Rate per Sft</t>
  </si>
  <si>
    <t>Bill 
Date</t>
  </si>
  <si>
    <t>Tiles 
Description</t>
  </si>
  <si>
    <t>Tile Size</t>
  </si>
  <si>
    <t>600*600</t>
  </si>
  <si>
    <t>300*450</t>
  </si>
  <si>
    <t>Total Quantity, Amount &amp; Average Rate</t>
  </si>
  <si>
    <t>Sft</t>
  </si>
  <si>
    <t>NS-28</t>
  </si>
  <si>
    <t>Providing and laying vinyl flooring of sports flooring grade for areas as indicated. Joints to be perfect machine like straight cut without jagged edges, welded at joints. The Surface to be smooth and in level without any bubbles or creases. The rate to be inclusive of any levelling required due to undulations in the floor. (Thk 6 to 8mm thk)</t>
  </si>
  <si>
    <t>D)</t>
  </si>
  <si>
    <t>VITRIFIED TILES</t>
  </si>
  <si>
    <t>CERAMIC TILES</t>
  </si>
  <si>
    <t>D/O on item 10.4.4 for providing &amp; fixing 4.5mm thick vinyl sports flooring in place of 6-8mm (Average 7mm) thick flooring (rate on pro-rata basis)</t>
  </si>
  <si>
    <t>Brick work with common burnt clay class designation 7.5 bricks with 1:6 mortar (1 cement : 6 coarse sand) in foundation &amp; plinth</t>
  </si>
  <si>
    <r>
      <rPr>
        <b/>
        <u/>
        <sz val="12"/>
        <rFont val="Cambria"/>
        <family val="1"/>
        <scheme val="major"/>
      </rPr>
      <t xml:space="preserve">Note :- </t>
    </r>
    <r>
      <rPr>
        <sz val="12"/>
        <rFont val="Cambria"/>
        <family val="1"/>
        <scheme val="major"/>
      </rPr>
      <t xml:space="preserve"> Excavation shall be payable only for vertical cut up to the outer edge of foundation lean concrete as indicated in drawings for all depths. Cost of extra excavation required for working space, supporting side shuttering of foundations and retaining walls and that required for making slopes for stability of excavation shall be deemed to be included in the rate quoted. (Note: The Line &amp; levels in the drawings shall be strictly followed and over excavation if any shall be made good by contractor free of cost as per the instructions of the Project Manager .</t>
    </r>
  </si>
  <si>
    <r>
      <t xml:space="preserve">Design, Supply and fixing of factory finished custom designed TRAC Light Framing Frame structure for partitions manufactured out of  0.75 thick  Hi-tensile Bare Galvalume hi-tensile substrate </t>
    </r>
    <r>
      <rPr>
        <b/>
        <sz val="12"/>
        <rFont val="Cambria"/>
        <family val="1"/>
        <scheme val="major"/>
      </rPr>
      <t>(AZ150gsm-Aluminim Zinc alloy coated steel/550 Mpa yield strength )</t>
    </r>
    <r>
      <rPr>
        <sz val="12"/>
        <rFont val="Cambria"/>
        <family val="1"/>
        <scheme val="major"/>
      </rPr>
      <t xml:space="preserve"> substrate. The framing section shall be of cold form section C- type having depth of (90mm depth x 39 mm flange x 12 lips) in required length as per site requirements duly punched with dimple/slot at required location as per manufacture approved drawings at various locations. The frame shall be supplied in knock down condition at site and fixed by mean of wafer head galvanised steel screws 4mm thick. The main frame shall be fixed to RCC slab or Plinth Tie beam using expanded steel anchor bolts fasteners in size of 12mm-16mm Grade ( 4.8 – 8.8 ) at 500mm spacing c/c as per manufactured approved drawings. The frame module shall span max 5mtr maximum with internal support member or wall. No welding shall be permitted to the structure at site. All vertical frames shall be supported maximum at 600mm c/c and horizontally 800mm. Structure shall be designed for snow load as well as wind up lift. The factory finished slot of 30 mm round dia shall be given in frame to accommodate the electrical conduits as per electrical conduits lay out at fixed location as per approved GA drawings by engineer in charge. Applicator shall follow the approved GA/erection drawings of manufacture. The frame shall be fixed over RCC plinth beam or floor by mean of steel hold on fasteners at 400-600 mm c/c. </t>
    </r>
  </si>
  <si>
    <r>
      <t xml:space="preserve">Providng &amp; Fixing of Mortise lock with pair of SS handles 25mm dia x 450mm long of approved makes in Fire door including necessary screws etc. complete with key from outside only. (Basic rate of Mortice lock along with latch handles  Rs. 2500/- each) for </t>
    </r>
    <r>
      <rPr>
        <b/>
        <sz val="12"/>
        <rFont val="Cambria"/>
        <family val="1"/>
        <scheme val="major"/>
      </rPr>
      <t>lift lobby doors  LS</t>
    </r>
  </si>
  <si>
    <t>Half Brick work with common burnt clay class designation 7.5 bricks with 1:4 mortar (1 cement : 4 coarse sand) in foundation, plinth &amp;  Superstructure.</t>
  </si>
  <si>
    <t>E/O on item No. 8.3 for providing &amp; fixing 8mm thick Cement Board in place of Gypsum board in dry wall cladding for skiting etc.</t>
  </si>
  <si>
    <t>C)</t>
  </si>
  <si>
    <t>Basic Rate Difference for Tiles</t>
  </si>
  <si>
    <t>8th &amp; Final Bill</t>
  </si>
  <si>
    <t>Basic Rate Difference for Cement &amp; Reinforcement Steel</t>
  </si>
  <si>
    <t>Mesurement sheet: Revised 8th &amp; Final Bill</t>
  </si>
  <si>
    <t>Qty wide from item No. 10.4.4</t>
  </si>
  <si>
    <t>Fixing of foundation of bolt (Supplied by Interarch) in pedestals including alignment, plumb and necessary cutting, welding etc.</t>
  </si>
  <si>
    <t>Providing and fixing of Chicken wire mesh of approved quality with the help of wirenails, screw etc.</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</si>
  <si>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 with lead up to 50 metres.</t>
  </si>
  <si>
    <t>Providing and laying 60mm thick factory made cement concrete interlocking paver block of M -30 grade made by block making machine with strong vibratory compaction, of approved size, design &amp; shape, laid in required colour and pattern over and including 50mm thick compacted bed of coarse sand, filling the joints with fine sand etc. all complete as per the direction of Engineer-in-charge.</t>
  </si>
  <si>
    <t>Providing &amp; Fixing wooden moulding 44mmx19mm on door frame &amp; wall joint</t>
  </si>
  <si>
    <t>P/F wooden panelling with 12mm ply &amp; 6mm ply in pannel to make pattern with groove &amp; 1mm thick approved lamination, internal frame made with wooden batten, all complete as per drawing &amp; design.</t>
  </si>
  <si>
    <t>Providing and fixing of laminated wooden louvers pillar of 150x150mm size as per instruction of Engineer-in-charge.</t>
  </si>
  <si>
    <t>Extra for making nosing &amp; polishing the same to treads of steps</t>
  </si>
  <si>
    <t>Providing and fixing Stainless steel railing 304 grade with required fxing arrangment.</t>
  </si>
  <si>
    <t>Boring/drilling bore well of 250mm dia for casing/ strainer pipe, by suitable method prescribed in IS: 2800 (part I), including collecting samples from different strata, preparing and submitting strata chart/ bore log, including hire &amp; running charges of all equipments, tools, plants &amp; machineries required for the job, all complete as per direction of Engineer –in-charge, up to 90 metre depth below ground level.</t>
  </si>
  <si>
    <t>Supplying, assembling, lowering verticaly in positionunplasticized PVC medium well casing / screen pipe of 160mm OD pipe, conforming to IS: 12818, including required hire and labour charges, fittings &amp; accessories etc. all complete, for all depths, as per direction of Engineer -in-charge.</t>
  </si>
  <si>
    <t>Gravel packing in tubewell construction in accordance with IS: 4097, including providing gravel fine/ medium/ coarse, in required grading &amp; sizes as per actual requirement, all complete.</t>
  </si>
  <si>
    <t>Supplying, stacking and laying of material for road work of size 63 mm to 45 mm size stone aggregate to WBM specifications in uniform thickness.</t>
  </si>
  <si>
    <t>Reinforcement Steel</t>
  </si>
  <si>
    <t>Dismantling of Gypsum False Ceiling, Removal of debris etc. all complete.</t>
  </si>
  <si>
    <t>P/F Red agra stone on top of GRC, with the help of cement sand mortar on edges.</t>
  </si>
  <si>
    <t>Providing and fixing suspended Gypsum board false ceiling, which includes providing and fixing GI perimeter channels of size 0.55mm thick having one flange of 20mm and another flange of 30mm and a web of 27mm along with perimeter of ceiling, screw fixed to brick wall /partition with the help of nylon sleeves and screws, at 610mm centers. The suspending GI intermediate channels of size 45mm 0.9mm thick with two flanges of 15mm each from the soffit at 1220mm centers with ceiling angle of width 25mm x10mm x 0.55mm thick fixed to soffit with GI cleat and steel expansion fasteners. Ceiling section of 0.55mm thickness having knurled web of  51.5mm and two flanges of 26mm each with lips of 10.5mm are then fixed to the intermediate channel with the help of connecting clips and in direction perpendicular to the intermediate channel at 457mm centers.</t>
  </si>
  <si>
    <t>Providing &amp; Laying Marble stone flooring with 18 mm thick marble stone, as per sample of marble approved by Engineer-in-charge, over 20 mm (average) thick base of cement mortar 1:4 (1 cement : 4 coarse sand) laid and jointed with grey cement slurry, including rubbing and polishing complete with Udaipur green Marble.</t>
  </si>
  <si>
    <t>E/O on itm 13.1.1 for difference providing &amp; fixing 32mm dia x 300mm long Stainless steel handle in place of aluminium handle as indicated in item</t>
  </si>
  <si>
    <t>Each</t>
  </si>
  <si>
    <t>Ns-21</t>
  </si>
  <si>
    <t>E/O on itm 13.1.1 for difference providing &amp; fixing 32mm dia x 600mm long Stainless steel handle in place of aluminium handle as indicated in item</t>
  </si>
  <si>
    <t>Total Up to Date</t>
  </si>
  <si>
    <t>323 Cum Quantity of RCC Shifted in the Item No. 4.1 under Head with RMC</t>
  </si>
  <si>
    <t>323.00 Cum Quantity Shifted from item No. 4.3.1 &amp; 664.00 cum Quantity Shifted from item No. 4.3.6</t>
  </si>
  <si>
    <t>Total (664.00 Cum) Quantity of RCC Shifted in the Item No. 4.1 under Head with RMC</t>
  </si>
  <si>
    <t>Date:-02.06.2017</t>
  </si>
  <si>
    <t>RMC - M-25</t>
  </si>
  <si>
    <t>Supplementary Bill to Final Bill</t>
  </si>
  <si>
    <t>ABSTRACT OF COST - Supplementary Bill to Final Bill for Cement &amp; Steel Rate Variation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</si>
</sst>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00"/>
    <numFmt numFmtId="165" formatCode="0.0"/>
    <numFmt numFmtId="166" formatCode="_(* #,##0_);_(* \(#,##0\);_(* &quot;-&quot;??_);_(@_)"/>
    <numFmt numFmtId="167" formatCode="_(* #,##0.000_);_(* \(#,##0.000\);_(* &quot;-&quot;??_);_(@_)"/>
    <numFmt numFmtId="168" formatCode="0.00000000000000"/>
    <numFmt numFmtId="169" formatCode="0.0000"/>
    <numFmt numFmtId="170" formatCode="0.00_)"/>
    <numFmt numFmtId="171" formatCode="0.00000"/>
    <numFmt numFmtId="172" formatCode="_ * #,##0_ ;_ * \-#,##0_ ;_ * &quot;-&quot;??_ ;_ @_ "/>
  </numFmts>
  <fonts count="75">
    <font>
      <sz val="11"/>
      <color theme="1"/>
      <name val="Calibri"/>
      <family val="2"/>
      <scheme val="minor"/>
    </font>
    <font>
      <sz val="11"/>
      <color indexed="8"/>
      <name val="Calibri"/>
      <family val="2"/>
    </font>
    <font>
      <sz val="11"/>
      <color indexed="8"/>
      <name val="Calibri"/>
      <family val="2"/>
    </font>
    <font>
      <sz val="10"/>
      <name val="Arial"/>
      <family val="2"/>
    </font>
    <font>
      <sz val="11"/>
      <name val="Arial"/>
      <family val="2"/>
    </font>
    <font>
      <b/>
      <sz val="11"/>
      <name val="Arial"/>
      <family val="2"/>
    </font>
    <font>
      <b/>
      <sz val="12"/>
      <name val="Arial"/>
      <family val="2"/>
    </font>
    <font>
      <b/>
      <sz val="14"/>
      <name val="Arial"/>
      <family val="2"/>
    </font>
    <font>
      <b/>
      <sz val="9"/>
      <color indexed="81"/>
      <name val="Tahoma"/>
      <family val="2"/>
    </font>
    <font>
      <sz val="9"/>
      <color indexed="81"/>
      <name val="Tahoma"/>
      <family val="2"/>
    </font>
    <font>
      <b/>
      <sz val="11"/>
      <color indexed="10"/>
      <name val="Arial"/>
      <family val="2"/>
    </font>
    <font>
      <b/>
      <sz val="11"/>
      <color indexed="8"/>
      <name val="Arial"/>
      <family val="2"/>
    </font>
    <font>
      <sz val="10"/>
      <name val="Helv"/>
      <charset val="204"/>
    </font>
    <font>
      <sz val="10"/>
      <name val="Arial"/>
      <family val="2"/>
    </font>
    <font>
      <sz val="11"/>
      <color theme="1"/>
      <name val="Calibri"/>
      <family val="2"/>
      <scheme val="minor"/>
    </font>
    <font>
      <b/>
      <sz val="11"/>
      <color theme="1"/>
      <name val="Calibri"/>
      <family val="2"/>
      <scheme val="minor"/>
    </font>
    <font>
      <b/>
      <sz val="12"/>
      <name val="Cambria"/>
      <family val="1"/>
      <scheme val="major"/>
    </font>
    <font>
      <b/>
      <sz val="11"/>
      <name val="Cambria"/>
      <family val="1"/>
      <scheme val="major"/>
    </font>
    <font>
      <sz val="11"/>
      <name val="Cambria"/>
      <family val="1"/>
      <scheme val="major"/>
    </font>
    <font>
      <b/>
      <sz val="11"/>
      <color theme="1"/>
      <name val="Cambria"/>
      <family val="1"/>
      <scheme val="major"/>
    </font>
    <font>
      <sz val="11"/>
      <color theme="1"/>
      <name val="Cambria"/>
      <family val="1"/>
      <scheme val="major"/>
    </font>
    <font>
      <sz val="12"/>
      <name val="Cambria"/>
      <family val="1"/>
      <scheme val="major"/>
    </font>
    <font>
      <b/>
      <sz val="14"/>
      <name val="Cambria"/>
      <family val="1"/>
      <scheme val="major"/>
    </font>
    <font>
      <b/>
      <sz val="11"/>
      <color rgb="FFFF0000"/>
      <name val="Cambria"/>
      <family val="1"/>
      <scheme val="major"/>
    </font>
    <font>
      <b/>
      <sz val="14"/>
      <color theme="1"/>
      <name val="Cambria"/>
      <family val="1"/>
      <scheme val="major"/>
    </font>
    <font>
      <b/>
      <sz val="16"/>
      <name val="Cambria"/>
      <family val="1"/>
      <scheme val="major"/>
    </font>
    <font>
      <sz val="11"/>
      <name val="Calibri"/>
      <family val="2"/>
      <scheme val="minor"/>
    </font>
    <font>
      <b/>
      <sz val="11"/>
      <name val="Calibri"/>
      <family val="2"/>
      <scheme val="minor"/>
    </font>
    <font>
      <sz val="10"/>
      <name val="Cambria"/>
      <family val="1"/>
      <scheme val="major"/>
    </font>
    <font>
      <b/>
      <u/>
      <sz val="10"/>
      <name val="Cambria"/>
      <family val="1"/>
      <scheme val="major"/>
    </font>
    <font>
      <b/>
      <sz val="12"/>
      <color theme="1"/>
      <name val="Cambria"/>
      <family val="1"/>
      <scheme val="major"/>
    </font>
    <font>
      <b/>
      <sz val="10"/>
      <name val="Cambria"/>
      <family val="1"/>
      <scheme val="major"/>
    </font>
    <font>
      <sz val="12"/>
      <color theme="1"/>
      <name val="Calibri"/>
      <family val="2"/>
      <scheme val="minor"/>
    </font>
    <font>
      <sz val="12"/>
      <color theme="1"/>
      <name val="Cambria"/>
      <family val="1"/>
      <scheme val="major"/>
    </font>
    <font>
      <b/>
      <sz val="18"/>
      <color theme="1"/>
      <name val="Cambria"/>
      <family val="1"/>
      <scheme val="major"/>
    </font>
    <font>
      <b/>
      <sz val="16"/>
      <color theme="1"/>
      <name val="Cambria"/>
      <family val="1"/>
      <scheme val="major"/>
    </font>
    <font>
      <b/>
      <i/>
      <sz val="14"/>
      <name val="Cambria"/>
      <family val="1"/>
      <scheme val="major"/>
    </font>
    <font>
      <i/>
      <sz val="11"/>
      <name val="Cambria"/>
      <family val="1"/>
      <scheme val="major"/>
    </font>
    <font>
      <b/>
      <i/>
      <sz val="11"/>
      <name val="Cambria"/>
      <family val="1"/>
      <scheme val="major"/>
    </font>
    <font>
      <sz val="12"/>
      <color rgb="FFFF0000"/>
      <name val="Cambria"/>
      <family val="1"/>
      <scheme val="major"/>
    </font>
    <font>
      <b/>
      <sz val="12"/>
      <color rgb="FFFF0000"/>
      <name val="Cambria"/>
      <family val="1"/>
      <scheme val="major"/>
    </font>
    <font>
      <b/>
      <sz val="12"/>
      <color theme="6" tint="0.39997558519241921"/>
      <name val="Cambria"/>
      <family val="1"/>
      <scheme val="major"/>
    </font>
    <font>
      <sz val="11"/>
      <color rgb="FFFF0000"/>
      <name val="Cambria"/>
      <family val="1"/>
      <scheme val="major"/>
    </font>
    <font>
      <i/>
      <sz val="11"/>
      <color rgb="FFFF0000"/>
      <name val="Cambria"/>
      <family val="1"/>
      <scheme val="major"/>
    </font>
    <font>
      <b/>
      <i/>
      <sz val="12"/>
      <name val="Cambria"/>
      <family val="1"/>
      <scheme val="major"/>
    </font>
    <font>
      <i/>
      <sz val="12"/>
      <name val="Cambria"/>
      <family val="1"/>
      <scheme val="major"/>
    </font>
    <font>
      <sz val="14"/>
      <name val="Cambria"/>
      <family val="1"/>
      <scheme val="major"/>
    </font>
    <font>
      <sz val="11"/>
      <color rgb="FF0070C0"/>
      <name val="Cambria"/>
      <family val="1"/>
      <scheme val="major"/>
    </font>
    <font>
      <b/>
      <sz val="11"/>
      <color rgb="FF0070C0"/>
      <name val="Cambria"/>
      <family val="1"/>
      <scheme val="major"/>
    </font>
    <font>
      <b/>
      <i/>
      <sz val="11"/>
      <color rgb="FF0070C0"/>
      <name val="Cambria"/>
      <family val="1"/>
      <scheme val="major"/>
    </font>
    <font>
      <i/>
      <sz val="11"/>
      <color rgb="FF0070C0"/>
      <name val="Cambria"/>
      <family val="1"/>
      <scheme val="major"/>
    </font>
    <font>
      <sz val="11"/>
      <color theme="9" tint="-0.249977111117893"/>
      <name val="Cambria"/>
      <family val="1"/>
      <scheme val="major"/>
    </font>
    <font>
      <b/>
      <sz val="11"/>
      <color theme="9" tint="-0.249977111117893"/>
      <name val="Cambria"/>
      <family val="1"/>
      <scheme val="major"/>
    </font>
    <font>
      <i/>
      <sz val="11"/>
      <color theme="1"/>
      <name val="Cambria"/>
      <family val="1"/>
      <scheme val="major"/>
    </font>
    <font>
      <b/>
      <i/>
      <u/>
      <sz val="14"/>
      <name val="Cambria"/>
      <family val="1"/>
      <scheme val="major"/>
    </font>
    <font>
      <i/>
      <sz val="9"/>
      <name val="Cambria"/>
      <family val="1"/>
      <scheme val="major"/>
    </font>
    <font>
      <sz val="11"/>
      <color rgb="FF00B050"/>
      <name val="Cambria"/>
      <family val="1"/>
      <scheme val="major"/>
    </font>
    <font>
      <b/>
      <sz val="11"/>
      <color rgb="FF00B050"/>
      <name val="Cambria"/>
      <family val="1"/>
      <scheme val="major"/>
    </font>
    <font>
      <sz val="9"/>
      <color rgb="FF00B050"/>
      <name val="Cambria"/>
      <family val="1"/>
      <scheme val="major"/>
    </font>
    <font>
      <i/>
      <sz val="11"/>
      <color rgb="FF00B050"/>
      <name val="Cambria"/>
      <family val="1"/>
      <scheme val="major"/>
    </font>
    <font>
      <b/>
      <i/>
      <sz val="11"/>
      <color theme="1"/>
      <name val="Cambria"/>
      <family val="1"/>
      <scheme val="major"/>
    </font>
    <font>
      <b/>
      <sz val="9"/>
      <name val="Arial Unicode MS"/>
      <family val="2"/>
    </font>
    <font>
      <b/>
      <sz val="8"/>
      <color indexed="81"/>
      <name val="Tahoma"/>
      <family val="2"/>
    </font>
    <font>
      <sz val="8"/>
      <color indexed="81"/>
      <name val="Tahoma"/>
      <family val="2"/>
    </font>
    <font>
      <sz val="10"/>
      <color theme="1"/>
      <name val="Arial Unicode MS"/>
      <family val="2"/>
    </font>
    <font>
      <b/>
      <sz val="10"/>
      <color theme="1"/>
      <name val="Arial Unicode MS"/>
      <family val="2"/>
    </font>
    <font>
      <b/>
      <sz val="10"/>
      <name val="Arial Unicode MS"/>
      <family val="2"/>
    </font>
    <font>
      <sz val="10"/>
      <name val="Arial Unicode MS"/>
      <family val="2"/>
    </font>
    <font>
      <b/>
      <i/>
      <sz val="10"/>
      <name val="Cambria"/>
      <family val="1"/>
      <scheme val="major"/>
    </font>
    <font>
      <b/>
      <sz val="10"/>
      <color rgb="FFFF0000"/>
      <name val="Arial Unicode MS"/>
      <family val="2"/>
    </font>
    <font>
      <b/>
      <sz val="13"/>
      <color theme="1"/>
      <name val="Calibri"/>
      <family val="2"/>
      <scheme val="minor"/>
    </font>
    <font>
      <b/>
      <sz val="10"/>
      <name val="Arial"/>
      <family val="2"/>
    </font>
    <font>
      <b/>
      <u/>
      <sz val="12"/>
      <name val="Cambria"/>
      <family val="1"/>
      <scheme val="major"/>
    </font>
    <font>
      <sz val="11"/>
      <color theme="1"/>
      <name val="Arial Unicode MS"/>
      <family val="2"/>
    </font>
    <font>
      <b/>
      <sz val="11"/>
      <color theme="1"/>
      <name val="Arial Unicode MS"/>
      <family val="2"/>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s>
  <borders count="4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60">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14" fillId="0" borderId="0"/>
    <xf numFmtId="0" fontId="3" fillId="0" borderId="0"/>
    <xf numFmtId="0" fontId="14"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9" fontId="1" fillId="0" borderId="0" applyFont="0" applyFill="0" applyBorder="0" applyAlignment="0" applyProtection="0"/>
    <xf numFmtId="0" fontId="12" fillId="0" borderId="0"/>
    <xf numFmtId="0" fontId="32" fillId="0" borderId="0"/>
    <xf numFmtId="0" fontId="32" fillId="0" borderId="0"/>
    <xf numFmtId="0" fontId="3" fillId="0" borderId="0"/>
    <xf numFmtId="9" fontId="14" fillId="0" borderId="0" applyFont="0" applyFill="0" applyBorder="0" applyAlignment="0" applyProtection="0"/>
  </cellStyleXfs>
  <cellXfs count="1447">
    <xf numFmtId="0" fontId="0" fillId="0" borderId="0" xfId="0"/>
    <xf numFmtId="0" fontId="5" fillId="0" borderId="1" xfId="0" applyFont="1" applyBorder="1" applyAlignment="1">
      <alignment horizontal="center" vertical="center"/>
    </xf>
    <xf numFmtId="0" fontId="4" fillId="0" borderId="0" xfId="0" applyFont="1"/>
    <xf numFmtId="0" fontId="5" fillId="0" borderId="2" xfId="0" applyFont="1" applyBorder="1" applyAlignment="1">
      <alignment horizontal="left" wrapText="1"/>
    </xf>
    <xf numFmtId="0" fontId="4" fillId="0" borderId="0" xfId="0" applyFont="1" applyBorder="1"/>
    <xf numFmtId="0" fontId="6" fillId="0" borderId="0" xfId="0" applyFont="1" applyBorder="1" applyAlignment="1"/>
    <xf numFmtId="0" fontId="4" fillId="0" borderId="2" xfId="0" applyFont="1" applyBorder="1" applyAlignment="1">
      <alignment horizontal="left" wrapText="1"/>
    </xf>
    <xf numFmtId="164" fontId="4" fillId="0" borderId="2" xfId="0" applyNumberFormat="1" applyFont="1" applyBorder="1" applyAlignment="1">
      <alignment horizontal="center" vertical="center"/>
    </xf>
    <xf numFmtId="0" fontId="5" fillId="0" borderId="2" xfId="0" applyFont="1" applyBorder="1" applyAlignment="1">
      <alignment wrapText="1"/>
    </xf>
    <xf numFmtId="2" fontId="4" fillId="0" borderId="2" xfId="0" applyNumberFormat="1" applyFont="1" applyBorder="1" applyAlignment="1">
      <alignment horizontal="center" vertical="center"/>
    </xf>
    <xf numFmtId="0" fontId="5" fillId="2" borderId="2" xfId="21" applyFont="1" applyFill="1" applyBorder="1" applyAlignment="1">
      <alignment horizontal="justify" vertical="top" wrapText="1"/>
    </xf>
    <xf numFmtId="2" fontId="4" fillId="0" borderId="2" xfId="0" applyNumberFormat="1" applyFont="1" applyBorder="1" applyAlignment="1">
      <alignment horizontal="left"/>
    </xf>
    <xf numFmtId="2" fontId="5" fillId="0" borderId="2" xfId="0" applyNumberFormat="1" applyFont="1" applyBorder="1" applyAlignment="1">
      <alignment horizontal="center" vertical="center"/>
    </xf>
    <xf numFmtId="2" fontId="4" fillId="0" borderId="3" xfId="0" applyNumberFormat="1" applyFont="1" applyBorder="1" applyAlignment="1">
      <alignment horizontal="center" vertical="center"/>
    </xf>
    <xf numFmtId="0" fontId="5" fillId="0" borderId="0" xfId="0" applyFont="1" applyBorder="1" applyAlignment="1">
      <alignment horizontal="left"/>
    </xf>
    <xf numFmtId="49" fontId="5"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xf>
    <xf numFmtId="49" fontId="4" fillId="0" borderId="3" xfId="0" applyNumberFormat="1" applyFont="1" applyBorder="1" applyAlignment="1">
      <alignment horizontal="left" vertical="center"/>
    </xf>
    <xf numFmtId="0" fontId="5" fillId="0" borderId="3" xfId="0" applyFont="1" applyBorder="1" applyAlignment="1">
      <alignment horizontal="center" vertical="center"/>
    </xf>
    <xf numFmtId="164" fontId="4" fillId="0" borderId="3" xfId="0" applyNumberFormat="1" applyFont="1" applyBorder="1" applyAlignment="1">
      <alignment horizontal="center" vertical="center"/>
    </xf>
    <xf numFmtId="2" fontId="4" fillId="0" borderId="6" xfId="0" applyNumberFormat="1" applyFont="1" applyBorder="1" applyAlignment="1">
      <alignment horizontal="right"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4" fillId="0" borderId="2" xfId="0" applyNumberFormat="1" applyFont="1" applyBorder="1" applyAlignment="1">
      <alignment horizontal="left" vertical="center"/>
    </xf>
    <xf numFmtId="0" fontId="5" fillId="0" borderId="2" xfId="0" applyFont="1" applyBorder="1" applyAlignment="1">
      <alignment horizontal="center" vertical="center"/>
    </xf>
    <xf numFmtId="2" fontId="4" fillId="0" borderId="7" xfId="0" applyNumberFormat="1" applyFont="1" applyBorder="1" applyAlignment="1">
      <alignment horizontal="right" vertical="center"/>
    </xf>
    <xf numFmtId="49" fontId="5" fillId="0" borderId="2" xfId="0" applyNumberFormat="1" applyFont="1" applyBorder="1" applyAlignment="1">
      <alignment horizontal="left" vertical="center"/>
    </xf>
    <xf numFmtId="164" fontId="5" fillId="0" borderId="2" xfId="0" applyNumberFormat="1" applyFont="1" applyBorder="1" applyAlignment="1">
      <alignment horizontal="center" vertical="center"/>
    </xf>
    <xf numFmtId="2" fontId="5" fillId="0" borderId="7" xfId="0" applyNumberFormat="1" applyFont="1" applyBorder="1" applyAlignment="1">
      <alignment horizontal="right" vertical="center"/>
    </xf>
    <xf numFmtId="0" fontId="4" fillId="2" borderId="2" xfId="21" applyFont="1" applyFill="1" applyBorder="1" applyAlignment="1">
      <alignment horizontal="justify" vertical="top" wrapText="1"/>
    </xf>
    <xf numFmtId="0" fontId="5" fillId="2" borderId="2" xfId="21" applyFont="1" applyFill="1" applyBorder="1" applyAlignment="1">
      <alignment horizontal="left" vertical="top" wrapText="1"/>
    </xf>
    <xf numFmtId="0" fontId="5" fillId="2" borderId="2" xfId="21" applyFont="1" applyFill="1" applyBorder="1" applyAlignment="1">
      <alignment vertical="top" wrapText="1"/>
    </xf>
    <xf numFmtId="2" fontId="5" fillId="2" borderId="2" xfId="0" applyNumberFormat="1" applyFont="1" applyFill="1" applyBorder="1" applyAlignment="1">
      <alignment horizontal="left"/>
    </xf>
    <xf numFmtId="0" fontId="5" fillId="0" borderId="2" xfId="0" applyFont="1" applyBorder="1" applyAlignment="1">
      <alignment vertical="top" wrapText="1"/>
    </xf>
    <xf numFmtId="0" fontId="4" fillId="0" borderId="2" xfId="0" applyFont="1" applyBorder="1" applyAlignment="1">
      <alignment horizontal="left" vertical="top" wrapText="1"/>
    </xf>
    <xf numFmtId="0" fontId="5" fillId="0" borderId="2"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2" xfId="0" applyFont="1" applyBorder="1" applyAlignment="1">
      <alignment wrapText="1"/>
    </xf>
    <xf numFmtId="2" fontId="5" fillId="0" borderId="8" xfId="0" applyNumberFormat="1" applyFont="1" applyBorder="1" applyAlignment="1">
      <alignment horizontal="right" vertical="center"/>
    </xf>
    <xf numFmtId="2" fontId="4" fillId="0" borderId="0" xfId="0" applyNumberFormat="1" applyFont="1"/>
    <xf numFmtId="0" fontId="5" fillId="2" borderId="2" xfId="0" applyFont="1" applyFill="1" applyBorder="1" applyAlignment="1">
      <alignment wrapText="1"/>
    </xf>
    <xf numFmtId="0" fontId="5" fillId="2" borderId="2" xfId="0" applyFont="1" applyFill="1" applyBorder="1"/>
    <xf numFmtId="0" fontId="4" fillId="2" borderId="0" xfId="0" applyFont="1" applyFill="1"/>
    <xf numFmtId="2" fontId="5" fillId="2" borderId="2" xfId="0" applyNumberFormat="1" applyFont="1" applyFill="1" applyBorder="1" applyAlignment="1">
      <alignment horizontal="center" vertical="center"/>
    </xf>
    <xf numFmtId="0" fontId="5" fillId="2" borderId="2" xfId="21" applyFont="1" applyFill="1" applyBorder="1" applyAlignment="1">
      <alignment horizontal="justify" vertical="top"/>
    </xf>
    <xf numFmtId="0" fontId="4" fillId="2" borderId="2" xfId="0" applyFont="1" applyFill="1" applyBorder="1" applyAlignment="1">
      <alignment wrapText="1"/>
    </xf>
    <xf numFmtId="2" fontId="10" fillId="0" borderId="9" xfId="0" applyNumberFormat="1" applyFont="1" applyBorder="1" applyAlignment="1">
      <alignment horizontal="right" vertical="center"/>
    </xf>
    <xf numFmtId="43" fontId="5" fillId="2" borderId="1" xfId="1" applyFont="1" applyFill="1" applyBorder="1" applyAlignment="1">
      <alignment horizontal="center" vertical="center"/>
    </xf>
    <xf numFmtId="166" fontId="5" fillId="2" borderId="2" xfId="1" applyNumberFormat="1" applyFont="1" applyFill="1" applyBorder="1" applyAlignment="1">
      <alignment horizontal="center" vertical="center"/>
    </xf>
    <xf numFmtId="43" fontId="4" fillId="2" borderId="2" xfId="1" applyFont="1" applyFill="1" applyBorder="1" applyAlignment="1">
      <alignment horizontal="center" wrapText="1"/>
    </xf>
    <xf numFmtId="43" fontId="5" fillId="2" borderId="2" xfId="1" applyFont="1" applyFill="1" applyBorder="1" applyAlignment="1">
      <alignment horizontal="center" vertical="center"/>
    </xf>
    <xf numFmtId="43" fontId="4" fillId="2" borderId="2" xfId="1" applyFont="1" applyFill="1" applyBorder="1" applyAlignment="1">
      <alignment horizontal="center" vertical="center"/>
    </xf>
    <xf numFmtId="43" fontId="4" fillId="2" borderId="7" xfId="1" applyFont="1" applyFill="1" applyBorder="1" applyAlignment="1">
      <alignment horizontal="right" vertical="center"/>
    </xf>
    <xf numFmtId="167" fontId="4" fillId="2" borderId="2" xfId="1" applyNumberFormat="1" applyFont="1" applyFill="1" applyBorder="1" applyAlignment="1">
      <alignment horizontal="center" vertical="center"/>
    </xf>
    <xf numFmtId="43" fontId="5" fillId="2" borderId="2" xfId="1" applyFont="1" applyFill="1" applyBorder="1" applyAlignment="1">
      <alignment horizontal="left" vertical="center"/>
    </xf>
    <xf numFmtId="43" fontId="5" fillId="2" borderId="7" xfId="1" applyFont="1" applyFill="1" applyBorder="1" applyAlignment="1">
      <alignment horizontal="right" vertical="center"/>
    </xf>
    <xf numFmtId="43" fontId="4" fillId="2" borderId="2" xfId="1" applyFont="1" applyFill="1" applyBorder="1" applyAlignment="1">
      <alignment horizontal="justify" vertical="top" wrapText="1"/>
    </xf>
    <xf numFmtId="2" fontId="5" fillId="3" borderId="2" xfId="0" applyNumberFormat="1" applyFont="1" applyFill="1" applyBorder="1" applyAlignment="1">
      <alignment horizontal="center" vertical="center"/>
    </xf>
    <xf numFmtId="2" fontId="11" fillId="0" borderId="7" xfId="0" applyNumberFormat="1" applyFont="1" applyBorder="1"/>
    <xf numFmtId="0" fontId="16" fillId="4" borderId="0" xfId="0" applyFont="1" applyFill="1" applyBorder="1" applyAlignment="1"/>
    <xf numFmtId="0" fontId="18" fillId="4" borderId="2" xfId="0" applyFont="1" applyFill="1" applyBorder="1" applyAlignment="1">
      <alignment horizontal="left" wrapText="1"/>
    </xf>
    <xf numFmtId="0" fontId="17" fillId="4" borderId="2" xfId="0" applyFont="1" applyFill="1" applyBorder="1" applyAlignment="1">
      <alignment horizontal="left" wrapText="1"/>
    </xf>
    <xf numFmtId="0" fontId="18" fillId="4" borderId="0" xfId="0" applyFont="1" applyFill="1" applyBorder="1" applyAlignment="1"/>
    <xf numFmtId="164" fontId="18" fillId="4" borderId="13" xfId="0" applyNumberFormat="1" applyFont="1" applyFill="1" applyBorder="1" applyAlignment="1">
      <alignment horizontal="right"/>
    </xf>
    <xf numFmtId="2" fontId="18" fillId="4" borderId="2" xfId="0" applyNumberFormat="1" applyFont="1" applyFill="1" applyBorder="1" applyAlignment="1">
      <alignment horizontal="right"/>
    </xf>
    <xf numFmtId="164" fontId="18" fillId="4" borderId="2" xfId="0" applyNumberFormat="1" applyFont="1" applyFill="1" applyBorder="1" applyAlignment="1">
      <alignment horizontal="right"/>
    </xf>
    <xf numFmtId="165" fontId="18" fillId="4" borderId="13" xfId="0" applyNumberFormat="1" applyFont="1" applyFill="1" applyBorder="1" applyAlignment="1">
      <alignment horizontal="right"/>
    </xf>
    <xf numFmtId="165" fontId="18" fillId="4" borderId="2" xfId="0" applyNumberFormat="1" applyFont="1" applyFill="1" applyBorder="1" applyAlignment="1">
      <alignment horizontal="right"/>
    </xf>
    <xf numFmtId="0" fontId="18" fillId="0" borderId="0" xfId="13" applyFont="1"/>
    <xf numFmtId="0" fontId="19" fillId="4" borderId="10" xfId="13" applyFont="1" applyFill="1" applyBorder="1" applyAlignment="1">
      <alignment horizontal="center" vertical="center"/>
    </xf>
    <xf numFmtId="0" fontId="19" fillId="5" borderId="10" xfId="13" applyFont="1" applyFill="1" applyBorder="1" applyAlignment="1">
      <alignment horizontal="center" vertical="center"/>
    </xf>
    <xf numFmtId="0" fontId="18" fillId="0" borderId="0" xfId="13" applyFont="1" applyAlignment="1">
      <alignment horizontal="center"/>
    </xf>
    <xf numFmtId="0" fontId="17" fillId="4" borderId="1" xfId="0" applyFont="1" applyFill="1" applyBorder="1" applyAlignment="1">
      <alignment horizontal="center" vertical="center"/>
    </xf>
    <xf numFmtId="165" fontId="18" fillId="4" borderId="2" xfId="0" applyNumberFormat="1" applyFont="1" applyFill="1" applyBorder="1" applyAlignment="1">
      <alignment horizontal="right" vertical="center"/>
    </xf>
    <xf numFmtId="164" fontId="18" fillId="4" borderId="2" xfId="0" applyNumberFormat="1" applyFont="1" applyFill="1" applyBorder="1" applyAlignment="1">
      <alignment horizontal="right" vertical="center"/>
    </xf>
    <xf numFmtId="0" fontId="18" fillId="4" borderId="0" xfId="0" applyFont="1" applyFill="1" applyBorder="1" applyAlignment="1">
      <alignment vertical="center"/>
    </xf>
    <xf numFmtId="0" fontId="18" fillId="0" borderId="0" xfId="0" applyFont="1" applyFill="1" applyBorder="1" applyAlignment="1"/>
    <xf numFmtId="0" fontId="17" fillId="5" borderId="2" xfId="0" applyFont="1" applyFill="1" applyBorder="1" applyAlignment="1">
      <alignment horizontal="left" wrapText="1"/>
    </xf>
    <xf numFmtId="0" fontId="18" fillId="0" borderId="2" xfId="0" applyFont="1" applyFill="1" applyBorder="1" applyAlignment="1">
      <alignment horizontal="left" wrapText="1"/>
    </xf>
    <xf numFmtId="0" fontId="18" fillId="0" borderId="0" xfId="11" applyFont="1" applyAlignment="1">
      <alignment horizontal="center" vertical="center"/>
    </xf>
    <xf numFmtId="164" fontId="18" fillId="0" borderId="0" xfId="11" applyNumberFormat="1" applyFont="1" applyAlignment="1">
      <alignment vertical="center"/>
    </xf>
    <xf numFmtId="0" fontId="18" fillId="0" borderId="0" xfId="11" applyFont="1" applyAlignment="1">
      <alignment vertical="center"/>
    </xf>
    <xf numFmtId="0" fontId="17" fillId="4" borderId="2" xfId="11" applyFont="1" applyFill="1" applyBorder="1" applyAlignment="1">
      <alignment horizontal="center" vertical="center" wrapText="1"/>
    </xf>
    <xf numFmtId="0" fontId="18" fillId="4" borderId="2" xfId="11" applyFont="1" applyFill="1" applyBorder="1" applyAlignment="1">
      <alignment horizontal="center" vertical="center" wrapText="1"/>
    </xf>
    <xf numFmtId="0" fontId="18" fillId="4" borderId="2" xfId="11" applyFont="1" applyFill="1" applyBorder="1" applyAlignment="1">
      <alignment vertical="center"/>
    </xf>
    <xf numFmtId="0" fontId="18" fillId="4" borderId="2" xfId="11" applyFont="1" applyFill="1" applyBorder="1" applyAlignment="1">
      <alignment horizontal="center" vertical="center"/>
    </xf>
    <xf numFmtId="164" fontId="18" fillId="0" borderId="2" xfId="11" applyNumberFormat="1" applyFont="1" applyBorder="1" applyAlignment="1">
      <alignment vertical="center"/>
    </xf>
    <xf numFmtId="0" fontId="18" fillId="4" borderId="2" xfId="11" applyFont="1" applyFill="1" applyBorder="1" applyAlignment="1">
      <alignment horizontal="left" vertical="center" wrapText="1"/>
    </xf>
    <xf numFmtId="0" fontId="18" fillId="0" borderId="0" xfId="11" applyFont="1" applyAlignment="1">
      <alignment horizontal="center" vertical="center" wrapText="1"/>
    </xf>
    <xf numFmtId="0" fontId="17" fillId="0" borderId="0" xfId="11" applyFont="1" applyAlignment="1">
      <alignment horizontal="center" vertical="center" wrapText="1"/>
    </xf>
    <xf numFmtId="164" fontId="17" fillId="0" borderId="0" xfId="11" applyNumberFormat="1" applyFont="1" applyAlignment="1">
      <alignment horizontal="center" vertical="center" wrapText="1"/>
    </xf>
    <xf numFmtId="168" fontId="18" fillId="0" borderId="0" xfId="11" applyNumberFormat="1" applyFont="1" applyAlignment="1">
      <alignment horizontal="center" vertical="center" wrapText="1"/>
    </xf>
    <xf numFmtId="0" fontId="24" fillId="0" borderId="0" xfId="0" applyFont="1"/>
    <xf numFmtId="0" fontId="20" fillId="0" borderId="0" xfId="0" applyFont="1"/>
    <xf numFmtId="0" fontId="19" fillId="0" borderId="2" xfId="0" applyFont="1" applyBorder="1" applyAlignment="1">
      <alignment horizontal="center" vertical="center"/>
    </xf>
    <xf numFmtId="0" fontId="19" fillId="0" borderId="2"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5" xfId="0" applyFont="1" applyBorder="1" applyAlignment="1">
      <alignment horizontal="center" vertical="center"/>
    </xf>
    <xf numFmtId="0" fontId="19" fillId="0" borderId="2" xfId="0" applyFont="1" applyBorder="1" applyAlignment="1">
      <alignment vertical="center"/>
    </xf>
    <xf numFmtId="0" fontId="20" fillId="0" borderId="2" xfId="0" applyFont="1" applyBorder="1" applyAlignment="1">
      <alignment horizontal="center" vertical="center"/>
    </xf>
    <xf numFmtId="0" fontId="20" fillId="0" borderId="2" xfId="0" applyNumberFormat="1" applyFont="1" applyBorder="1" applyAlignment="1">
      <alignment horizontal="center" vertical="center"/>
    </xf>
    <xf numFmtId="164" fontId="20" fillId="0" borderId="2" xfId="0" applyNumberFormat="1" applyFont="1" applyBorder="1" applyAlignment="1">
      <alignment horizontal="center" vertical="center"/>
    </xf>
    <xf numFmtId="0" fontId="20" fillId="0" borderId="2" xfId="0" applyFont="1" applyBorder="1"/>
    <xf numFmtId="0" fontId="20" fillId="0" borderId="2" xfId="0" applyFont="1" applyBorder="1" applyAlignment="1">
      <alignment vertical="center"/>
    </xf>
    <xf numFmtId="1" fontId="20" fillId="0" borderId="2" xfId="0" applyNumberFormat="1" applyFont="1" applyBorder="1" applyAlignment="1">
      <alignment horizontal="center" vertical="center"/>
    </xf>
    <xf numFmtId="1" fontId="19" fillId="0" borderId="2" xfId="0" applyNumberFormat="1" applyFont="1" applyBorder="1" applyAlignment="1">
      <alignment horizontal="center" vertical="center"/>
    </xf>
    <xf numFmtId="164" fontId="19" fillId="0" borderId="2" xfId="0" applyNumberFormat="1" applyFont="1" applyBorder="1" applyAlignment="1">
      <alignment horizontal="center" vertical="center"/>
    </xf>
    <xf numFmtId="165" fontId="19" fillId="0" borderId="2" xfId="0" applyNumberFormat="1" applyFont="1" applyBorder="1" applyAlignment="1">
      <alignment horizontal="center" vertical="center"/>
    </xf>
    <xf numFmtId="2" fontId="17" fillId="0" borderId="17" xfId="0" applyNumberFormat="1" applyFont="1" applyBorder="1" applyAlignment="1">
      <alignment vertical="center"/>
    </xf>
    <xf numFmtId="0" fontId="17" fillId="0" borderId="21" xfId="0" applyFont="1" applyBorder="1" applyAlignment="1">
      <alignment vertical="center"/>
    </xf>
    <xf numFmtId="0" fontId="17" fillId="0" borderId="15" xfId="0" applyFont="1" applyBorder="1" applyAlignment="1">
      <alignment vertical="center"/>
    </xf>
    <xf numFmtId="0" fontId="20" fillId="0" borderId="2" xfId="0" applyFont="1" applyBorder="1" applyAlignment="1">
      <alignment horizontal="left" vertical="center"/>
    </xf>
    <xf numFmtId="2" fontId="18" fillId="0" borderId="0" xfId="11" applyNumberFormat="1" applyFont="1" applyAlignment="1">
      <alignment vertical="center"/>
    </xf>
    <xf numFmtId="0" fontId="18" fillId="0" borderId="2" xfId="13" applyFont="1" applyBorder="1"/>
    <xf numFmtId="2" fontId="18" fillId="0" borderId="2" xfId="13" applyNumberFormat="1" applyFont="1" applyBorder="1" applyAlignment="1">
      <alignment horizontal="right" vertical="center"/>
    </xf>
    <xf numFmtId="14" fontId="18" fillId="0" borderId="2" xfId="13" applyNumberFormat="1" applyFont="1" applyBorder="1" applyAlignment="1">
      <alignment vertical="center"/>
    </xf>
    <xf numFmtId="0" fontId="18" fillId="0" borderId="2" xfId="13" applyFont="1" applyBorder="1" applyAlignment="1">
      <alignment horizontal="right" vertical="center"/>
    </xf>
    <xf numFmtId="2" fontId="17" fillId="0" borderId="2" xfId="13" applyNumberFormat="1" applyFont="1" applyBorder="1"/>
    <xf numFmtId="0" fontId="18" fillId="5" borderId="2" xfId="13" applyFont="1" applyFill="1" applyBorder="1"/>
    <xf numFmtId="0" fontId="18" fillId="5" borderId="2" xfId="13" applyFont="1" applyFill="1" applyBorder="1" applyAlignment="1">
      <alignment horizontal="center"/>
    </xf>
    <xf numFmtId="0" fontId="18" fillId="4" borderId="2" xfId="13" applyFont="1" applyFill="1" applyBorder="1"/>
    <xf numFmtId="0" fontId="18" fillId="4" borderId="2" xfId="13" applyFont="1" applyFill="1" applyBorder="1" applyAlignment="1">
      <alignment horizontal="center"/>
    </xf>
    <xf numFmtId="2" fontId="18" fillId="4" borderId="2" xfId="13" applyNumberFormat="1" applyFont="1" applyFill="1" applyBorder="1"/>
    <xf numFmtId="2" fontId="18" fillId="4" borderId="2" xfId="13" applyNumberFormat="1" applyFont="1" applyFill="1" applyBorder="1" applyAlignment="1">
      <alignment horizontal="right"/>
    </xf>
    <xf numFmtId="0" fontId="18" fillId="4" borderId="1" xfId="0" applyFont="1" applyFill="1" applyBorder="1" applyAlignment="1">
      <alignment horizontal="center"/>
    </xf>
    <xf numFmtId="0" fontId="0" fillId="0" borderId="0" xfId="0" applyFont="1"/>
    <xf numFmtId="0" fontId="15" fillId="0" borderId="15" xfId="0" applyFont="1" applyBorder="1" applyAlignment="1">
      <alignment horizontal="center" vertical="center"/>
    </xf>
    <xf numFmtId="0" fontId="15" fillId="0" borderId="17" xfId="0" applyFont="1" applyBorder="1" applyAlignment="1">
      <alignment horizontal="left" vertical="center"/>
    </xf>
    <xf numFmtId="0" fontId="15" fillId="0" borderId="15" xfId="0" applyFont="1" applyBorder="1" applyAlignment="1">
      <alignment horizontal="left" vertical="center"/>
    </xf>
    <xf numFmtId="0" fontId="15" fillId="0" borderId="13" xfId="0"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Fill="1" applyBorder="1" applyAlignment="1">
      <alignment horizontal="center" vertical="center"/>
    </xf>
    <xf numFmtId="0" fontId="0" fillId="0" borderId="2" xfId="0" applyFont="1" applyBorder="1" applyAlignment="1">
      <alignment horizontal="center" vertical="center"/>
    </xf>
    <xf numFmtId="164" fontId="0" fillId="0" borderId="2" xfId="0" applyNumberFormat="1" applyFont="1" applyBorder="1" applyAlignment="1">
      <alignment horizontal="center" vertical="center"/>
    </xf>
    <xf numFmtId="0" fontId="0" fillId="0" borderId="0" xfId="0" applyFont="1" applyAlignment="1">
      <alignment horizontal="center" vertical="center"/>
    </xf>
    <xf numFmtId="0" fontId="0" fillId="0" borderId="17" xfId="0" applyFont="1" applyBorder="1" applyAlignment="1">
      <alignment horizontal="center" vertical="center"/>
    </xf>
    <xf numFmtId="0" fontId="15" fillId="0" borderId="2" xfId="0" applyFont="1" applyBorder="1" applyAlignment="1">
      <alignment horizontal="left" indent="59"/>
    </xf>
    <xf numFmtId="0" fontId="15" fillId="0" borderId="17" xfId="0" applyFont="1" applyBorder="1" applyAlignment="1">
      <alignment horizontal="left" indent="59"/>
    </xf>
    <xf numFmtId="0" fontId="15" fillId="0" borderId="21" xfId="0" applyFont="1" applyBorder="1" applyAlignment="1">
      <alignment horizontal="left" indent="59"/>
    </xf>
    <xf numFmtId="0" fontId="15" fillId="0" borderId="21" xfId="0" applyFont="1" applyBorder="1" applyAlignment="1">
      <alignment horizontal="left"/>
    </xf>
    <xf numFmtId="0" fontId="15" fillId="0" borderId="2" xfId="0" applyFont="1" applyBorder="1" applyAlignment="1">
      <alignment horizontal="center"/>
    </xf>
    <xf numFmtId="0" fontId="0" fillId="0" borderId="2" xfId="0" applyFont="1" applyBorder="1"/>
    <xf numFmtId="164" fontId="15" fillId="0" borderId="17" xfId="0" applyNumberFormat="1" applyFont="1" applyBorder="1" applyAlignment="1">
      <alignment vertical="center"/>
    </xf>
    <xf numFmtId="0" fontId="15" fillId="0" borderId="21" xfId="0" applyFont="1" applyBorder="1" applyAlignment="1">
      <alignment vertical="center"/>
    </xf>
    <xf numFmtId="0" fontId="15" fillId="0" borderId="15" xfId="0" applyFont="1" applyBorder="1" applyAlignment="1">
      <alignment vertical="center"/>
    </xf>
    <xf numFmtId="0" fontId="26" fillId="5" borderId="0" xfId="0" applyFont="1" applyFill="1"/>
    <xf numFmtId="0" fontId="27" fillId="5" borderId="2"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2" xfId="0" applyFont="1" applyFill="1" applyBorder="1" applyAlignment="1">
      <alignment horizontal="right" wrapText="1"/>
    </xf>
    <xf numFmtId="0" fontId="17" fillId="5" borderId="2" xfId="0" applyFont="1" applyFill="1" applyBorder="1" applyAlignment="1">
      <alignment horizontal="left" vertical="center" wrapText="1"/>
    </xf>
    <xf numFmtId="0" fontId="28" fillId="0" borderId="10" xfId="13" applyFont="1" applyBorder="1"/>
    <xf numFmtId="0" fontId="28" fillId="0" borderId="11" xfId="13" applyFont="1" applyBorder="1" applyAlignment="1"/>
    <xf numFmtId="0" fontId="28" fillId="0" borderId="0" xfId="13" applyFont="1"/>
    <xf numFmtId="0" fontId="28" fillId="0" borderId="10" xfId="13" applyFont="1" applyBorder="1" applyAlignment="1">
      <alignment horizontal="left"/>
    </xf>
    <xf numFmtId="0" fontId="28" fillId="0" borderId="10" xfId="13" applyFont="1" applyFill="1" applyBorder="1" applyAlignment="1">
      <alignment horizontal="right"/>
    </xf>
    <xf numFmtId="0" fontId="28" fillId="0" borderId="10" xfId="13" quotePrefix="1" applyFont="1" applyBorder="1" applyAlignment="1"/>
    <xf numFmtId="0" fontId="16" fillId="0" borderId="10" xfId="13" applyFont="1" applyBorder="1" applyAlignment="1">
      <alignment horizontal="right" vertical="center"/>
    </xf>
    <xf numFmtId="0" fontId="16" fillId="0" borderId="10" xfId="13" applyFont="1" applyBorder="1" applyAlignment="1">
      <alignment horizontal="center" vertical="center"/>
    </xf>
    <xf numFmtId="0" fontId="29" fillId="0" borderId="10" xfId="13" applyFont="1" applyBorder="1" applyAlignment="1">
      <alignment horizontal="center" vertical="top" wrapText="1"/>
    </xf>
    <xf numFmtId="0" fontId="19" fillId="0" borderId="10" xfId="13" applyFont="1" applyBorder="1" applyAlignment="1">
      <alignment horizontal="right"/>
    </xf>
    <xf numFmtId="14" fontId="17" fillId="0" borderId="10" xfId="13" applyNumberFormat="1" applyFont="1" applyBorder="1" applyAlignment="1">
      <alignment horizontal="right" vertical="top" wrapText="1"/>
    </xf>
    <xf numFmtId="0" fontId="30" fillId="0" borderId="10" xfId="13" applyFont="1" applyBorder="1" applyAlignment="1">
      <alignment horizontal="center" vertical="top"/>
    </xf>
    <xf numFmtId="0" fontId="30" fillId="0" borderId="10" xfId="13" applyFont="1" applyBorder="1" applyAlignment="1">
      <alignment horizontal="center" vertical="center" wrapText="1"/>
    </xf>
    <xf numFmtId="166" fontId="30" fillId="0" borderId="10" xfId="1" applyNumberFormat="1" applyFont="1" applyBorder="1" applyAlignment="1">
      <alignment horizontal="center" vertical="center"/>
    </xf>
    <xf numFmtId="0" fontId="30" fillId="0" borderId="10" xfId="13" applyFont="1" applyBorder="1" applyAlignment="1">
      <alignment horizontal="center" vertical="center"/>
    </xf>
    <xf numFmtId="0" fontId="31" fillId="0" borderId="10" xfId="13" applyFont="1" applyBorder="1" applyAlignment="1">
      <alignment horizontal="center" vertical="center"/>
    </xf>
    <xf numFmtId="166" fontId="20" fillId="0" borderId="10" xfId="1" applyNumberFormat="1" applyFont="1" applyFill="1" applyBorder="1" applyAlignment="1">
      <alignment vertical="center"/>
    </xf>
    <xf numFmtId="166" fontId="28" fillId="0" borderId="10" xfId="1" applyNumberFormat="1" applyFont="1" applyBorder="1" applyAlignment="1">
      <alignment horizontal="right" vertical="center"/>
    </xf>
    <xf numFmtId="166" fontId="28" fillId="0" borderId="10" xfId="1" applyNumberFormat="1" applyFont="1" applyBorder="1" applyAlignment="1">
      <alignment vertical="center"/>
    </xf>
    <xf numFmtId="0" fontId="31" fillId="5" borderId="10" xfId="13" applyFont="1" applyFill="1" applyBorder="1" applyAlignment="1">
      <alignment horizontal="center" vertical="center"/>
    </xf>
    <xf numFmtId="166" fontId="19" fillId="5" borderId="10" xfId="1" applyNumberFormat="1" applyFont="1" applyFill="1" applyBorder="1" applyAlignment="1">
      <alignment vertical="center"/>
    </xf>
    <xf numFmtId="0" fontId="28" fillId="5" borderId="0" xfId="13" applyFont="1" applyFill="1"/>
    <xf numFmtId="0" fontId="31" fillId="0" borderId="10" xfId="13" applyFont="1" applyFill="1" applyBorder="1" applyAlignment="1">
      <alignment horizontal="center" vertical="center"/>
    </xf>
    <xf numFmtId="0" fontId="31" fillId="0" borderId="11" xfId="13" applyFont="1" applyFill="1" applyBorder="1" applyAlignment="1">
      <alignment horizontal="left" vertical="center"/>
    </xf>
    <xf numFmtId="0" fontId="31" fillId="0" borderId="12" xfId="13" applyFont="1" applyFill="1" applyBorder="1" applyAlignment="1">
      <alignment horizontal="left" vertical="center"/>
    </xf>
    <xf numFmtId="0" fontId="31" fillId="0" borderId="10" xfId="13" applyFont="1" applyFill="1" applyBorder="1" applyAlignment="1">
      <alignment horizontal="left" vertical="center"/>
    </xf>
    <xf numFmtId="166" fontId="19" fillId="0" borderId="10" xfId="1" applyNumberFormat="1" applyFont="1" applyFill="1" applyBorder="1" applyAlignment="1">
      <alignment vertical="center"/>
    </xf>
    <xf numFmtId="0" fontId="28" fillId="0" borderId="10" xfId="13" applyFont="1" applyFill="1" applyBorder="1" applyAlignment="1">
      <alignment horizontal="center" vertical="center"/>
    </xf>
    <xf numFmtId="0" fontId="28" fillId="0" borderId="11" xfId="13" applyFont="1" applyFill="1" applyBorder="1" applyAlignment="1">
      <alignment horizontal="left" vertical="center"/>
    </xf>
    <xf numFmtId="0" fontId="28" fillId="0" borderId="12" xfId="13" applyFont="1" applyFill="1" applyBorder="1" applyAlignment="1">
      <alignment horizontal="left" vertical="center"/>
    </xf>
    <xf numFmtId="0" fontId="28" fillId="0" borderId="10" xfId="13" applyFont="1" applyFill="1" applyBorder="1" applyAlignment="1">
      <alignment horizontal="left" vertical="center"/>
    </xf>
    <xf numFmtId="166" fontId="28" fillId="0" borderId="10" xfId="1" applyNumberFormat="1" applyFont="1" applyFill="1" applyBorder="1" applyAlignment="1">
      <alignment vertical="center"/>
    </xf>
    <xf numFmtId="0" fontId="31" fillId="5" borderId="11" xfId="13" applyFont="1" applyFill="1" applyBorder="1" applyAlignment="1">
      <alignment horizontal="left" vertical="center"/>
    </xf>
    <xf numFmtId="0" fontId="31" fillId="5" borderId="12" xfId="13" applyFont="1" applyFill="1" applyBorder="1" applyAlignment="1">
      <alignment horizontal="left" vertical="center"/>
    </xf>
    <xf numFmtId="0" fontId="31" fillId="5" borderId="10" xfId="13" applyFont="1" applyFill="1" applyBorder="1" applyAlignment="1">
      <alignment horizontal="left" vertical="center"/>
    </xf>
    <xf numFmtId="1" fontId="28" fillId="0" borderId="0" xfId="13" applyNumberFormat="1" applyFont="1"/>
    <xf numFmtId="0" fontId="28" fillId="0" borderId="10" xfId="13" applyFont="1" applyBorder="1" applyAlignment="1">
      <alignment horizontal="left" vertical="center"/>
    </xf>
    <xf numFmtId="0" fontId="19" fillId="6" borderId="10" xfId="13" applyFont="1" applyFill="1" applyBorder="1" applyAlignment="1">
      <alignment horizontal="center" vertical="center"/>
    </xf>
    <xf numFmtId="166" fontId="31" fillId="6" borderId="10" xfId="1" applyNumberFormat="1" applyFont="1" applyFill="1" applyBorder="1" applyAlignment="1">
      <alignment vertical="center"/>
    </xf>
    <xf numFmtId="0" fontId="31" fillId="4" borderId="10" xfId="13" applyFont="1" applyFill="1" applyBorder="1" applyAlignment="1">
      <alignment horizontal="left" vertical="center"/>
    </xf>
    <xf numFmtId="166" fontId="31" fillId="4" borderId="10" xfId="1" applyNumberFormat="1" applyFont="1" applyFill="1" applyBorder="1" applyAlignment="1">
      <alignment vertical="center"/>
    </xf>
    <xf numFmtId="0" fontId="28" fillId="4" borderId="0" xfId="13" applyFont="1" applyFill="1"/>
    <xf numFmtId="166" fontId="31" fillId="5" borderId="10" xfId="1" applyNumberFormat="1" applyFont="1" applyFill="1" applyBorder="1" applyAlignment="1">
      <alignment vertical="center"/>
    </xf>
    <xf numFmtId="43" fontId="28" fillId="0" borderId="10" xfId="1" applyFont="1" applyBorder="1" applyAlignment="1">
      <alignment vertical="center"/>
    </xf>
    <xf numFmtId="0" fontId="31" fillId="0" borderId="10" xfId="13" applyFont="1" applyBorder="1" applyAlignment="1">
      <alignment horizontal="left" vertical="center" wrapText="1"/>
    </xf>
    <xf numFmtId="0" fontId="28" fillId="0" borderId="11" xfId="13" applyFont="1" applyBorder="1" applyAlignment="1">
      <alignment vertical="center" wrapText="1"/>
    </xf>
    <xf numFmtId="0" fontId="28" fillId="0" borderId="16" xfId="13" applyFont="1" applyBorder="1" applyAlignment="1">
      <alignment vertical="center" wrapText="1"/>
    </xf>
    <xf numFmtId="0" fontId="28" fillId="0" borderId="12" xfId="13" applyFont="1" applyBorder="1" applyAlignment="1">
      <alignment vertical="center" wrapText="1"/>
    </xf>
    <xf numFmtId="166" fontId="28" fillId="0" borderId="10" xfId="1" applyNumberFormat="1" applyFont="1" applyBorder="1" applyAlignment="1">
      <alignment vertical="center" wrapText="1"/>
    </xf>
    <xf numFmtId="0" fontId="28" fillId="0" borderId="0" xfId="13" applyFont="1" applyAlignment="1">
      <alignment wrapText="1"/>
    </xf>
    <xf numFmtId="0" fontId="31" fillId="0" borderId="10" xfId="13" applyFont="1" applyBorder="1" applyAlignment="1">
      <alignment horizontal="left" vertical="center"/>
    </xf>
    <xf numFmtId="0" fontId="31" fillId="7" borderId="10" xfId="13" applyFont="1" applyFill="1" applyBorder="1" applyAlignment="1">
      <alignment horizontal="left" vertical="center"/>
    </xf>
    <xf numFmtId="166" fontId="19" fillId="7" borderId="10" xfId="1" applyNumberFormat="1" applyFont="1" applyFill="1" applyBorder="1" applyAlignment="1">
      <alignment vertical="center"/>
    </xf>
    <xf numFmtId="0" fontId="31" fillId="4" borderId="10" xfId="13" applyFont="1" applyFill="1" applyBorder="1" applyAlignment="1">
      <alignment horizontal="center" vertical="center"/>
    </xf>
    <xf numFmtId="43" fontId="19" fillId="4" borderId="10" xfId="1" applyFont="1" applyFill="1" applyBorder="1" applyAlignment="1">
      <alignment vertical="center"/>
    </xf>
    <xf numFmtId="166" fontId="19" fillId="4" borderId="10" xfId="1" applyNumberFormat="1" applyFont="1" applyFill="1" applyBorder="1" applyAlignment="1">
      <alignment vertical="center"/>
    </xf>
    <xf numFmtId="0" fontId="19" fillId="5" borderId="10" xfId="13" applyFont="1" applyFill="1" applyBorder="1" applyAlignment="1">
      <alignment vertical="center"/>
    </xf>
    <xf numFmtId="166" fontId="30" fillId="5" borderId="10" xfId="1" applyNumberFormat="1" applyFont="1" applyFill="1" applyBorder="1" applyAlignment="1">
      <alignment vertical="center"/>
    </xf>
    <xf numFmtId="0" fontId="19" fillId="7" borderId="10" xfId="13" applyFont="1" applyFill="1" applyBorder="1" applyAlignment="1">
      <alignment vertical="center"/>
    </xf>
    <xf numFmtId="166" fontId="30" fillId="7" borderId="10" xfId="1" applyNumberFormat="1" applyFont="1" applyFill="1" applyBorder="1" applyAlignment="1">
      <alignment vertical="center"/>
    </xf>
    <xf numFmtId="166" fontId="28" fillId="5" borderId="0" xfId="13" applyNumberFormat="1" applyFont="1" applyFill="1"/>
    <xf numFmtId="0" fontId="19" fillId="0" borderId="17" xfId="0" applyFont="1" applyBorder="1" applyAlignment="1">
      <alignment horizontal="left" indent="59"/>
    </xf>
    <xf numFmtId="0" fontId="19" fillId="0" borderId="21" xfId="0" applyFont="1" applyBorder="1" applyAlignment="1">
      <alignment horizontal="left" indent="59"/>
    </xf>
    <xf numFmtId="0" fontId="21" fillId="4" borderId="0" xfId="0" applyFont="1" applyFill="1" applyBorder="1" applyAlignment="1">
      <alignment horizontal="left" wrapText="1"/>
    </xf>
    <xf numFmtId="0" fontId="18" fillId="4" borderId="0" xfId="0" applyFont="1" applyFill="1" applyBorder="1" applyAlignment="1">
      <alignment wrapText="1"/>
    </xf>
    <xf numFmtId="164" fontId="18" fillId="4" borderId="0" xfId="0" applyNumberFormat="1" applyFont="1" applyFill="1" applyBorder="1" applyAlignment="1">
      <alignment vertical="center"/>
    </xf>
    <xf numFmtId="0" fontId="30" fillId="0" borderId="2" xfId="56" applyFont="1" applyBorder="1" applyAlignment="1">
      <alignment horizontal="center" textRotation="90"/>
    </xf>
    <xf numFmtId="0" fontId="30" fillId="0" borderId="2" xfId="56" applyFont="1" applyBorder="1" applyAlignment="1">
      <alignment horizontal="left" textRotation="90" wrapText="1"/>
    </xf>
    <xf numFmtId="0" fontId="30" fillId="0" borderId="2" xfId="56" applyFont="1" applyBorder="1" applyAlignment="1">
      <alignment horizontal="center" vertical="center"/>
    </xf>
    <xf numFmtId="0" fontId="19" fillId="0" borderId="2" xfId="56" applyFont="1" applyBorder="1" applyAlignment="1">
      <alignment horizontal="center" vertical="center"/>
    </xf>
    <xf numFmtId="0" fontId="33" fillId="0" borderId="2" xfId="56" applyFont="1" applyBorder="1"/>
    <xf numFmtId="0" fontId="33" fillId="10" borderId="2" xfId="56" applyFont="1" applyFill="1" applyBorder="1" applyAlignment="1">
      <alignment wrapText="1"/>
    </xf>
    <xf numFmtId="0" fontId="20" fillId="0" borderId="2" xfId="56" applyFont="1" applyBorder="1" applyAlignment="1">
      <alignment horizontal="center" vertical="center"/>
    </xf>
    <xf numFmtId="0" fontId="20" fillId="0" borderId="2" xfId="56" applyFont="1" applyBorder="1" applyAlignment="1">
      <alignment horizontal="center" vertical="center" wrapText="1"/>
    </xf>
    <xf numFmtId="1" fontId="20" fillId="0" borderId="2" xfId="56" applyNumberFormat="1" applyFont="1" applyBorder="1" applyAlignment="1">
      <alignment horizontal="center" vertical="center"/>
    </xf>
    <xf numFmtId="2" fontId="20" fillId="0" borderId="2" xfId="56" applyNumberFormat="1" applyFont="1" applyBorder="1" applyAlignment="1">
      <alignment horizontal="center" vertical="center"/>
    </xf>
    <xf numFmtId="0" fontId="33" fillId="4" borderId="2" xfId="56" applyFont="1" applyFill="1" applyBorder="1" applyAlignment="1">
      <alignment vertical="center"/>
    </xf>
    <xf numFmtId="0" fontId="33" fillId="0" borderId="2" xfId="56" applyFont="1" applyBorder="1" applyAlignment="1">
      <alignment vertical="center"/>
    </xf>
    <xf numFmtId="0" fontId="20" fillId="0" borderId="2" xfId="56" applyFont="1" applyBorder="1" applyAlignment="1">
      <alignment vertical="center"/>
    </xf>
    <xf numFmtId="0" fontId="33" fillId="10" borderId="2" xfId="56" applyFont="1" applyFill="1" applyBorder="1" applyAlignment="1">
      <alignment vertical="center"/>
    </xf>
    <xf numFmtId="0" fontId="33" fillId="0" borderId="14" xfId="56" applyFont="1" applyBorder="1"/>
    <xf numFmtId="0" fontId="20" fillId="0" borderId="14" xfId="56" applyFont="1" applyBorder="1" applyAlignment="1">
      <alignment horizontal="center" vertical="center"/>
    </xf>
    <xf numFmtId="1" fontId="20" fillId="0" borderId="14" xfId="56" applyNumberFormat="1" applyFont="1" applyBorder="1" applyAlignment="1">
      <alignment horizontal="center" vertical="center"/>
    </xf>
    <xf numFmtId="0" fontId="33" fillId="10" borderId="2" xfId="56" applyFont="1" applyFill="1" applyBorder="1"/>
    <xf numFmtId="0" fontId="33" fillId="4" borderId="2" xfId="56" applyFont="1" applyFill="1" applyBorder="1"/>
    <xf numFmtId="165" fontId="19" fillId="0" borderId="2" xfId="56" applyNumberFormat="1" applyFont="1" applyBorder="1" applyAlignment="1">
      <alignment horizontal="center" vertical="center"/>
    </xf>
    <xf numFmtId="164" fontId="19" fillId="0" borderId="17" xfId="0" applyNumberFormat="1" applyFont="1" applyBorder="1" applyAlignment="1">
      <alignment vertical="center"/>
    </xf>
    <xf numFmtId="0" fontId="19" fillId="0" borderId="21" xfId="0" applyFont="1" applyBorder="1" applyAlignment="1">
      <alignment vertical="center"/>
    </xf>
    <xf numFmtId="0" fontId="19" fillId="0" borderId="15" xfId="0" applyFont="1" applyBorder="1" applyAlignment="1">
      <alignment vertical="center"/>
    </xf>
    <xf numFmtId="0" fontId="30" fillId="0" borderId="2" xfId="56" applyFont="1" applyBorder="1" applyAlignment="1">
      <alignment horizontal="center" textRotation="90" wrapText="1"/>
    </xf>
    <xf numFmtId="0" fontId="30" fillId="0" borderId="13" xfId="56" applyFont="1" applyBorder="1" applyAlignment="1">
      <alignment horizontal="center" textRotation="90" wrapText="1"/>
    </xf>
    <xf numFmtId="2" fontId="17" fillId="0" borderId="2" xfId="0" applyNumberFormat="1" applyFont="1" applyFill="1" applyBorder="1" applyAlignment="1">
      <alignment horizontal="center"/>
    </xf>
    <xf numFmtId="0" fontId="30" fillId="0" borderId="10" xfId="13" applyFont="1" applyBorder="1" applyAlignment="1">
      <alignment horizontal="center" vertical="top"/>
    </xf>
    <xf numFmtId="0" fontId="28" fillId="0" borderId="10" xfId="13" applyFont="1" applyBorder="1" applyAlignment="1">
      <alignment horizontal="left" vertical="center"/>
    </xf>
    <xf numFmtId="0" fontId="31" fillId="5" borderId="10" xfId="13" applyFont="1" applyFill="1" applyBorder="1" applyAlignment="1">
      <alignment horizontal="left" vertical="center"/>
    </xf>
    <xf numFmtId="166" fontId="31" fillId="7" borderId="10" xfId="1" applyNumberFormat="1" applyFont="1" applyFill="1" applyBorder="1" applyAlignment="1">
      <alignment vertical="center"/>
    </xf>
    <xf numFmtId="0" fontId="28" fillId="0" borderId="10" xfId="13" applyFont="1" applyBorder="1" applyAlignment="1">
      <alignment horizontal="left" vertical="center"/>
    </xf>
    <xf numFmtId="43" fontId="28" fillId="0" borderId="10" xfId="1" applyNumberFormat="1" applyFont="1" applyBorder="1" applyAlignment="1">
      <alignment vertical="center" wrapText="1"/>
    </xf>
    <xf numFmtId="2" fontId="18" fillId="0" borderId="2" xfId="0" applyNumberFormat="1" applyFont="1" applyFill="1" applyBorder="1" applyAlignment="1"/>
    <xf numFmtId="2" fontId="17" fillId="0" borderId="2" xfId="0" applyNumberFormat="1" applyFont="1" applyFill="1" applyBorder="1" applyAlignment="1"/>
    <xf numFmtId="2" fontId="18" fillId="4" borderId="2" xfId="20" applyNumberFormat="1" applyFont="1" applyFill="1" applyBorder="1" applyAlignment="1" applyProtection="1">
      <alignment wrapText="1"/>
    </xf>
    <xf numFmtId="164" fontId="20" fillId="0" borderId="2" xfId="0" applyNumberFormat="1" applyFont="1" applyBorder="1" applyAlignment="1">
      <alignment vertical="center"/>
    </xf>
    <xf numFmtId="164" fontId="18" fillId="4" borderId="2" xfId="0" applyNumberFormat="1" applyFont="1" applyFill="1" applyBorder="1" applyAlignment="1">
      <alignment vertical="center"/>
    </xf>
    <xf numFmtId="164" fontId="19" fillId="0" borderId="2" xfId="0" applyNumberFormat="1" applyFont="1" applyBorder="1" applyAlignment="1"/>
    <xf numFmtId="164" fontId="17" fillId="0" borderId="17" xfId="0" applyNumberFormat="1" applyFont="1" applyBorder="1" applyAlignment="1">
      <alignment vertical="center"/>
    </xf>
    <xf numFmtId="164" fontId="18" fillId="4" borderId="2" xfId="11" applyNumberFormat="1" applyFont="1" applyFill="1" applyBorder="1" applyAlignment="1">
      <alignment vertical="center"/>
    </xf>
    <xf numFmtId="164" fontId="18" fillId="4" borderId="2" xfId="11" applyNumberFormat="1" applyFont="1" applyFill="1" applyBorder="1" applyAlignment="1">
      <alignment vertical="center" wrapText="1"/>
    </xf>
    <xf numFmtId="0" fontId="30" fillId="0" borderId="2" xfId="56" applyFont="1" applyBorder="1" applyAlignment="1">
      <alignment horizontal="center" vertical="center"/>
    </xf>
    <xf numFmtId="0" fontId="33" fillId="0" borderId="0" xfId="0" applyFont="1"/>
    <xf numFmtId="0" fontId="30" fillId="0" borderId="2" xfId="0" applyFont="1" applyBorder="1" applyAlignment="1">
      <alignment horizontal="center" vertical="center"/>
    </xf>
    <xf numFmtId="0" fontId="33" fillId="0" borderId="2" xfId="0" applyFont="1" applyBorder="1" applyAlignment="1">
      <alignment horizontal="center" vertical="center"/>
    </xf>
    <xf numFmtId="0" fontId="17" fillId="4" borderId="15" xfId="0" applyFont="1" applyFill="1" applyBorder="1" applyAlignment="1">
      <alignment horizontal="center" vertical="center"/>
    </xf>
    <xf numFmtId="0" fontId="39" fillId="4" borderId="1" xfId="0" applyFont="1" applyFill="1" applyBorder="1" applyAlignment="1">
      <alignment horizontal="center"/>
    </xf>
    <xf numFmtId="0" fontId="40" fillId="9" borderId="2" xfId="0" applyFont="1" applyFill="1" applyBorder="1" applyAlignment="1">
      <alignment horizontal="left" vertical="center" wrapText="1"/>
    </xf>
    <xf numFmtId="164" fontId="39" fillId="4" borderId="2" xfId="0" applyNumberFormat="1" applyFont="1" applyFill="1" applyBorder="1" applyAlignment="1">
      <alignment horizontal="right"/>
    </xf>
    <xf numFmtId="0" fontId="39" fillId="4" borderId="2" xfId="0" applyFont="1" applyFill="1" applyBorder="1" applyAlignment="1">
      <alignment horizontal="left" wrapText="1"/>
    </xf>
    <xf numFmtId="0" fontId="16" fillId="4" borderId="1" xfId="0" applyFont="1" applyFill="1" applyBorder="1" applyAlignment="1">
      <alignment horizontal="center" vertical="center"/>
    </xf>
    <xf numFmtId="0" fontId="16" fillId="4" borderId="1" xfId="0" applyFont="1" applyFill="1" applyBorder="1" applyAlignment="1">
      <alignment horizontal="center"/>
    </xf>
    <xf numFmtId="0" fontId="16" fillId="0" borderId="1" xfId="0" applyFont="1" applyFill="1" applyBorder="1" applyAlignment="1">
      <alignment horizontal="center"/>
    </xf>
    <xf numFmtId="0" fontId="39" fillId="0" borderId="2" xfId="0" applyFont="1" applyFill="1" applyBorder="1" applyAlignment="1">
      <alignment horizontal="left" wrapText="1"/>
    </xf>
    <xf numFmtId="164" fontId="39" fillId="0" borderId="2" xfId="0" applyNumberFormat="1" applyFont="1" applyFill="1" applyBorder="1" applyAlignment="1">
      <alignment horizontal="right"/>
    </xf>
    <xf numFmtId="0" fontId="21" fillId="4" borderId="1" xfId="0" applyFont="1" applyFill="1" applyBorder="1" applyAlignment="1">
      <alignment horizontal="center" vertical="center"/>
    </xf>
    <xf numFmtId="0" fontId="21" fillId="4" borderId="1" xfId="0" applyFont="1" applyFill="1" applyBorder="1" applyAlignment="1">
      <alignment horizontal="center"/>
    </xf>
    <xf numFmtId="0" fontId="21" fillId="0" borderId="1" xfId="0" applyFont="1" applyFill="1" applyBorder="1" applyAlignment="1">
      <alignment horizontal="center"/>
    </xf>
    <xf numFmtId="0" fontId="21" fillId="4" borderId="14" xfId="0" applyFont="1" applyFill="1" applyBorder="1" applyAlignment="1"/>
    <xf numFmtId="0" fontId="21" fillId="4" borderId="2" xfId="0" applyFont="1" applyFill="1" applyBorder="1" applyAlignment="1"/>
    <xf numFmtId="0" fontId="21" fillId="4" borderId="13" xfId="0" applyFont="1" applyFill="1" applyBorder="1" applyAlignment="1"/>
    <xf numFmtId="2" fontId="39" fillId="4" borderId="2" xfId="0" applyNumberFormat="1" applyFont="1" applyFill="1" applyBorder="1" applyAlignment="1">
      <alignment horizontal="right"/>
    </xf>
    <xf numFmtId="0" fontId="40" fillId="9" borderId="2" xfId="0" applyFont="1" applyFill="1" applyBorder="1" applyAlignment="1">
      <alignment horizontal="left" wrapText="1"/>
    </xf>
    <xf numFmtId="0" fontId="40" fillId="0" borderId="2" xfId="0" applyFont="1" applyFill="1" applyBorder="1" applyAlignment="1">
      <alignment horizontal="left" vertical="center" wrapText="1"/>
    </xf>
    <xf numFmtId="2" fontId="39" fillId="0" borderId="2" xfId="0" applyNumberFormat="1" applyFont="1" applyFill="1" applyBorder="1" applyAlignment="1">
      <alignment horizontal="right"/>
    </xf>
    <xf numFmtId="164" fontId="21" fillId="4" borderId="2" xfId="0" applyNumberFormat="1" applyFont="1" applyFill="1" applyBorder="1" applyAlignment="1">
      <alignment horizontal="right"/>
    </xf>
    <xf numFmtId="0" fontId="21" fillId="4" borderId="2" xfId="0" applyFont="1" applyFill="1" applyBorder="1" applyAlignment="1">
      <alignment horizontal="left" wrapText="1"/>
    </xf>
    <xf numFmtId="0" fontId="41" fillId="9" borderId="2" xfId="0" applyFont="1" applyFill="1" applyBorder="1" applyAlignment="1">
      <alignment vertical="center" wrapText="1"/>
    </xf>
    <xf numFmtId="0" fontId="40" fillId="4" borderId="2" xfId="0" applyFont="1" applyFill="1" applyBorder="1" applyAlignment="1">
      <alignment vertical="center" wrapText="1"/>
    </xf>
    <xf numFmtId="0" fontId="39" fillId="4" borderId="2" xfId="0" applyFont="1" applyFill="1" applyBorder="1" applyAlignment="1">
      <alignment wrapText="1"/>
    </xf>
    <xf numFmtId="164" fontId="39" fillId="4" borderId="2" xfId="0" applyNumberFormat="1" applyFont="1" applyFill="1" applyBorder="1" applyAlignment="1">
      <alignment horizontal="right" vertical="center"/>
    </xf>
    <xf numFmtId="0" fontId="40" fillId="4" borderId="2" xfId="0" applyFont="1" applyFill="1" applyBorder="1" applyAlignment="1">
      <alignment horizontal="left" wrapText="1"/>
    </xf>
    <xf numFmtId="164" fontId="39" fillId="4" borderId="13" xfId="0" applyNumberFormat="1" applyFont="1" applyFill="1" applyBorder="1" applyAlignment="1">
      <alignment horizontal="right"/>
    </xf>
    <xf numFmtId="2" fontId="39" fillId="4" borderId="13" xfId="0" applyNumberFormat="1" applyFont="1" applyFill="1" applyBorder="1" applyAlignment="1">
      <alignment horizontal="right"/>
    </xf>
    <xf numFmtId="164" fontId="39" fillId="0" borderId="13" xfId="0" applyNumberFormat="1" applyFont="1" applyFill="1" applyBorder="1" applyAlignment="1">
      <alignment horizontal="right"/>
    </xf>
    <xf numFmtId="0" fontId="40" fillId="9" borderId="13" xfId="0" applyFont="1" applyFill="1" applyBorder="1" applyAlignment="1">
      <alignment wrapText="1"/>
    </xf>
    <xf numFmtId="0" fontId="39" fillId="4" borderId="13" xfId="0" applyFont="1" applyFill="1" applyBorder="1" applyAlignment="1">
      <alignment wrapText="1"/>
    </xf>
    <xf numFmtId="0" fontId="40" fillId="4" borderId="13" xfId="0" applyFont="1" applyFill="1" applyBorder="1" applyAlignment="1">
      <alignment wrapText="1"/>
    </xf>
    <xf numFmtId="0" fontId="21" fillId="4" borderId="13" xfId="0" applyFont="1" applyFill="1" applyBorder="1" applyAlignment="1">
      <alignment wrapText="1"/>
    </xf>
    <xf numFmtId="0" fontId="40" fillId="9" borderId="2" xfId="0" applyFont="1" applyFill="1" applyBorder="1" applyAlignment="1">
      <alignment vertical="center" wrapText="1"/>
    </xf>
    <xf numFmtId="0" fontId="40" fillId="4" borderId="1" xfId="0" applyFont="1" applyFill="1" applyBorder="1" applyAlignment="1">
      <alignment horizontal="center"/>
    </xf>
    <xf numFmtId="2" fontId="39" fillId="0" borderId="2" xfId="0" applyNumberFormat="1" applyFont="1" applyBorder="1" applyAlignment="1">
      <alignment horizontal="right"/>
    </xf>
    <xf numFmtId="0" fontId="39" fillId="0" borderId="2" xfId="0" applyFont="1" applyBorder="1" applyAlignment="1">
      <alignment horizontal="center" vertical="center"/>
    </xf>
    <xf numFmtId="0" fontId="39" fillId="0" borderId="2" xfId="0" applyNumberFormat="1" applyFont="1" applyBorder="1" applyAlignment="1">
      <alignment horizontal="center" vertical="center"/>
    </xf>
    <xf numFmtId="0" fontId="40" fillId="0" borderId="2" xfId="0" applyFont="1" applyFill="1" applyBorder="1" applyAlignment="1">
      <alignment horizontal="left" wrapText="1"/>
    </xf>
    <xf numFmtId="0" fontId="39" fillId="5" borderId="2" xfId="0" applyFont="1" applyFill="1" applyBorder="1" applyAlignment="1">
      <alignment horizontal="left" wrapText="1"/>
    </xf>
    <xf numFmtId="0" fontId="39" fillId="5" borderId="2" xfId="0" applyFont="1" applyFill="1" applyBorder="1" applyAlignment="1">
      <alignment horizontal="center" vertical="center"/>
    </xf>
    <xf numFmtId="164" fontId="39" fillId="5" borderId="2" xfId="0" applyNumberFormat="1" applyFont="1" applyFill="1" applyBorder="1" applyAlignment="1">
      <alignment horizontal="right"/>
    </xf>
    <xf numFmtId="164" fontId="30" fillId="0" borderId="2" xfId="0" applyNumberFormat="1" applyFont="1" applyBorder="1" applyAlignment="1">
      <alignment horizontal="center" vertical="center"/>
    </xf>
    <xf numFmtId="165" fontId="30" fillId="0" borderId="2" xfId="0" applyNumberFormat="1" applyFont="1" applyBorder="1" applyAlignment="1">
      <alignment horizontal="center" vertical="center"/>
    </xf>
    <xf numFmtId="164" fontId="30" fillId="0" borderId="2" xfId="0" applyNumberFormat="1" applyFont="1" applyBorder="1" applyAlignment="1"/>
    <xf numFmtId="0" fontId="39" fillId="4" borderId="2" xfId="0" applyFont="1" applyFill="1" applyBorder="1" applyAlignment="1">
      <alignment horizontal="center"/>
    </xf>
    <xf numFmtId="0" fontId="40" fillId="4" borderId="2" xfId="0" applyFont="1" applyFill="1" applyBorder="1" applyAlignment="1">
      <alignment horizontal="center"/>
    </xf>
    <xf numFmtId="0" fontId="21" fillId="5" borderId="0" xfId="0" applyFont="1" applyFill="1"/>
    <xf numFmtId="0" fontId="16" fillId="5" borderId="2" xfId="0" applyFont="1" applyFill="1" applyBorder="1" applyAlignment="1">
      <alignment horizontal="center" vertical="center" wrapText="1"/>
    </xf>
    <xf numFmtId="0" fontId="16" fillId="5" borderId="2" xfId="0" applyFont="1" applyFill="1" applyBorder="1" applyAlignment="1">
      <alignment vertical="center" wrapText="1"/>
    </xf>
    <xf numFmtId="0" fontId="16" fillId="5" borderId="2" xfId="0" applyFont="1" applyFill="1" applyBorder="1" applyAlignment="1">
      <alignment horizontal="center" vertical="center" textRotation="90" wrapText="1"/>
    </xf>
    <xf numFmtId="0" fontId="16" fillId="5" borderId="2" xfId="0" applyFont="1" applyFill="1" applyBorder="1" applyAlignment="1">
      <alignment horizontal="right" textRotation="90" wrapText="1"/>
    </xf>
    <xf numFmtId="0" fontId="30" fillId="0" borderId="2" xfId="0" applyFont="1" applyBorder="1" applyAlignment="1">
      <alignment horizontal="left" vertical="center"/>
    </xf>
    <xf numFmtId="0" fontId="30"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2" xfId="0" applyFont="1" applyBorder="1" applyAlignment="1">
      <alignment horizontal="center" vertical="center"/>
    </xf>
    <xf numFmtId="0" fontId="39" fillId="0" borderId="2" xfId="0" applyFont="1" applyFill="1" applyBorder="1" applyAlignment="1">
      <alignment horizontal="center" vertical="center"/>
    </xf>
    <xf numFmtId="0" fontId="33" fillId="0" borderId="0" xfId="0" applyFont="1" applyFill="1"/>
    <xf numFmtId="0" fontId="40" fillId="0" borderId="2" xfId="0" applyFont="1" applyFill="1" applyBorder="1" applyAlignment="1">
      <alignment horizontal="center" vertical="center" wrapText="1"/>
    </xf>
    <xf numFmtId="0" fontId="40" fillId="0" borderId="2" xfId="0" applyFont="1" applyFill="1" applyBorder="1" applyAlignment="1">
      <alignment horizontal="center" vertical="center"/>
    </xf>
    <xf numFmtId="0" fontId="30" fillId="0" borderId="0" xfId="0" applyFont="1"/>
    <xf numFmtId="0" fontId="39" fillId="0" borderId="2" xfId="0" applyNumberFormat="1" applyFont="1" applyFill="1" applyBorder="1" applyAlignment="1">
      <alignment horizontal="center" vertical="center"/>
    </xf>
    <xf numFmtId="0" fontId="39" fillId="4" borderId="2" xfId="0" applyFont="1" applyFill="1" applyBorder="1" applyAlignment="1">
      <alignment horizontal="center" vertical="center"/>
    </xf>
    <xf numFmtId="0" fontId="39" fillId="4" borderId="2" xfId="0" applyNumberFormat="1" applyFont="1" applyFill="1" applyBorder="1" applyAlignment="1">
      <alignment horizontal="center" vertical="center"/>
    </xf>
    <xf numFmtId="0" fontId="33" fillId="4" borderId="0" xfId="0" applyFont="1" applyFill="1"/>
    <xf numFmtId="0" fontId="21" fillId="0" borderId="2" xfId="0" applyFont="1" applyBorder="1" applyAlignment="1">
      <alignment horizontal="center" vertical="center"/>
    </xf>
    <xf numFmtId="0" fontId="21" fillId="0" borderId="2" xfId="0" applyNumberFormat="1" applyFont="1" applyBorder="1" applyAlignment="1">
      <alignment horizontal="center" vertical="center"/>
    </xf>
    <xf numFmtId="0" fontId="33" fillId="0" borderId="2" xfId="0" applyNumberFormat="1" applyFont="1" applyBorder="1" applyAlignment="1">
      <alignment horizontal="center" vertical="center"/>
    </xf>
    <xf numFmtId="0" fontId="39" fillId="0" borderId="0" xfId="0" applyFont="1"/>
    <xf numFmtId="164" fontId="39" fillId="0" borderId="2" xfId="0" applyNumberFormat="1" applyFont="1" applyBorder="1" applyAlignment="1">
      <alignment horizontal="right" vertical="center"/>
    </xf>
    <xf numFmtId="164" fontId="39" fillId="0" borderId="2" xfId="0" applyNumberFormat="1" applyFont="1" applyBorder="1" applyAlignment="1">
      <alignment horizontal="center" vertical="center"/>
    </xf>
    <xf numFmtId="0" fontId="39" fillId="5" borderId="2" xfId="0" applyFont="1" applyFill="1" applyBorder="1"/>
    <xf numFmtId="0" fontId="33" fillId="5" borderId="0" xfId="0" applyFont="1" applyFill="1"/>
    <xf numFmtId="0" fontId="40" fillId="0" borderId="2" xfId="0" applyFont="1" applyBorder="1" applyAlignment="1">
      <alignment horizontal="left"/>
    </xf>
    <xf numFmtId="0" fontId="40" fillId="0" borderId="2" xfId="0" applyFont="1" applyBorder="1" applyAlignment="1">
      <alignment horizontal="left" indent="59"/>
    </xf>
    <xf numFmtId="0" fontId="40" fillId="0" borderId="2" xfId="0" applyFont="1" applyBorder="1" applyAlignment="1">
      <alignment horizontal="center"/>
    </xf>
    <xf numFmtId="1" fontId="40" fillId="0" borderId="2" xfId="0" applyNumberFormat="1" applyFont="1" applyBorder="1" applyAlignment="1">
      <alignment horizontal="center"/>
    </xf>
    <xf numFmtId="0" fontId="33" fillId="0" borderId="0" xfId="0" applyFont="1" applyAlignment="1">
      <alignment horizontal="center"/>
    </xf>
    <xf numFmtId="0" fontId="39" fillId="0" borderId="2" xfId="0" applyFont="1" applyBorder="1"/>
    <xf numFmtId="164" fontId="40" fillId="0" borderId="2" xfId="0" applyNumberFormat="1" applyFont="1" applyBorder="1" applyAlignment="1">
      <alignment horizontal="center"/>
    </xf>
    <xf numFmtId="0" fontId="30" fillId="4" borderId="2" xfId="56" applyFont="1" applyFill="1" applyBorder="1" applyAlignment="1">
      <alignment vertical="center"/>
    </xf>
    <xf numFmtId="0" fontId="30" fillId="0" borderId="2" xfId="56" applyFont="1" applyBorder="1" applyAlignment="1">
      <alignment horizontal="left" vertical="center" wrapText="1"/>
    </xf>
    <xf numFmtId="165" fontId="20" fillId="0" borderId="2" xfId="56" applyNumberFormat="1" applyFont="1" applyBorder="1" applyAlignment="1">
      <alignment horizontal="center" vertical="center"/>
    </xf>
    <xf numFmtId="0" fontId="24" fillId="5" borderId="2" xfId="56" applyFont="1" applyFill="1" applyBorder="1" applyAlignment="1">
      <alignment horizontal="center" vertical="center" wrapText="1"/>
    </xf>
    <xf numFmtId="164" fontId="17" fillId="4" borderId="2" xfId="0" applyNumberFormat="1" applyFont="1" applyFill="1" applyBorder="1" applyAlignment="1">
      <alignment vertical="center"/>
    </xf>
    <xf numFmtId="164" fontId="17" fillId="4" borderId="2" xfId="0" applyNumberFormat="1" applyFont="1" applyFill="1" applyBorder="1" applyAlignment="1">
      <alignment horizontal="right"/>
    </xf>
    <xf numFmtId="0" fontId="18" fillId="4" borderId="2" xfId="0" applyFont="1" applyFill="1" applyBorder="1" applyAlignment="1"/>
    <xf numFmtId="0" fontId="17" fillId="4" borderId="1" xfId="0" applyFont="1" applyFill="1" applyBorder="1" applyAlignment="1">
      <alignment horizontal="center"/>
    </xf>
    <xf numFmtId="0" fontId="17" fillId="4" borderId="0" xfId="0" applyFont="1" applyFill="1" applyBorder="1" applyAlignment="1"/>
    <xf numFmtId="0" fontId="18" fillId="4" borderId="2" xfId="0" applyFont="1" applyFill="1" applyBorder="1" applyAlignment="1">
      <alignment horizontal="left" vertical="center" wrapText="1"/>
    </xf>
    <xf numFmtId="0" fontId="37" fillId="4" borderId="0" xfId="0" applyFont="1" applyFill="1" applyBorder="1" applyAlignment="1"/>
    <xf numFmtId="164" fontId="38" fillId="4" borderId="2" xfId="0" applyNumberFormat="1" applyFont="1" applyFill="1" applyBorder="1" applyAlignment="1">
      <alignment horizontal="right"/>
    </xf>
    <xf numFmtId="0" fontId="37" fillId="4" borderId="2" xfId="0" applyFont="1" applyFill="1" applyBorder="1" applyAlignment="1"/>
    <xf numFmtId="165" fontId="18" fillId="4" borderId="0" xfId="0" applyNumberFormat="1" applyFont="1" applyFill="1" applyBorder="1" applyAlignment="1">
      <alignment horizontal="right"/>
    </xf>
    <xf numFmtId="164" fontId="18" fillId="4" borderId="0" xfId="0" applyNumberFormat="1" applyFont="1" applyFill="1" applyBorder="1" applyAlignment="1">
      <alignment horizontal="right"/>
    </xf>
    <xf numFmtId="0" fontId="17" fillId="4" borderId="2" xfId="0" applyFont="1" applyFill="1" applyBorder="1" applyAlignment="1">
      <alignment horizontal="left" vertical="center" wrapText="1"/>
    </xf>
    <xf numFmtId="0" fontId="16" fillId="4" borderId="0" xfId="0" applyFont="1" applyFill="1" applyBorder="1" applyAlignment="1">
      <alignment vertical="center"/>
    </xf>
    <xf numFmtId="0" fontId="21" fillId="4" borderId="0" xfId="0" applyFont="1" applyFill="1" applyBorder="1" applyAlignment="1">
      <alignment horizontal="left" vertical="center" wrapText="1"/>
    </xf>
    <xf numFmtId="0" fontId="18" fillId="4" borderId="0" xfId="0" applyFont="1" applyFill="1" applyBorder="1" applyAlignment="1">
      <alignment vertical="center" wrapText="1"/>
    </xf>
    <xf numFmtId="0" fontId="17" fillId="4" borderId="2" xfId="0" applyFont="1" applyFill="1" applyBorder="1" applyAlignment="1">
      <alignment vertical="center" wrapText="1"/>
    </xf>
    <xf numFmtId="2" fontId="18" fillId="4" borderId="2" xfId="0" applyNumberFormat="1" applyFont="1" applyFill="1" applyBorder="1" applyAlignment="1">
      <alignment horizontal="right" vertical="center"/>
    </xf>
    <xf numFmtId="1" fontId="18" fillId="4" borderId="2" xfId="0" applyNumberFormat="1" applyFont="1" applyFill="1" applyBorder="1" applyAlignment="1">
      <alignment horizontal="center" vertical="center"/>
    </xf>
    <xf numFmtId="2" fontId="18" fillId="4" borderId="2" xfId="0" applyNumberFormat="1" applyFont="1" applyFill="1" applyBorder="1" applyAlignment="1">
      <alignment horizontal="right" vertical="center" wrapText="1"/>
    </xf>
    <xf numFmtId="164" fontId="18" fillId="4" borderId="2" xfId="0" applyNumberFormat="1" applyFont="1" applyFill="1" applyBorder="1" applyAlignment="1">
      <alignment vertical="center" wrapText="1"/>
    </xf>
    <xf numFmtId="165" fontId="18" fillId="4" borderId="13" xfId="0" applyNumberFormat="1" applyFont="1" applyFill="1" applyBorder="1" applyAlignment="1">
      <alignment horizontal="right" vertical="center"/>
    </xf>
    <xf numFmtId="164" fontId="18" fillId="4" borderId="13" xfId="0" applyNumberFormat="1" applyFont="1" applyFill="1" applyBorder="1" applyAlignment="1">
      <alignment horizontal="right" vertical="center"/>
    </xf>
    <xf numFmtId="0" fontId="18" fillId="4" borderId="2" xfId="0" applyFont="1" applyFill="1" applyBorder="1" applyAlignment="1">
      <alignment vertical="center" wrapText="1"/>
    </xf>
    <xf numFmtId="0" fontId="18" fillId="4" borderId="2" xfId="0" applyFont="1" applyFill="1" applyBorder="1" applyAlignment="1">
      <alignment horizontal="left" vertical="center"/>
    </xf>
    <xf numFmtId="0" fontId="17" fillId="4" borderId="2" xfId="0" applyFont="1" applyFill="1" applyBorder="1" applyAlignment="1">
      <alignment horizontal="left" vertical="center"/>
    </xf>
    <xf numFmtId="0" fontId="0" fillId="4" borderId="0" xfId="0" applyFill="1" applyAlignment="1">
      <alignment vertical="center"/>
    </xf>
    <xf numFmtId="1" fontId="0" fillId="4" borderId="0" xfId="0" applyNumberFormat="1" applyFill="1" applyAlignment="1">
      <alignment horizontal="center" vertical="center"/>
    </xf>
    <xf numFmtId="164" fontId="0" fillId="4" borderId="0" xfId="0" applyNumberFormat="1" applyFill="1" applyAlignment="1">
      <alignment vertical="center"/>
    </xf>
    <xf numFmtId="164" fontId="0" fillId="4" borderId="0" xfId="0" applyNumberFormat="1" applyFill="1" applyAlignment="1">
      <alignment horizontal="center" vertical="center"/>
    </xf>
    <xf numFmtId="0" fontId="17" fillId="5" borderId="1" xfId="0" applyFont="1" applyFill="1" applyBorder="1" applyAlignment="1">
      <alignment horizontal="center"/>
    </xf>
    <xf numFmtId="0" fontId="38" fillId="4" borderId="1" xfId="0" applyFont="1" applyFill="1" applyBorder="1" applyAlignment="1">
      <alignment horizontal="center"/>
    </xf>
    <xf numFmtId="0" fontId="38" fillId="4" borderId="2" xfId="0" applyFont="1" applyFill="1" applyBorder="1" applyAlignment="1">
      <alignment horizontal="left" wrapText="1"/>
    </xf>
    <xf numFmtId="165" fontId="37" fillId="4" borderId="2" xfId="0" applyNumberFormat="1" applyFont="1" applyFill="1" applyBorder="1" applyAlignment="1">
      <alignment horizontal="right"/>
    </xf>
    <xf numFmtId="164" fontId="37" fillId="4" borderId="2" xfId="0" applyNumberFormat="1" applyFont="1" applyFill="1" applyBorder="1" applyAlignment="1">
      <alignment horizontal="right"/>
    </xf>
    <xf numFmtId="0" fontId="38" fillId="4" borderId="2" xfId="0" applyFont="1" applyFill="1" applyBorder="1" applyAlignment="1">
      <alignment wrapText="1"/>
    </xf>
    <xf numFmtId="2" fontId="37" fillId="4" borderId="2" xfId="0" applyNumberFormat="1" applyFont="1" applyFill="1" applyBorder="1" applyAlignment="1">
      <alignment horizontal="right"/>
    </xf>
    <xf numFmtId="0" fontId="17" fillId="5" borderId="2" xfId="0" applyFont="1" applyFill="1" applyBorder="1" applyAlignment="1">
      <alignment wrapText="1"/>
    </xf>
    <xf numFmtId="0" fontId="38" fillId="5" borderId="1" xfId="0" applyFont="1" applyFill="1" applyBorder="1" applyAlignment="1">
      <alignment horizontal="center"/>
    </xf>
    <xf numFmtId="0" fontId="38" fillId="5" borderId="2" xfId="0" applyFont="1" applyFill="1" applyBorder="1" applyAlignment="1">
      <alignment wrapText="1"/>
    </xf>
    <xf numFmtId="0" fontId="37" fillId="4" borderId="2" xfId="0" applyFont="1" applyFill="1" applyBorder="1" applyAlignment="1">
      <alignment horizontal="left" wrapText="1"/>
    </xf>
    <xf numFmtId="0" fontId="37" fillId="4" borderId="0" xfId="0" applyFont="1" applyFill="1" applyBorder="1" applyAlignment="1">
      <alignment vertical="center"/>
    </xf>
    <xf numFmtId="165" fontId="37" fillId="4" borderId="2" xfId="0" applyNumberFormat="1" applyFont="1" applyFill="1" applyBorder="1" applyAlignment="1">
      <alignment horizontal="right" vertical="center"/>
    </xf>
    <xf numFmtId="164" fontId="37" fillId="4" borderId="2" xfId="0" applyNumberFormat="1" applyFont="1" applyFill="1" applyBorder="1" applyAlignment="1">
      <alignment horizontal="right" vertical="center"/>
    </xf>
    <xf numFmtId="0" fontId="30" fillId="4" borderId="2"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2" xfId="0" applyFont="1" applyFill="1" applyBorder="1" applyAlignment="1">
      <alignment horizontal="left" vertical="center" wrapText="1"/>
    </xf>
    <xf numFmtId="2" fontId="33" fillId="4" borderId="2" xfId="0" applyNumberFormat="1" applyFont="1" applyFill="1" applyBorder="1" applyAlignment="1">
      <alignment horizontal="center" vertical="center"/>
    </xf>
    <xf numFmtId="0" fontId="33" fillId="4" borderId="2" xfId="0" applyFont="1" applyFill="1" applyBorder="1" applyAlignment="1">
      <alignment vertical="center" wrapText="1"/>
    </xf>
    <xf numFmtId="0" fontId="33" fillId="4" borderId="0" xfId="0" applyFont="1" applyFill="1" applyBorder="1"/>
    <xf numFmtId="0" fontId="33" fillId="4" borderId="0" xfId="0" applyFont="1" applyFill="1" applyBorder="1" applyAlignment="1">
      <alignment horizontal="center" vertical="center"/>
    </xf>
    <xf numFmtId="0" fontId="38" fillId="4" borderId="1" xfId="0" applyFont="1" applyFill="1" applyBorder="1" applyAlignment="1">
      <alignment horizontal="center" vertical="center"/>
    </xf>
    <xf numFmtId="166" fontId="33" fillId="4" borderId="2" xfId="2" applyNumberFormat="1" applyFont="1" applyFill="1" applyBorder="1" applyAlignment="1">
      <alignment horizontal="center" vertical="center"/>
    </xf>
    <xf numFmtId="166" fontId="30" fillId="4" borderId="2" xfId="2" applyNumberFormat="1" applyFont="1" applyFill="1" applyBorder="1" applyAlignment="1">
      <alignment horizontal="center" vertical="center"/>
    </xf>
    <xf numFmtId="165" fontId="18" fillId="0" borderId="2" xfId="0" applyNumberFormat="1" applyFont="1" applyFill="1" applyBorder="1" applyAlignment="1">
      <alignment horizontal="right"/>
    </xf>
    <xf numFmtId="164" fontId="18" fillId="0" borderId="2" xfId="0" applyNumberFormat="1" applyFont="1" applyFill="1" applyBorder="1" applyAlignment="1">
      <alignment horizontal="right"/>
    </xf>
    <xf numFmtId="0" fontId="18" fillId="4" borderId="2" xfId="0" applyFont="1" applyFill="1" applyBorder="1" applyAlignment="1">
      <alignment wrapText="1"/>
    </xf>
    <xf numFmtId="0" fontId="17" fillId="0" borderId="1" xfId="0" applyFont="1" applyFill="1" applyBorder="1" applyAlignment="1">
      <alignment horizontal="center"/>
    </xf>
    <xf numFmtId="0" fontId="18" fillId="4" borderId="2" xfId="0" applyFont="1" applyFill="1" applyBorder="1" applyAlignment="1">
      <alignment vertical="center"/>
    </xf>
    <xf numFmtId="0" fontId="18" fillId="4" borderId="2" xfId="0" applyFont="1" applyFill="1" applyBorder="1" applyAlignment="1">
      <alignment horizontal="left"/>
    </xf>
    <xf numFmtId="165" fontId="17" fillId="4" borderId="2" xfId="0" applyNumberFormat="1" applyFont="1" applyFill="1" applyBorder="1" applyAlignment="1">
      <alignment horizontal="right"/>
    </xf>
    <xf numFmtId="0" fontId="17" fillId="4" borderId="2" xfId="0" applyFont="1" applyFill="1" applyBorder="1" applyAlignment="1">
      <alignment horizontal="left"/>
    </xf>
    <xf numFmtId="0" fontId="38" fillId="0" borderId="2" xfId="0" applyFont="1" applyFill="1" applyBorder="1" applyAlignment="1">
      <alignment horizontal="left" wrapText="1"/>
    </xf>
    <xf numFmtId="0" fontId="37" fillId="4" borderId="2" xfId="0" applyFont="1" applyFill="1" applyBorder="1" applyAlignment="1">
      <alignment wrapText="1"/>
    </xf>
    <xf numFmtId="164" fontId="17" fillId="0" borderId="2" xfId="0" applyNumberFormat="1" applyFont="1" applyFill="1" applyBorder="1" applyAlignment="1">
      <alignment horizontal="right"/>
    </xf>
    <xf numFmtId="165" fontId="37" fillId="0" borderId="2" xfId="0" applyNumberFormat="1" applyFont="1" applyFill="1" applyBorder="1" applyAlignment="1">
      <alignment horizontal="right"/>
    </xf>
    <xf numFmtId="164" fontId="37" fillId="0" borderId="2" xfId="0" applyNumberFormat="1" applyFont="1" applyFill="1" applyBorder="1" applyAlignment="1">
      <alignment horizontal="right"/>
    </xf>
    <xf numFmtId="0" fontId="38" fillId="0" borderId="1" xfId="0" applyFont="1" applyFill="1" applyBorder="1" applyAlignment="1">
      <alignment horizontal="center"/>
    </xf>
    <xf numFmtId="165" fontId="38" fillId="0" borderId="2" xfId="0" applyNumberFormat="1" applyFont="1" applyFill="1" applyBorder="1" applyAlignment="1">
      <alignment horizontal="right" vertical="center"/>
    </xf>
    <xf numFmtId="164" fontId="38" fillId="0" borderId="2" xfId="0" applyNumberFormat="1" applyFont="1" applyFill="1" applyBorder="1" applyAlignment="1">
      <alignment horizontal="right" vertical="center"/>
    </xf>
    <xf numFmtId="164" fontId="38" fillId="0" borderId="2" xfId="0" applyNumberFormat="1" applyFont="1" applyFill="1" applyBorder="1" applyAlignment="1">
      <alignment horizontal="right"/>
    </xf>
    <xf numFmtId="2" fontId="44" fillId="0" borderId="2" xfId="0" applyNumberFormat="1" applyFont="1" applyFill="1" applyBorder="1" applyAlignment="1">
      <alignment horizontal="right" vertical="center"/>
    </xf>
    <xf numFmtId="0" fontId="38" fillId="4" borderId="2" xfId="0" applyFont="1" applyFill="1" applyBorder="1" applyAlignment="1">
      <alignment horizontal="left"/>
    </xf>
    <xf numFmtId="165" fontId="38" fillId="4" borderId="2" xfId="0" applyNumberFormat="1" applyFont="1" applyFill="1" applyBorder="1" applyAlignment="1">
      <alignment horizontal="right" vertical="center"/>
    </xf>
    <xf numFmtId="164" fontId="38" fillId="4" borderId="2" xfId="0" applyNumberFormat="1" applyFont="1" applyFill="1" applyBorder="1" applyAlignment="1">
      <alignment horizontal="right" vertical="center"/>
    </xf>
    <xf numFmtId="2" fontId="44" fillId="4" borderId="2" xfId="0" applyNumberFormat="1" applyFont="1" applyFill="1" applyBorder="1" applyAlignment="1">
      <alignment horizontal="right" vertical="center"/>
    </xf>
    <xf numFmtId="0" fontId="38" fillId="4" borderId="0" xfId="0" applyFont="1" applyFill="1" applyBorder="1" applyAlignment="1"/>
    <xf numFmtId="165" fontId="17" fillId="4" borderId="2" xfId="0" applyNumberFormat="1" applyFont="1" applyFill="1" applyBorder="1" applyAlignment="1">
      <alignment horizontal="right" vertical="center"/>
    </xf>
    <xf numFmtId="164" fontId="17" fillId="4" borderId="2" xfId="0" applyNumberFormat="1" applyFont="1" applyFill="1" applyBorder="1" applyAlignment="1">
      <alignment horizontal="right" vertical="center"/>
    </xf>
    <xf numFmtId="165" fontId="38" fillId="4" borderId="2" xfId="0" applyNumberFormat="1" applyFont="1" applyFill="1" applyBorder="1" applyAlignment="1">
      <alignment horizontal="right"/>
    </xf>
    <xf numFmtId="0" fontId="37" fillId="4" borderId="1" xfId="0" applyFont="1" applyFill="1" applyBorder="1" applyAlignment="1">
      <alignment horizontal="center" vertical="center"/>
    </xf>
    <xf numFmtId="0" fontId="37" fillId="4" borderId="2" xfId="0" applyFont="1" applyFill="1" applyBorder="1" applyAlignment="1">
      <alignment horizontal="left" vertical="center" wrapText="1"/>
    </xf>
    <xf numFmtId="0" fontId="18" fillId="4" borderId="1" xfId="0" applyFont="1" applyFill="1" applyBorder="1" applyAlignment="1">
      <alignment horizontal="center" vertical="center"/>
    </xf>
    <xf numFmtId="164" fontId="18" fillId="4" borderId="2" xfId="0" applyNumberFormat="1" applyFont="1" applyFill="1" applyBorder="1" applyAlignment="1"/>
    <xf numFmtId="2" fontId="18" fillId="0" borderId="2" xfId="0" applyNumberFormat="1" applyFont="1" applyFill="1" applyBorder="1" applyAlignment="1" applyProtection="1"/>
    <xf numFmtId="1" fontId="18" fillId="4" borderId="2" xfId="0" applyNumberFormat="1" applyFont="1" applyFill="1" applyBorder="1" applyAlignment="1">
      <alignment horizontal="center"/>
    </xf>
    <xf numFmtId="164" fontId="17" fillId="5" borderId="2" xfId="0" applyNumberFormat="1" applyFont="1" applyFill="1" applyBorder="1" applyAlignment="1"/>
    <xf numFmtId="0" fontId="17" fillId="5" borderId="2" xfId="20" applyFont="1" applyFill="1" applyBorder="1" applyAlignment="1">
      <alignment horizontal="justify"/>
    </xf>
    <xf numFmtId="0" fontId="15" fillId="0" borderId="0" xfId="0" applyFont="1"/>
    <xf numFmtId="2" fontId="15" fillId="0" borderId="0" xfId="0" applyNumberFormat="1" applyFont="1"/>
    <xf numFmtId="0" fontId="38" fillId="4" borderId="2" xfId="0" applyFont="1" applyFill="1" applyBorder="1" applyAlignment="1">
      <alignment horizontal="left" vertical="center" wrapText="1"/>
    </xf>
    <xf numFmtId="0" fontId="33" fillId="4" borderId="17" xfId="0" applyFont="1" applyFill="1" applyBorder="1" applyAlignment="1">
      <alignment horizontal="center" vertical="center"/>
    </xf>
    <xf numFmtId="0" fontId="33" fillId="4" borderId="21" xfId="0" applyFont="1" applyFill="1" applyBorder="1" applyAlignment="1">
      <alignment vertical="center" wrapText="1"/>
    </xf>
    <xf numFmtId="0" fontId="33" fillId="4" borderId="21" xfId="0" applyFont="1" applyFill="1" applyBorder="1" applyAlignment="1">
      <alignment horizontal="center" vertical="center"/>
    </xf>
    <xf numFmtId="0" fontId="33" fillId="4" borderId="15" xfId="0" applyFont="1" applyFill="1" applyBorder="1" applyAlignment="1">
      <alignment horizontal="center" vertical="center"/>
    </xf>
    <xf numFmtId="16" fontId="0" fillId="0" borderId="0" xfId="0" applyNumberFormat="1"/>
    <xf numFmtId="165" fontId="17" fillId="0" borderId="2" xfId="0" applyNumberFormat="1" applyFont="1" applyFill="1" applyBorder="1" applyAlignment="1">
      <alignment horizontal="right"/>
    </xf>
    <xf numFmtId="0" fontId="16" fillId="0" borderId="0" xfId="0" applyFont="1" applyFill="1" applyBorder="1" applyAlignment="1"/>
    <xf numFmtId="2" fontId="33" fillId="0" borderId="2" xfId="0" applyNumberFormat="1" applyFont="1" applyFill="1" applyBorder="1" applyAlignment="1">
      <alignment horizontal="center" vertical="center"/>
    </xf>
    <xf numFmtId="2" fontId="33" fillId="0" borderId="21"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18" fillId="0" borderId="2" xfId="0" applyFont="1" applyFill="1" applyBorder="1" applyAlignment="1">
      <alignment horizontal="left"/>
    </xf>
    <xf numFmtId="164" fontId="42" fillId="4" borderId="2" xfId="0" applyNumberFormat="1" applyFont="1" applyFill="1" applyBorder="1" applyAlignment="1">
      <alignment horizontal="right"/>
    </xf>
    <xf numFmtId="0" fontId="23" fillId="5" borderId="1" xfId="0" applyFont="1" applyFill="1" applyBorder="1" applyAlignment="1">
      <alignment horizontal="center"/>
    </xf>
    <xf numFmtId="0" fontId="23" fillId="4" borderId="1" xfId="0" applyFont="1" applyFill="1" applyBorder="1" applyAlignment="1">
      <alignment horizontal="center" vertical="center"/>
    </xf>
    <xf numFmtId="165" fontId="42" fillId="4" borderId="2" xfId="0" applyNumberFormat="1" applyFont="1" applyFill="1" applyBorder="1" applyAlignment="1">
      <alignment horizontal="right"/>
    </xf>
    <xf numFmtId="0" fontId="42" fillId="4" borderId="0" xfId="0" applyFont="1" applyFill="1" applyBorder="1" applyAlignment="1">
      <alignment vertical="center"/>
    </xf>
    <xf numFmtId="164" fontId="37" fillId="7" borderId="2" xfId="0" applyNumberFormat="1" applyFont="1" applyFill="1" applyBorder="1" applyAlignment="1">
      <alignment horizontal="right"/>
    </xf>
    <xf numFmtId="2" fontId="39" fillId="0" borderId="2" xfId="0" applyNumberFormat="1" applyFont="1" applyFill="1" applyBorder="1" applyAlignment="1">
      <alignment horizontal="center" vertical="center"/>
    </xf>
    <xf numFmtId="166" fontId="39" fillId="4" borderId="2" xfId="2" applyNumberFormat="1" applyFont="1" applyFill="1" applyBorder="1" applyAlignment="1">
      <alignment horizontal="center" vertical="center"/>
    </xf>
    <xf numFmtId="2" fontId="39" fillId="4" borderId="2" xfId="0" applyNumberFormat="1" applyFont="1" applyFill="1" applyBorder="1" applyAlignment="1">
      <alignment horizontal="center" vertical="center"/>
    </xf>
    <xf numFmtId="0" fontId="18" fillId="0" borderId="0" xfId="0" applyFont="1" applyFill="1" applyBorder="1" applyAlignment="1">
      <alignment wrapText="1"/>
    </xf>
    <xf numFmtId="0" fontId="30" fillId="0" borderId="1"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left" vertical="center" wrapText="1"/>
    </xf>
    <xf numFmtId="2" fontId="33" fillId="0" borderId="2" xfId="0" applyNumberFormat="1" applyFont="1" applyBorder="1" applyAlignment="1">
      <alignment horizontal="center" vertical="center"/>
    </xf>
    <xf numFmtId="166" fontId="33" fillId="0" borderId="2" xfId="2" applyNumberFormat="1" applyFont="1" applyBorder="1" applyAlignment="1">
      <alignment horizontal="center" vertical="center"/>
    </xf>
    <xf numFmtId="166" fontId="33" fillId="0" borderId="7" xfId="2" applyNumberFormat="1" applyFont="1" applyBorder="1" applyAlignment="1">
      <alignment horizontal="center" vertical="center"/>
    </xf>
    <xf numFmtId="0" fontId="33" fillId="0" borderId="2" xfId="0" applyFont="1" applyBorder="1" applyAlignment="1">
      <alignment vertical="center" wrapText="1"/>
    </xf>
    <xf numFmtId="0" fontId="30" fillId="0" borderId="38" xfId="0" applyFont="1" applyBorder="1" applyAlignment="1">
      <alignment horizontal="center" vertical="center"/>
    </xf>
    <xf numFmtId="166" fontId="30" fillId="0" borderId="14" xfId="2" applyNumberFormat="1" applyFont="1" applyBorder="1" applyAlignment="1">
      <alignment horizontal="center" vertical="center"/>
    </xf>
    <xf numFmtId="166" fontId="30" fillId="0" borderId="9" xfId="2" applyNumberFormat="1" applyFont="1" applyBorder="1" applyAlignment="1">
      <alignment horizontal="center" vertical="center"/>
    </xf>
    <xf numFmtId="0" fontId="33" fillId="0" borderId="0" xfId="0" applyFont="1" applyBorder="1"/>
    <xf numFmtId="0" fontId="33" fillId="0" borderId="0" xfId="0" applyFont="1" applyBorder="1" applyAlignment="1">
      <alignment horizontal="center" vertical="center"/>
    </xf>
    <xf numFmtId="0" fontId="33" fillId="0" borderId="0" xfId="0" applyFont="1" applyFill="1" applyBorder="1"/>
    <xf numFmtId="165" fontId="18" fillId="4" borderId="2" xfId="0" applyNumberFormat="1" applyFont="1" applyFill="1" applyBorder="1" applyAlignment="1">
      <alignment horizontal="center"/>
    </xf>
    <xf numFmtId="2" fontId="38" fillId="4" borderId="2" xfId="0" applyNumberFormat="1" applyFont="1" applyFill="1" applyBorder="1" applyAlignment="1">
      <alignment horizontal="right"/>
    </xf>
    <xf numFmtId="0" fontId="37" fillId="7" borderId="2" xfId="0" applyFont="1" applyFill="1" applyBorder="1" applyAlignment="1">
      <alignment horizontal="left" wrapText="1"/>
    </xf>
    <xf numFmtId="0" fontId="17" fillId="0" borderId="2" xfId="0" applyFont="1" applyFill="1" applyBorder="1" applyAlignment="1">
      <alignment horizontal="left"/>
    </xf>
    <xf numFmtId="0" fontId="18" fillId="0" borderId="1" xfId="0" applyFont="1" applyFill="1" applyBorder="1" applyAlignment="1">
      <alignment horizontal="center"/>
    </xf>
    <xf numFmtId="0" fontId="45" fillId="4" borderId="2" xfId="0" applyFont="1" applyFill="1" applyBorder="1" applyAlignment="1">
      <alignment horizontal="left" vertical="center" wrapText="1"/>
    </xf>
    <xf numFmtId="0" fontId="37" fillId="4" borderId="2" xfId="0" applyFont="1" applyFill="1" applyBorder="1" applyAlignment="1">
      <alignment vertical="center" wrapText="1"/>
    </xf>
    <xf numFmtId="0" fontId="37" fillId="4" borderId="2" xfId="0" applyFont="1" applyFill="1" applyBorder="1" applyAlignment="1">
      <alignment horizontal="left" vertical="center"/>
    </xf>
    <xf numFmtId="164" fontId="37" fillId="4" borderId="2" xfId="0" applyNumberFormat="1" applyFont="1" applyFill="1" applyBorder="1" applyAlignment="1">
      <alignment horizontal="right" wrapText="1"/>
    </xf>
    <xf numFmtId="0" fontId="37" fillId="4" borderId="2" xfId="0" applyFont="1" applyFill="1" applyBorder="1" applyAlignment="1">
      <alignment horizontal="left"/>
    </xf>
    <xf numFmtId="165" fontId="47" fillId="4" borderId="2" xfId="0" applyNumberFormat="1" applyFont="1" applyFill="1" applyBorder="1" applyAlignment="1">
      <alignment horizontal="right"/>
    </xf>
    <xf numFmtId="164" fontId="47" fillId="4" borderId="2" xfId="0" applyNumberFormat="1" applyFont="1" applyFill="1" applyBorder="1" applyAlignment="1">
      <alignment horizontal="right"/>
    </xf>
    <xf numFmtId="0" fontId="48" fillId="4" borderId="1" xfId="0" applyFont="1" applyFill="1" applyBorder="1" applyAlignment="1">
      <alignment horizontal="center"/>
    </xf>
    <xf numFmtId="0" fontId="47" fillId="4" borderId="0" xfId="0" applyFont="1" applyFill="1" applyBorder="1" applyAlignment="1"/>
    <xf numFmtId="164" fontId="47" fillId="4" borderId="2" xfId="0" applyNumberFormat="1" applyFont="1" applyFill="1" applyBorder="1" applyAlignment="1">
      <alignment horizontal="right" vertical="center"/>
    </xf>
    <xf numFmtId="0" fontId="47" fillId="4" borderId="1" xfId="0" applyFont="1" applyFill="1" applyBorder="1" applyAlignment="1">
      <alignment horizontal="center"/>
    </xf>
    <xf numFmtId="165" fontId="50" fillId="4" borderId="2" xfId="0" applyNumberFormat="1" applyFont="1" applyFill="1" applyBorder="1" applyAlignment="1">
      <alignment horizontal="right"/>
    </xf>
    <xf numFmtId="164" fontId="50" fillId="4" borderId="2" xfId="0" applyNumberFormat="1" applyFont="1" applyFill="1" applyBorder="1" applyAlignment="1">
      <alignment horizontal="right"/>
    </xf>
    <xf numFmtId="0" fontId="47" fillId="4" borderId="1" xfId="0" applyFont="1" applyFill="1" applyBorder="1" applyAlignment="1">
      <alignment horizontal="center" vertical="center"/>
    </xf>
    <xf numFmtId="0" fontId="47" fillId="4" borderId="0" xfId="0" applyFont="1" applyFill="1" applyBorder="1" applyAlignment="1">
      <alignment vertical="center"/>
    </xf>
    <xf numFmtId="165" fontId="47" fillId="4" borderId="2" xfId="0" applyNumberFormat="1" applyFont="1" applyFill="1" applyBorder="1" applyAlignment="1">
      <alignment horizontal="right" vertical="center"/>
    </xf>
    <xf numFmtId="0" fontId="18" fillId="5" borderId="2" xfId="0" applyFont="1" applyFill="1" applyBorder="1" applyAlignment="1">
      <alignment horizontal="left" wrapText="1"/>
    </xf>
    <xf numFmtId="169" fontId="47" fillId="4" borderId="2" xfId="0" applyNumberFormat="1" applyFont="1" applyFill="1" applyBorder="1" applyAlignment="1">
      <alignment horizontal="right"/>
    </xf>
    <xf numFmtId="165" fontId="16" fillId="4" borderId="0" xfId="0" applyNumberFormat="1" applyFont="1" applyFill="1" applyBorder="1" applyAlignment="1"/>
    <xf numFmtId="2" fontId="49" fillId="4" borderId="2" xfId="0" applyNumberFormat="1" applyFont="1" applyFill="1" applyBorder="1" applyAlignment="1">
      <alignment horizontal="center"/>
    </xf>
    <xf numFmtId="0" fontId="50" fillId="4" borderId="0" xfId="0" applyFont="1" applyFill="1" applyBorder="1" applyAlignment="1"/>
    <xf numFmtId="0" fontId="37" fillId="4" borderId="1" xfId="0" applyFont="1" applyFill="1" applyBorder="1" applyAlignment="1">
      <alignment horizontal="center"/>
    </xf>
    <xf numFmtId="169" fontId="37" fillId="4" borderId="2" xfId="0" applyNumberFormat="1" applyFont="1" applyFill="1" applyBorder="1" applyAlignment="1">
      <alignment horizontal="right"/>
    </xf>
    <xf numFmtId="164" fontId="38" fillId="5" borderId="2" xfId="0" applyNumberFormat="1" applyFont="1" applyFill="1" applyBorder="1" applyAlignment="1"/>
    <xf numFmtId="0" fontId="38" fillId="0" borderId="2" xfId="0" applyFont="1" applyFill="1" applyBorder="1" applyAlignment="1">
      <alignment horizontal="left"/>
    </xf>
    <xf numFmtId="164" fontId="38" fillId="5" borderId="2" xfId="0" applyNumberFormat="1" applyFont="1" applyFill="1" applyBorder="1" applyAlignment="1">
      <alignment wrapText="1"/>
    </xf>
    <xf numFmtId="0" fontId="38" fillId="4" borderId="0" xfId="0" applyFont="1" applyFill="1" applyBorder="1" applyAlignment="1">
      <alignment vertical="center"/>
    </xf>
    <xf numFmtId="2" fontId="38" fillId="4" borderId="2" xfId="0" applyNumberFormat="1" applyFont="1" applyFill="1" applyBorder="1" applyAlignment="1"/>
    <xf numFmtId="2" fontId="37" fillId="4" borderId="2" xfId="0" applyNumberFormat="1" applyFont="1" applyFill="1" applyBorder="1" applyAlignment="1"/>
    <xf numFmtId="0" fontId="38" fillId="5" borderId="2" xfId="0" applyFont="1" applyFill="1" applyBorder="1" applyAlignment="1">
      <alignment horizontal="left" vertical="center" wrapText="1"/>
    </xf>
    <xf numFmtId="0" fontId="18" fillId="0" borderId="2" xfId="20" applyFont="1" applyFill="1" applyBorder="1" applyAlignment="1" applyProtection="1">
      <alignment horizontal="center" wrapText="1"/>
    </xf>
    <xf numFmtId="2" fontId="18" fillId="0" borderId="2" xfId="20" applyNumberFormat="1" applyFont="1" applyFill="1" applyBorder="1" applyAlignment="1" applyProtection="1">
      <alignment wrapText="1"/>
    </xf>
    <xf numFmtId="0" fontId="49" fillId="4" borderId="1" xfId="0" applyFont="1" applyFill="1" applyBorder="1" applyAlignment="1">
      <alignment horizontal="center"/>
    </xf>
    <xf numFmtId="0" fontId="50" fillId="4" borderId="1" xfId="0" applyFont="1" applyFill="1" applyBorder="1" applyAlignment="1">
      <alignment horizontal="center"/>
    </xf>
    <xf numFmtId="0" fontId="50" fillId="4" borderId="1" xfId="0" applyFont="1" applyFill="1" applyBorder="1" applyAlignment="1">
      <alignment horizontal="center" vertical="center"/>
    </xf>
    <xf numFmtId="0" fontId="50" fillId="4" borderId="0" xfId="0" applyFont="1" applyFill="1" applyBorder="1" applyAlignment="1">
      <alignment vertical="center"/>
    </xf>
    <xf numFmtId="0" fontId="21" fillId="0" borderId="2" xfId="20" applyFont="1" applyFill="1" applyBorder="1" applyAlignment="1" applyProtection="1">
      <alignment vertical="top" wrapText="1"/>
    </xf>
    <xf numFmtId="0" fontId="21" fillId="4" borderId="2" xfId="0" applyFont="1" applyFill="1" applyBorder="1" applyAlignment="1">
      <alignment horizontal="left" vertical="center" wrapText="1"/>
    </xf>
    <xf numFmtId="0" fontId="18" fillId="4" borderId="2" xfId="0" applyNumberFormat="1" applyFont="1" applyFill="1" applyBorder="1" applyAlignment="1" applyProtection="1">
      <alignment horizontal="center" wrapText="1"/>
    </xf>
    <xf numFmtId="0" fontId="18" fillId="0" borderId="2" xfId="0" applyNumberFormat="1" applyFont="1" applyFill="1" applyBorder="1" applyAlignment="1" applyProtection="1">
      <alignment horizontal="center" wrapText="1"/>
    </xf>
    <xf numFmtId="0" fontId="17" fillId="4" borderId="2" xfId="0" applyNumberFormat="1" applyFont="1" applyFill="1" applyBorder="1" applyAlignment="1" applyProtection="1">
      <alignment horizontal="center" wrapText="1"/>
    </xf>
    <xf numFmtId="0" fontId="38" fillId="6" borderId="1" xfId="0" applyFont="1" applyFill="1" applyBorder="1" applyAlignment="1">
      <alignment horizontal="center"/>
    </xf>
    <xf numFmtId="0" fontId="38" fillId="6" borderId="2" xfId="0" applyFont="1" applyFill="1" applyBorder="1" applyAlignment="1">
      <alignment wrapText="1"/>
    </xf>
    <xf numFmtId="165" fontId="37" fillId="6" borderId="2" xfId="0" applyNumberFormat="1" applyFont="1" applyFill="1" applyBorder="1" applyAlignment="1">
      <alignment horizontal="right"/>
    </xf>
    <xf numFmtId="164" fontId="37" fillId="6" borderId="2" xfId="0" applyNumberFormat="1" applyFont="1" applyFill="1" applyBorder="1" applyAlignment="1">
      <alignment horizontal="right"/>
    </xf>
    <xf numFmtId="0" fontId="38" fillId="6" borderId="2" xfId="0" applyFont="1" applyFill="1" applyBorder="1" applyAlignment="1">
      <alignment horizontal="left" wrapText="1"/>
    </xf>
    <xf numFmtId="0" fontId="17" fillId="0" borderId="2" xfId="13" applyFont="1" applyBorder="1" applyAlignment="1">
      <alignment horizontal="center" vertical="top"/>
    </xf>
    <xf numFmtId="0" fontId="17" fillId="0" borderId="2" xfId="13" applyFont="1" applyBorder="1" applyAlignment="1">
      <alignment horizontal="center" vertical="top" wrapText="1"/>
    </xf>
    <xf numFmtId="0" fontId="17" fillId="4" borderId="2" xfId="13" applyFont="1" applyFill="1" applyBorder="1" applyAlignment="1">
      <alignment horizontal="center" vertical="center"/>
    </xf>
    <xf numFmtId="0" fontId="18" fillId="4" borderId="2" xfId="13" applyNumberFormat="1" applyFont="1" applyFill="1" applyBorder="1" applyAlignment="1">
      <alignment horizontal="center" vertical="center"/>
    </xf>
    <xf numFmtId="14" fontId="18" fillId="4" borderId="2" xfId="13" applyNumberFormat="1" applyFont="1" applyFill="1" applyBorder="1" applyAlignment="1">
      <alignment horizontal="center" vertical="center"/>
    </xf>
    <xf numFmtId="0" fontId="20" fillId="4" borderId="2" xfId="13" applyNumberFormat="1" applyFont="1" applyFill="1" applyBorder="1" applyAlignment="1">
      <alignment horizontal="center" vertical="center"/>
    </xf>
    <xf numFmtId="0" fontId="17" fillId="5" borderId="2" xfId="13" applyFont="1" applyFill="1" applyBorder="1"/>
    <xf numFmtId="0" fontId="17" fillId="4" borderId="2" xfId="13" applyFont="1" applyFill="1" applyBorder="1" applyAlignment="1">
      <alignment horizontal="center" vertical="center" wrapText="1"/>
    </xf>
    <xf numFmtId="0" fontId="18" fillId="0" borderId="0" xfId="13" applyFont="1" applyAlignment="1">
      <alignment vertical="center"/>
    </xf>
    <xf numFmtId="2" fontId="18" fillId="4" borderId="2" xfId="13" applyNumberFormat="1" applyFont="1" applyFill="1" applyBorder="1" applyAlignment="1">
      <alignment horizontal="center"/>
    </xf>
    <xf numFmtId="164" fontId="18" fillId="4" borderId="2" xfId="13" applyNumberFormat="1" applyFont="1" applyFill="1" applyBorder="1" applyAlignment="1">
      <alignment horizontal="center"/>
    </xf>
    <xf numFmtId="0" fontId="17" fillId="0" borderId="2" xfId="13" applyFont="1" applyBorder="1" applyAlignment="1">
      <alignment horizontal="center" vertical="center" wrapText="1"/>
    </xf>
    <xf numFmtId="0" fontId="17" fillId="0" borderId="2" xfId="13" applyFont="1" applyBorder="1"/>
    <xf numFmtId="164" fontId="18" fillId="5" borderId="2" xfId="0" applyNumberFormat="1" applyFont="1" applyFill="1" applyBorder="1" applyAlignment="1">
      <alignment horizontal="right"/>
    </xf>
    <xf numFmtId="165" fontId="18" fillId="5" borderId="2" xfId="0" applyNumberFormat="1" applyFont="1" applyFill="1" applyBorder="1" applyAlignment="1">
      <alignment horizontal="right"/>
    </xf>
    <xf numFmtId="164" fontId="42" fillId="5" borderId="2" xfId="0" applyNumberFormat="1" applyFont="1" applyFill="1" applyBorder="1" applyAlignment="1">
      <alignment horizontal="right"/>
    </xf>
    <xf numFmtId="165" fontId="42" fillId="0" borderId="2" xfId="0" applyNumberFormat="1" applyFont="1" applyFill="1" applyBorder="1" applyAlignment="1">
      <alignment horizontal="right"/>
    </xf>
    <xf numFmtId="164" fontId="42" fillId="0" borderId="2" xfId="0" applyNumberFormat="1" applyFont="1" applyFill="1" applyBorder="1" applyAlignment="1">
      <alignment horizontal="right"/>
    </xf>
    <xf numFmtId="164" fontId="47" fillId="4" borderId="0" xfId="0" applyNumberFormat="1" applyFont="1" applyFill="1" applyBorder="1" applyAlignment="1"/>
    <xf numFmtId="164" fontId="37" fillId="5" borderId="2" xfId="0" applyNumberFormat="1" applyFont="1" applyFill="1" applyBorder="1" applyAlignment="1">
      <alignment horizontal="right"/>
    </xf>
    <xf numFmtId="164" fontId="43" fillId="0" borderId="2" xfId="0" applyNumberFormat="1" applyFont="1" applyFill="1" applyBorder="1" applyAlignment="1">
      <alignment horizontal="right"/>
    </xf>
    <xf numFmtId="165" fontId="37" fillId="5" borderId="2" xfId="0" applyNumberFormat="1" applyFont="1" applyFill="1" applyBorder="1" applyAlignment="1">
      <alignment horizontal="right"/>
    </xf>
    <xf numFmtId="0" fontId="17" fillId="0" borderId="2" xfId="0" applyFont="1" applyFill="1" applyBorder="1" applyAlignment="1">
      <alignment horizontal="left" wrapText="1"/>
    </xf>
    <xf numFmtId="0" fontId="51" fillId="0" borderId="1" xfId="0" applyFont="1" applyFill="1" applyBorder="1" applyAlignment="1">
      <alignment horizontal="center"/>
    </xf>
    <xf numFmtId="164" fontId="51" fillId="0" borderId="2" xfId="0" applyNumberFormat="1" applyFont="1" applyFill="1" applyBorder="1" applyAlignment="1">
      <alignment horizontal="right"/>
    </xf>
    <xf numFmtId="0" fontId="52" fillId="0" borderId="1" xfId="0" applyFont="1" applyFill="1" applyBorder="1" applyAlignment="1">
      <alignment horizontal="center"/>
    </xf>
    <xf numFmtId="164" fontId="51" fillId="4" borderId="2" xfId="0" applyNumberFormat="1" applyFont="1" applyFill="1" applyBorder="1" applyAlignment="1">
      <alignment horizontal="right"/>
    </xf>
    <xf numFmtId="0" fontId="51" fillId="4" borderId="0" xfId="0" applyFont="1" applyFill="1" applyBorder="1" applyAlignment="1"/>
    <xf numFmtId="0" fontId="51" fillId="4" borderId="1" xfId="0" applyFont="1" applyFill="1" applyBorder="1" applyAlignment="1">
      <alignment horizontal="center"/>
    </xf>
    <xf numFmtId="164" fontId="53" fillId="4" borderId="2" xfId="0" applyNumberFormat="1" applyFont="1" applyFill="1" applyBorder="1" applyAlignment="1">
      <alignment horizontal="right"/>
    </xf>
    <xf numFmtId="0" fontId="20" fillId="4" borderId="0" xfId="0" applyFont="1" applyFill="1" applyBorder="1" applyAlignment="1"/>
    <xf numFmtId="164" fontId="53" fillId="5" borderId="2" xfId="0" applyNumberFormat="1" applyFont="1" applyFill="1" applyBorder="1" applyAlignment="1">
      <alignment horizontal="right"/>
    </xf>
    <xf numFmtId="0" fontId="55" fillId="4" borderId="2" xfId="0" applyFont="1" applyFill="1" applyBorder="1" applyAlignment="1">
      <alignment horizontal="left" wrapText="1"/>
    </xf>
    <xf numFmtId="0" fontId="38" fillId="0" borderId="2" xfId="0" applyFont="1" applyFill="1" applyBorder="1" applyAlignment="1">
      <alignment horizontal="left" vertical="center"/>
    </xf>
    <xf numFmtId="164" fontId="38" fillId="5" borderId="2" xfId="0" applyNumberFormat="1" applyFont="1" applyFill="1" applyBorder="1" applyAlignment="1">
      <alignment vertical="center"/>
    </xf>
    <xf numFmtId="0" fontId="38" fillId="5" borderId="2" xfId="0" applyFont="1" applyFill="1" applyBorder="1" applyAlignment="1">
      <alignment horizontal="left" wrapText="1"/>
    </xf>
    <xf numFmtId="2" fontId="38" fillId="4" borderId="2" xfId="0" applyNumberFormat="1" applyFont="1" applyFill="1" applyBorder="1" applyAlignment="1">
      <alignment horizontal="center"/>
    </xf>
    <xf numFmtId="2" fontId="37" fillId="4" borderId="2" xfId="0" applyNumberFormat="1" applyFont="1" applyFill="1" applyBorder="1" applyAlignment="1">
      <alignment horizontal="left"/>
    </xf>
    <xf numFmtId="166" fontId="28" fillId="0" borderId="0" xfId="13" applyNumberFormat="1" applyFont="1"/>
    <xf numFmtId="165" fontId="17" fillId="0" borderId="2" xfId="0" applyNumberFormat="1" applyFont="1" applyFill="1" applyBorder="1" applyAlignment="1"/>
    <xf numFmtId="2" fontId="17" fillId="0" borderId="2" xfId="0" applyNumberFormat="1" applyFont="1" applyFill="1" applyBorder="1" applyAlignment="1">
      <alignment horizontal="right"/>
    </xf>
    <xf numFmtId="164" fontId="18" fillId="7" borderId="2" xfId="0" applyNumberFormat="1" applyFont="1" applyFill="1" applyBorder="1" applyAlignment="1">
      <alignment horizontal="right"/>
    </xf>
    <xf numFmtId="165" fontId="18" fillId="7" borderId="2" xfId="0" applyNumberFormat="1" applyFont="1" applyFill="1" applyBorder="1" applyAlignment="1">
      <alignment horizontal="right"/>
    </xf>
    <xf numFmtId="165" fontId="18" fillId="14" borderId="2" xfId="0" applyNumberFormat="1" applyFont="1" applyFill="1" applyBorder="1" applyAlignment="1">
      <alignment horizontal="right"/>
    </xf>
    <xf numFmtId="165" fontId="18" fillId="7" borderId="13" xfId="0" applyNumberFormat="1" applyFont="1" applyFill="1" applyBorder="1" applyAlignment="1">
      <alignment horizontal="right"/>
    </xf>
    <xf numFmtId="164" fontId="18" fillId="7" borderId="13" xfId="0" applyNumberFormat="1" applyFont="1" applyFill="1" applyBorder="1" applyAlignment="1">
      <alignment horizontal="right"/>
    </xf>
    <xf numFmtId="164" fontId="18" fillId="7" borderId="2" xfId="0" applyNumberFormat="1" applyFont="1" applyFill="1" applyBorder="1" applyAlignment="1">
      <alignment horizontal="right" vertical="center"/>
    </xf>
    <xf numFmtId="165" fontId="18" fillId="0" borderId="2" xfId="0" applyNumberFormat="1" applyFont="1" applyFill="1" applyBorder="1" applyAlignment="1">
      <alignment horizontal="right" vertical="center"/>
    </xf>
    <xf numFmtId="164" fontId="18" fillId="0" borderId="2" xfId="0" applyNumberFormat="1" applyFont="1" applyFill="1" applyBorder="1" applyAlignment="1">
      <alignment horizontal="right" vertical="center"/>
    </xf>
    <xf numFmtId="0" fontId="18" fillId="7" borderId="2" xfId="0" applyFont="1" applyFill="1" applyBorder="1" applyAlignment="1"/>
    <xf numFmtId="2" fontId="18" fillId="7" borderId="2" xfId="0" applyNumberFormat="1" applyFont="1" applyFill="1" applyBorder="1" applyAlignment="1"/>
    <xf numFmtId="164" fontId="18" fillId="7" borderId="2" xfId="0" applyNumberFormat="1" applyFont="1" applyFill="1" applyBorder="1" applyAlignment="1"/>
    <xf numFmtId="165" fontId="18" fillId="0" borderId="2" xfId="0" applyNumberFormat="1" applyFont="1" applyFill="1" applyBorder="1" applyAlignment="1"/>
    <xf numFmtId="164" fontId="18" fillId="0" borderId="2" xfId="0" applyNumberFormat="1" applyFont="1" applyFill="1" applyBorder="1" applyAlignment="1"/>
    <xf numFmtId="165" fontId="20" fillId="0" borderId="2" xfId="0" applyNumberFormat="1" applyFont="1" applyFill="1" applyBorder="1" applyAlignment="1">
      <alignment horizontal="right"/>
    </xf>
    <xf numFmtId="164" fontId="20" fillId="0" borderId="2" xfId="0" applyNumberFormat="1" applyFont="1" applyFill="1" applyBorder="1" applyAlignment="1">
      <alignment horizontal="right"/>
    </xf>
    <xf numFmtId="0" fontId="23" fillId="4" borderId="2" xfId="0" applyFont="1" applyFill="1" applyBorder="1" applyAlignment="1">
      <alignment horizontal="left" wrapText="1"/>
    </xf>
    <xf numFmtId="165" fontId="18" fillId="0" borderId="2" xfId="0" applyNumberFormat="1" applyFont="1" applyFill="1" applyBorder="1" applyAlignment="1">
      <alignment horizontal="center"/>
    </xf>
    <xf numFmtId="1" fontId="18" fillId="0" borderId="2" xfId="0" applyNumberFormat="1" applyFont="1" applyFill="1" applyBorder="1" applyAlignment="1">
      <alignment horizontal="right"/>
    </xf>
    <xf numFmtId="164" fontId="20" fillId="4" borderId="2" xfId="0" applyNumberFormat="1" applyFont="1" applyFill="1" applyBorder="1" applyAlignment="1">
      <alignment horizontal="right"/>
    </xf>
    <xf numFmtId="164" fontId="20" fillId="7" borderId="2" xfId="0" applyNumberFormat="1" applyFont="1" applyFill="1" applyBorder="1" applyAlignment="1">
      <alignment horizontal="right"/>
    </xf>
    <xf numFmtId="165" fontId="20" fillId="0" borderId="2" xfId="0" applyNumberFormat="1" applyFont="1" applyFill="1" applyBorder="1" applyAlignment="1">
      <alignment horizontal="right" vertical="center"/>
    </xf>
    <xf numFmtId="164" fontId="20" fillId="0" borderId="2" xfId="0" applyNumberFormat="1" applyFont="1" applyFill="1" applyBorder="1" applyAlignment="1">
      <alignment horizontal="right" vertical="center"/>
    </xf>
    <xf numFmtId="165" fontId="37" fillId="0" borderId="2" xfId="0" applyNumberFormat="1" applyFont="1" applyFill="1" applyBorder="1" applyAlignment="1">
      <alignment horizontal="right" vertical="center"/>
    </xf>
    <xf numFmtId="164" fontId="37" fillId="0" borderId="2" xfId="0" applyNumberFormat="1" applyFont="1" applyFill="1" applyBorder="1" applyAlignment="1">
      <alignment horizontal="right" vertical="center"/>
    </xf>
    <xf numFmtId="165" fontId="50" fillId="0" borderId="2" xfId="0" applyNumberFormat="1" applyFont="1" applyFill="1" applyBorder="1" applyAlignment="1">
      <alignment horizontal="right"/>
    </xf>
    <xf numFmtId="164" fontId="50" fillId="0" borderId="2" xfId="0" applyNumberFormat="1" applyFont="1" applyFill="1" applyBorder="1" applyAlignment="1">
      <alignment horizontal="right"/>
    </xf>
    <xf numFmtId="164" fontId="37" fillId="7" borderId="2" xfId="0" applyNumberFormat="1" applyFont="1" applyFill="1" applyBorder="1" applyAlignment="1">
      <alignment horizontal="right" vertical="center"/>
    </xf>
    <xf numFmtId="0" fontId="38" fillId="7" borderId="2" xfId="0" applyFont="1" applyFill="1" applyBorder="1" applyAlignment="1">
      <alignment horizontal="left" wrapText="1"/>
    </xf>
    <xf numFmtId="165" fontId="37" fillId="7" borderId="2" xfId="0" applyNumberFormat="1" applyFont="1" applyFill="1" applyBorder="1" applyAlignment="1">
      <alignment horizontal="right"/>
    </xf>
    <xf numFmtId="2" fontId="38" fillId="7" borderId="2" xfId="0" applyNumberFormat="1" applyFont="1" applyFill="1" applyBorder="1" applyAlignment="1">
      <alignment horizontal="right"/>
    </xf>
    <xf numFmtId="165" fontId="37" fillId="0" borderId="2" xfId="0" applyNumberFormat="1" applyFont="1" applyFill="1" applyBorder="1" applyAlignment="1">
      <alignment horizontal="center"/>
    </xf>
    <xf numFmtId="2" fontId="37" fillId="0" borderId="2" xfId="0" applyNumberFormat="1" applyFont="1" applyFill="1" applyBorder="1" applyAlignment="1">
      <alignment horizontal="center"/>
    </xf>
    <xf numFmtId="2" fontId="37" fillId="7" borderId="2" xfId="0" applyNumberFormat="1" applyFont="1" applyFill="1" applyBorder="1" applyAlignment="1">
      <alignment horizontal="center"/>
    </xf>
    <xf numFmtId="165" fontId="37" fillId="0" borderId="2" xfId="0" applyNumberFormat="1" applyFont="1" applyFill="1" applyBorder="1" applyAlignment="1">
      <alignment horizontal="center" vertical="center"/>
    </xf>
    <xf numFmtId="165" fontId="37" fillId="7" borderId="2" xfId="0" applyNumberFormat="1" applyFont="1" applyFill="1" applyBorder="1" applyAlignment="1"/>
    <xf numFmtId="164" fontId="0" fillId="0" borderId="0" xfId="0" applyNumberFormat="1"/>
    <xf numFmtId="1" fontId="0" fillId="0" borderId="0" xfId="0" applyNumberFormat="1" applyAlignment="1">
      <alignment horizontal="center"/>
    </xf>
    <xf numFmtId="164" fontId="17" fillId="4" borderId="0" xfId="0" applyNumberFormat="1" applyFont="1" applyFill="1" applyBorder="1" applyAlignment="1">
      <alignment vertical="center"/>
    </xf>
    <xf numFmtId="0" fontId="17" fillId="4" borderId="0" xfId="0" applyFont="1" applyFill="1" applyBorder="1" applyAlignment="1">
      <alignment horizontal="left" wrapText="1"/>
    </xf>
    <xf numFmtId="0" fontId="18" fillId="0" borderId="0" xfId="0" applyFont="1" applyFill="1" applyBorder="1" applyAlignment="1">
      <alignment vertical="center"/>
    </xf>
    <xf numFmtId="0" fontId="17" fillId="4" borderId="2" xfId="0" applyFont="1" applyFill="1" applyBorder="1" applyAlignment="1">
      <alignment wrapText="1"/>
    </xf>
    <xf numFmtId="1" fontId="18" fillId="7" borderId="2" xfId="0" applyNumberFormat="1" applyFont="1" applyFill="1" applyBorder="1" applyAlignment="1">
      <alignment horizontal="center"/>
    </xf>
    <xf numFmtId="0" fontId="16" fillId="5" borderId="2" xfId="0" applyFont="1" applyFill="1" applyBorder="1" applyAlignment="1">
      <alignment wrapText="1"/>
    </xf>
    <xf numFmtId="1" fontId="23" fillId="4" borderId="2" xfId="0" applyNumberFormat="1" applyFont="1" applyFill="1" applyBorder="1" applyAlignment="1">
      <alignment horizontal="center"/>
    </xf>
    <xf numFmtId="165" fontId="23" fillId="4" borderId="2" xfId="0" applyNumberFormat="1" applyFont="1" applyFill="1" applyBorder="1" applyAlignment="1"/>
    <xf numFmtId="165" fontId="23" fillId="4" borderId="2" xfId="0" applyNumberFormat="1" applyFont="1" applyFill="1" applyBorder="1" applyAlignment="1">
      <alignment horizontal="center"/>
    </xf>
    <xf numFmtId="2" fontId="23" fillId="4" borderId="2" xfId="0" applyNumberFormat="1" applyFont="1" applyFill="1" applyBorder="1" applyAlignment="1">
      <alignment horizontal="right"/>
    </xf>
    <xf numFmtId="164" fontId="17" fillId="4" borderId="2" xfId="0" applyNumberFormat="1" applyFont="1" applyFill="1" applyBorder="1" applyAlignment="1">
      <alignment wrapText="1"/>
    </xf>
    <xf numFmtId="2" fontId="17" fillId="4" borderId="2" xfId="0" applyNumberFormat="1" applyFont="1" applyFill="1" applyBorder="1" applyAlignment="1">
      <alignment horizontal="right"/>
    </xf>
    <xf numFmtId="2" fontId="17" fillId="0" borderId="2" xfId="0" applyNumberFormat="1" applyFont="1" applyBorder="1" applyAlignment="1">
      <alignment horizontal="right" vertical="center"/>
    </xf>
    <xf numFmtId="1" fontId="18" fillId="0" borderId="2" xfId="0" applyNumberFormat="1" applyFont="1" applyBorder="1" applyAlignment="1">
      <alignment horizontal="center" vertical="center"/>
    </xf>
    <xf numFmtId="2" fontId="18" fillId="0" borderId="2" xfId="0" applyNumberFormat="1" applyFont="1" applyBorder="1" applyAlignment="1">
      <alignment horizontal="right" vertical="center"/>
    </xf>
    <xf numFmtId="164" fontId="18" fillId="0" borderId="2" xfId="0" applyNumberFormat="1" applyFont="1" applyBorder="1" applyAlignment="1">
      <alignment horizontal="right" vertical="center"/>
    </xf>
    <xf numFmtId="165" fontId="18" fillId="4" borderId="2" xfId="0" applyNumberFormat="1" applyFont="1" applyFill="1" applyBorder="1" applyAlignment="1">
      <alignment horizontal="center" vertical="center"/>
    </xf>
    <xf numFmtId="164" fontId="18" fillId="4" borderId="2" xfId="0" applyNumberFormat="1" applyFont="1" applyFill="1" applyBorder="1" applyAlignment="1">
      <alignment horizontal="right" wrapText="1"/>
    </xf>
    <xf numFmtId="165" fontId="18" fillId="4" borderId="13" xfId="0" applyNumberFormat="1" applyFont="1" applyFill="1" applyBorder="1" applyAlignment="1">
      <alignment horizontal="center"/>
    </xf>
    <xf numFmtId="0" fontId="42" fillId="4" borderId="0" xfId="0" applyFont="1" applyFill="1" applyBorder="1" applyAlignment="1"/>
    <xf numFmtId="0" fontId="23" fillId="4" borderId="1" xfId="0" applyFont="1" applyFill="1" applyBorder="1" applyAlignment="1">
      <alignment horizontal="center"/>
    </xf>
    <xf numFmtId="0" fontId="42" fillId="4" borderId="2" xfId="0" applyFont="1" applyFill="1" applyBorder="1" applyAlignment="1">
      <alignment horizontal="left" wrapText="1"/>
    </xf>
    <xf numFmtId="164" fontId="28" fillId="4" borderId="2" xfId="0" applyNumberFormat="1" applyFont="1" applyFill="1" applyBorder="1" applyAlignment="1">
      <alignment horizontal="right"/>
    </xf>
    <xf numFmtId="2" fontId="18" fillId="4" borderId="0" xfId="0" applyNumberFormat="1" applyFont="1" applyFill="1" applyBorder="1" applyAlignment="1"/>
    <xf numFmtId="0" fontId="56" fillId="4" borderId="0" xfId="0" applyFont="1" applyFill="1" applyBorder="1" applyAlignment="1"/>
    <xf numFmtId="165" fontId="56" fillId="4" borderId="2" xfId="0" applyNumberFormat="1" applyFont="1" applyFill="1" applyBorder="1" applyAlignment="1">
      <alignment horizontal="right"/>
    </xf>
    <xf numFmtId="164" fontId="56" fillId="4" borderId="2" xfId="0" applyNumberFormat="1" applyFont="1" applyFill="1" applyBorder="1" applyAlignment="1">
      <alignment horizontal="right"/>
    </xf>
    <xf numFmtId="0" fontId="20" fillId="4" borderId="2" xfId="0" applyFont="1" applyFill="1" applyBorder="1" applyAlignment="1">
      <alignment horizontal="left" wrapText="1"/>
    </xf>
    <xf numFmtId="165" fontId="20" fillId="4" borderId="2" xfId="0" applyNumberFormat="1" applyFont="1" applyFill="1" applyBorder="1" applyAlignment="1">
      <alignment horizontal="right"/>
    </xf>
    <xf numFmtId="2" fontId="20" fillId="4" borderId="2" xfId="0" applyNumberFormat="1" applyFont="1" applyFill="1" applyBorder="1" applyAlignment="1">
      <alignment horizontal="right"/>
    </xf>
    <xf numFmtId="0" fontId="57" fillId="4" borderId="2" xfId="0" applyFont="1" applyFill="1" applyBorder="1" applyAlignment="1">
      <alignment horizontal="left" wrapText="1"/>
    </xf>
    <xf numFmtId="0" fontId="19" fillId="4" borderId="1" xfId="0" applyFont="1" applyFill="1" applyBorder="1" applyAlignment="1">
      <alignment horizontal="center"/>
    </xf>
    <xf numFmtId="0" fontId="19" fillId="4" borderId="2" xfId="0" applyFont="1" applyFill="1" applyBorder="1" applyAlignment="1">
      <alignment horizontal="left" wrapText="1"/>
    </xf>
    <xf numFmtId="169" fontId="56" fillId="4" borderId="2" xfId="0" applyNumberFormat="1" applyFont="1" applyFill="1" applyBorder="1" applyAlignment="1">
      <alignment horizontal="right"/>
    </xf>
    <xf numFmtId="169" fontId="18" fillId="4" borderId="2" xfId="0" applyNumberFormat="1" applyFont="1" applyFill="1" applyBorder="1" applyAlignment="1">
      <alignment horizontal="right"/>
    </xf>
    <xf numFmtId="0" fontId="23" fillId="4" borderId="2" xfId="0" applyFont="1" applyFill="1" applyBorder="1" applyAlignment="1">
      <alignment wrapText="1"/>
    </xf>
    <xf numFmtId="169" fontId="18" fillId="4" borderId="0" xfId="0" applyNumberFormat="1" applyFont="1" applyFill="1" applyBorder="1" applyAlignment="1"/>
    <xf numFmtId="0" fontId="17" fillId="0" borderId="1" xfId="0" applyFont="1" applyFill="1" applyBorder="1" applyAlignment="1">
      <alignment horizontal="center" vertical="center"/>
    </xf>
    <xf numFmtId="2" fontId="17" fillId="4" borderId="2" xfId="0" applyNumberFormat="1" applyFont="1" applyFill="1" applyBorder="1" applyAlignment="1">
      <alignment horizontal="center"/>
    </xf>
    <xf numFmtId="0" fontId="17" fillId="7" borderId="2" xfId="0" applyFont="1" applyFill="1" applyBorder="1" applyAlignment="1">
      <alignment horizontal="left" wrapText="1"/>
    </xf>
    <xf numFmtId="0" fontId="18" fillId="7" borderId="2" xfId="0" applyFont="1" applyFill="1" applyBorder="1" applyAlignment="1">
      <alignment horizontal="left" wrapText="1"/>
    </xf>
    <xf numFmtId="2" fontId="18" fillId="5" borderId="2" xfId="0" applyNumberFormat="1" applyFont="1" applyFill="1" applyBorder="1" applyAlignment="1">
      <alignment horizontal="right"/>
    </xf>
    <xf numFmtId="0" fontId="17" fillId="6" borderId="2" xfId="0" applyFont="1" applyFill="1" applyBorder="1" applyAlignment="1">
      <alignment horizontal="left" wrapText="1"/>
    </xf>
    <xf numFmtId="165" fontId="18" fillId="6" borderId="2" xfId="0" applyNumberFormat="1" applyFont="1" applyFill="1" applyBorder="1" applyAlignment="1">
      <alignment horizontal="right"/>
    </xf>
    <xf numFmtId="164" fontId="18" fillId="6" borderId="2" xfId="0" applyNumberFormat="1" applyFont="1" applyFill="1" applyBorder="1" applyAlignment="1">
      <alignment horizontal="right"/>
    </xf>
    <xf numFmtId="0" fontId="18" fillId="6" borderId="2" xfId="0" applyFont="1" applyFill="1" applyBorder="1" applyAlignment="1">
      <alignment horizontal="left" wrapText="1"/>
    </xf>
    <xf numFmtId="0" fontId="18" fillId="6" borderId="2" xfId="0" applyFont="1" applyFill="1" applyBorder="1" applyAlignment="1">
      <alignment horizontal="left" vertical="center" wrapText="1"/>
    </xf>
    <xf numFmtId="165" fontId="18" fillId="6" borderId="2" xfId="0" applyNumberFormat="1" applyFont="1" applyFill="1" applyBorder="1" applyAlignment="1">
      <alignment horizontal="right" vertical="center"/>
    </xf>
    <xf numFmtId="164" fontId="18" fillId="6" borderId="2" xfId="0" applyNumberFormat="1" applyFont="1" applyFill="1" applyBorder="1" applyAlignment="1">
      <alignment horizontal="right" vertical="center"/>
    </xf>
    <xf numFmtId="0" fontId="20" fillId="4" borderId="1" xfId="0" applyFont="1" applyFill="1" applyBorder="1" applyAlignment="1">
      <alignment horizontal="center" vertical="center"/>
    </xf>
    <xf numFmtId="0" fontId="17" fillId="4" borderId="2" xfId="0" applyFont="1" applyFill="1" applyBorder="1" applyAlignment="1">
      <alignment horizontal="left" vertical="center" wrapText="1" indent="2"/>
    </xf>
    <xf numFmtId="0" fontId="18" fillId="4" borderId="2" xfId="0" applyFont="1" applyFill="1" applyBorder="1" applyAlignment="1">
      <alignment horizontal="left" vertical="center" wrapText="1" indent="2"/>
    </xf>
    <xf numFmtId="0" fontId="17" fillId="4" borderId="2" xfId="20" applyFont="1" applyFill="1" applyBorder="1" applyAlignment="1">
      <alignment horizontal="justify"/>
    </xf>
    <xf numFmtId="2" fontId="17" fillId="4" borderId="1" xfId="0" applyNumberFormat="1" applyFont="1" applyFill="1" applyBorder="1" applyAlignment="1">
      <alignment horizontal="center"/>
    </xf>
    <xf numFmtId="0" fontId="19" fillId="4" borderId="2" xfId="0" applyFont="1" applyFill="1" applyBorder="1" applyAlignment="1">
      <alignment horizontal="left"/>
    </xf>
    <xf numFmtId="0" fontId="59" fillId="4" borderId="0" xfId="0" applyFont="1" applyFill="1" applyBorder="1" applyAlignment="1"/>
    <xf numFmtId="0" fontId="60" fillId="4" borderId="1" xfId="0" applyFont="1" applyFill="1" applyBorder="1" applyAlignment="1">
      <alignment horizontal="center"/>
    </xf>
    <xf numFmtId="165" fontId="53" fillId="4" borderId="2" xfId="0" applyNumberFormat="1" applyFont="1" applyFill="1" applyBorder="1" applyAlignment="1">
      <alignment horizontal="right"/>
    </xf>
    <xf numFmtId="0" fontId="60" fillId="4" borderId="2" xfId="0" applyFont="1" applyFill="1" applyBorder="1" applyAlignment="1">
      <alignment horizontal="left" wrapText="1"/>
    </xf>
    <xf numFmtId="0" fontId="53" fillId="4" borderId="2" xfId="0" applyFont="1" applyFill="1" applyBorder="1" applyAlignment="1">
      <alignment horizontal="left" wrapText="1"/>
    </xf>
    <xf numFmtId="2" fontId="18" fillId="0" borderId="2" xfId="0" applyNumberFormat="1" applyFont="1" applyFill="1" applyBorder="1" applyAlignment="1">
      <alignment horizontal="right"/>
    </xf>
    <xf numFmtId="0" fontId="18" fillId="6" borderId="1" xfId="0" applyFont="1" applyFill="1" applyBorder="1" applyAlignment="1">
      <alignment horizontal="center"/>
    </xf>
    <xf numFmtId="0" fontId="18" fillId="6" borderId="0" xfId="0" applyFont="1" applyFill="1" applyBorder="1" applyAlignment="1"/>
    <xf numFmtId="0" fontId="18" fillId="5" borderId="2" xfId="0" applyFont="1" applyFill="1" applyBorder="1" applyAlignment="1">
      <alignment horizontal="left"/>
    </xf>
    <xf numFmtId="0" fontId="23" fillId="5" borderId="2" xfId="0" applyFont="1" applyFill="1" applyBorder="1" applyAlignment="1">
      <alignment horizontal="left" wrapText="1"/>
    </xf>
    <xf numFmtId="0" fontId="18" fillId="7" borderId="2" xfId="0" applyFont="1" applyFill="1" applyBorder="1" applyAlignment="1">
      <alignment wrapText="1"/>
    </xf>
    <xf numFmtId="0" fontId="23" fillId="5" borderId="2" xfId="0" applyFont="1" applyFill="1" applyBorder="1" applyAlignment="1">
      <alignment horizontal="left" vertical="center" wrapText="1"/>
    </xf>
    <xf numFmtId="165" fontId="42" fillId="4" borderId="2" xfId="0" applyNumberFormat="1" applyFont="1" applyFill="1" applyBorder="1" applyAlignment="1">
      <alignment horizontal="right" vertical="center"/>
    </xf>
    <xf numFmtId="164" fontId="42" fillId="4" borderId="2" xfId="0" applyNumberFormat="1" applyFont="1" applyFill="1" applyBorder="1" applyAlignment="1">
      <alignment horizontal="right" vertical="center"/>
    </xf>
    <xf numFmtId="0" fontId="23" fillId="4" borderId="2" xfId="0" applyFont="1" applyFill="1" applyBorder="1" applyAlignment="1">
      <alignment horizontal="left" vertical="center" wrapText="1"/>
    </xf>
    <xf numFmtId="0" fontId="17" fillId="4" borderId="0" xfId="0" applyFont="1" applyFill="1" applyBorder="1" applyAlignment="1">
      <alignment vertical="center"/>
    </xf>
    <xf numFmtId="0" fontId="18" fillId="0" borderId="1" xfId="0" applyFont="1" applyFill="1" applyBorder="1" applyAlignment="1">
      <alignment horizontal="center" vertical="center"/>
    </xf>
    <xf numFmtId="0" fontId="18" fillId="0" borderId="2" xfId="0" applyFont="1" applyFill="1" applyBorder="1" applyAlignment="1">
      <alignment horizontal="left" vertical="center" wrapText="1"/>
    </xf>
    <xf numFmtId="164" fontId="17" fillId="7" borderId="2" xfId="0" applyNumberFormat="1" applyFont="1" applyFill="1" applyBorder="1" applyAlignment="1">
      <alignment horizontal="right"/>
    </xf>
    <xf numFmtId="164" fontId="16" fillId="7" borderId="2" xfId="0" applyNumberFormat="1" applyFont="1" applyFill="1" applyBorder="1" applyAlignment="1">
      <alignment horizontal="right"/>
    </xf>
    <xf numFmtId="0" fontId="42" fillId="4" borderId="1" xfId="0" applyFont="1" applyFill="1" applyBorder="1" applyAlignment="1">
      <alignment horizontal="center" vertical="center"/>
    </xf>
    <xf numFmtId="165" fontId="23" fillId="4" borderId="2" xfId="0" applyNumberFormat="1" applyFont="1" applyFill="1" applyBorder="1" applyAlignment="1">
      <alignment horizontal="right"/>
    </xf>
    <xf numFmtId="164" fontId="23" fillId="4" borderId="2" xfId="0" applyNumberFormat="1" applyFont="1" applyFill="1" applyBorder="1" applyAlignment="1">
      <alignment horizontal="right"/>
    </xf>
    <xf numFmtId="0" fontId="23" fillId="4" borderId="0" xfId="0" applyFont="1" applyFill="1" applyBorder="1" applyAlignment="1"/>
    <xf numFmtId="0" fontId="17" fillId="7" borderId="2" xfId="0" applyFont="1" applyFill="1" applyBorder="1" applyAlignment="1">
      <alignment horizontal="left" vertical="center" wrapText="1"/>
    </xf>
    <xf numFmtId="165" fontId="17" fillId="7" borderId="2" xfId="0" applyNumberFormat="1" applyFont="1" applyFill="1" applyBorder="1" applyAlignment="1">
      <alignment horizontal="right" vertical="center"/>
    </xf>
    <xf numFmtId="164" fontId="17" fillId="7" borderId="2" xfId="0" applyNumberFormat="1" applyFont="1" applyFill="1" applyBorder="1" applyAlignment="1">
      <alignment horizontal="right" vertical="center"/>
    </xf>
    <xf numFmtId="0" fontId="18" fillId="5" borderId="0" xfId="0" applyFont="1" applyFill="1" applyBorder="1" applyAlignment="1"/>
    <xf numFmtId="0" fontId="17" fillId="6" borderId="1" xfId="0" applyFont="1" applyFill="1" applyBorder="1" applyAlignment="1">
      <alignment horizontal="center"/>
    </xf>
    <xf numFmtId="0" fontId="17" fillId="0" borderId="0" xfId="0" applyFont="1" applyFill="1" applyBorder="1" applyAlignment="1"/>
    <xf numFmtId="0" fontId="18" fillId="15" borderId="0" xfId="0" applyFont="1" applyFill="1" applyBorder="1" applyAlignment="1"/>
    <xf numFmtId="2" fontId="18" fillId="0" borderId="0" xfId="0" applyNumberFormat="1" applyFont="1" applyFill="1" applyBorder="1" applyAlignment="1"/>
    <xf numFmtId="165" fontId="18" fillId="7" borderId="2" xfId="0" applyNumberFormat="1" applyFont="1" applyFill="1" applyBorder="1" applyAlignment="1">
      <alignment horizontal="center"/>
    </xf>
    <xf numFmtId="2" fontId="19" fillId="4" borderId="2" xfId="0" applyNumberFormat="1" applyFont="1" applyFill="1" applyBorder="1" applyAlignment="1">
      <alignment horizontal="right"/>
    </xf>
    <xf numFmtId="0" fontId="25" fillId="5" borderId="2" xfId="0" applyFont="1" applyFill="1" applyBorder="1" applyAlignment="1">
      <alignment horizontal="center" vertical="center" wrapText="1"/>
    </xf>
    <xf numFmtId="0" fontId="56" fillId="0" borderId="0" xfId="0" applyFont="1" applyFill="1" applyBorder="1" applyAlignment="1"/>
    <xf numFmtId="9" fontId="18" fillId="0" borderId="0" xfId="0" applyNumberFormat="1" applyFont="1" applyFill="1" applyBorder="1" applyAlignment="1"/>
    <xf numFmtId="0" fontId="17" fillId="0" borderId="2" xfId="0" applyFont="1" applyFill="1" applyBorder="1" applyAlignment="1">
      <alignment horizontal="left" vertical="center" wrapText="1"/>
    </xf>
    <xf numFmtId="0" fontId="38" fillId="0" borderId="1" xfId="0" applyFont="1" applyFill="1" applyBorder="1" applyAlignment="1">
      <alignment horizontal="center" vertical="center"/>
    </xf>
    <xf numFmtId="0" fontId="38" fillId="0" borderId="2" xfId="0" applyFont="1" applyFill="1" applyBorder="1" applyAlignment="1">
      <alignment horizontal="left" vertical="center" wrapText="1"/>
    </xf>
    <xf numFmtId="0" fontId="37" fillId="0" borderId="0" xfId="0" applyFont="1" applyFill="1" applyBorder="1" applyAlignment="1">
      <alignment vertical="center"/>
    </xf>
    <xf numFmtId="0" fontId="37" fillId="5" borderId="0" xfId="0" applyFont="1" applyFill="1" applyBorder="1" applyAlignment="1"/>
    <xf numFmtId="0" fontId="37" fillId="0" borderId="2" xfId="0" applyFont="1" applyFill="1" applyBorder="1" applyAlignment="1">
      <alignment horizontal="left" wrapText="1"/>
    </xf>
    <xf numFmtId="165" fontId="37" fillId="7" borderId="2" xfId="0" applyNumberFormat="1" applyFont="1" applyFill="1" applyBorder="1" applyAlignment="1">
      <alignment horizontal="right" vertical="center"/>
    </xf>
    <xf numFmtId="0" fontId="37" fillId="0" borderId="2" xfId="0" applyFont="1" applyFill="1" applyBorder="1" applyAlignment="1">
      <alignment horizontal="left"/>
    </xf>
    <xf numFmtId="0" fontId="37" fillId="0" borderId="0" xfId="0" applyFont="1" applyFill="1" applyBorder="1" applyAlignment="1"/>
    <xf numFmtId="0" fontId="37" fillId="5" borderId="0" xfId="0" applyFont="1" applyFill="1" applyBorder="1" applyAlignment="1">
      <alignment vertical="center"/>
    </xf>
    <xf numFmtId="0" fontId="18" fillId="5" borderId="0" xfId="0" applyFont="1" applyFill="1" applyBorder="1" applyAlignment="1">
      <alignment vertical="center"/>
    </xf>
    <xf numFmtId="2" fontId="38" fillId="0" borderId="2" xfId="0" applyNumberFormat="1" applyFont="1" applyFill="1" applyBorder="1" applyAlignment="1">
      <alignment horizontal="right"/>
    </xf>
    <xf numFmtId="0" fontId="37" fillId="0" borderId="1" xfId="0" applyFont="1" applyFill="1" applyBorder="1" applyAlignment="1">
      <alignment horizontal="center"/>
    </xf>
    <xf numFmtId="2" fontId="49" fillId="0" borderId="1" xfId="0" applyNumberFormat="1" applyFont="1" applyFill="1" applyBorder="1" applyAlignment="1">
      <alignment horizontal="center"/>
    </xf>
    <xf numFmtId="2" fontId="49" fillId="0" borderId="2" xfId="0" applyNumberFormat="1" applyFont="1" applyFill="1" applyBorder="1" applyAlignment="1">
      <alignment horizontal="center"/>
    </xf>
    <xf numFmtId="164" fontId="49" fillId="0" borderId="2" xfId="0" applyNumberFormat="1" applyFont="1" applyFill="1" applyBorder="1" applyAlignment="1">
      <alignment horizontal="right"/>
    </xf>
    <xf numFmtId="165" fontId="17" fillId="5" borderId="2" xfId="0" applyNumberFormat="1" applyFont="1" applyFill="1" applyBorder="1" applyAlignment="1">
      <alignment horizontal="right"/>
    </xf>
    <xf numFmtId="164" fontId="17" fillId="5" borderId="2" xfId="0" applyNumberFormat="1" applyFont="1" applyFill="1" applyBorder="1" applyAlignment="1">
      <alignment horizontal="right"/>
    </xf>
    <xf numFmtId="0" fontId="17" fillId="5" borderId="2" xfId="0" applyFont="1" applyFill="1" applyBorder="1" applyAlignment="1"/>
    <xf numFmtId="2" fontId="23" fillId="0" borderId="2" xfId="0" applyNumberFormat="1" applyFont="1" applyFill="1" applyBorder="1" applyAlignment="1">
      <alignment horizontal="right"/>
    </xf>
    <xf numFmtId="0" fontId="16" fillId="0" borderId="2" xfId="20" applyFont="1" applyFill="1" applyBorder="1" applyAlignment="1" applyProtection="1">
      <alignment vertical="top" wrapText="1"/>
    </xf>
    <xf numFmtId="1" fontId="17" fillId="4" borderId="2" xfId="0" applyNumberFormat="1" applyFont="1" applyFill="1" applyBorder="1" applyAlignment="1">
      <alignment horizontal="center"/>
    </xf>
    <xf numFmtId="0" fontId="23" fillId="0" borderId="2" xfId="0" applyFont="1" applyFill="1" applyBorder="1" applyAlignment="1">
      <alignment horizontal="left" wrapText="1"/>
    </xf>
    <xf numFmtId="0" fontId="23" fillId="0" borderId="1" xfId="0" applyFont="1" applyFill="1" applyBorder="1" applyAlignment="1">
      <alignment horizontal="center"/>
    </xf>
    <xf numFmtId="0" fontId="42" fillId="4" borderId="2" xfId="0" applyFont="1" applyFill="1" applyBorder="1" applyAlignment="1">
      <alignment horizontal="left"/>
    </xf>
    <xf numFmtId="0" fontId="64" fillId="0" borderId="0" xfId="0" applyFont="1" applyAlignment="1">
      <alignment vertical="top"/>
    </xf>
    <xf numFmtId="0" fontId="65" fillId="0" borderId="2" xfId="0" applyFont="1" applyBorder="1" applyAlignment="1">
      <alignment horizontal="center" vertical="top"/>
    </xf>
    <xf numFmtId="165" fontId="66" fillId="0" borderId="2" xfId="0" applyNumberFormat="1" applyFont="1" applyFill="1" applyBorder="1" applyAlignment="1" applyProtection="1">
      <alignment horizontal="center" vertical="center"/>
    </xf>
    <xf numFmtId="0" fontId="67" fillId="0" borderId="2" xfId="0" applyFont="1" applyFill="1" applyBorder="1" applyAlignment="1" applyProtection="1">
      <alignment horizontal="justify" vertical="top" wrapText="1"/>
    </xf>
    <xf numFmtId="49" fontId="66" fillId="0" borderId="2" xfId="20" applyNumberFormat="1" applyFont="1" applyFill="1" applyBorder="1" applyAlignment="1" applyProtection="1">
      <alignment horizontal="center" vertical="center"/>
    </xf>
    <xf numFmtId="0" fontId="67" fillId="0" borderId="2" xfId="20" applyFont="1" applyFill="1" applyBorder="1" applyAlignment="1" applyProtection="1">
      <alignment horizontal="justify" vertical="top"/>
    </xf>
    <xf numFmtId="0" fontId="66" fillId="0" borderId="2" xfId="20" applyFont="1" applyFill="1" applyBorder="1" applyAlignment="1" applyProtection="1">
      <alignment horizontal="center" vertical="center"/>
    </xf>
    <xf numFmtId="0" fontId="67" fillId="0" borderId="2" xfId="0" applyNumberFormat="1" applyFont="1" applyFill="1" applyBorder="1" applyAlignment="1">
      <alignment horizontal="justify" vertical="top" wrapText="1"/>
    </xf>
    <xf numFmtId="0" fontId="66" fillId="0" borderId="2" xfId="0" applyFont="1" applyFill="1" applyBorder="1" applyAlignment="1">
      <alignment horizontal="center" vertical="center" wrapText="1"/>
    </xf>
    <xf numFmtId="166" fontId="30" fillId="0" borderId="2" xfId="2" applyNumberFormat="1"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1" xfId="0" applyFont="1" applyBorder="1" applyAlignment="1">
      <alignment horizontal="center" vertical="center" wrapText="1"/>
    </xf>
    <xf numFmtId="165" fontId="18" fillId="7" borderId="13" xfId="0" applyNumberFormat="1" applyFont="1" applyFill="1" applyBorder="1" applyAlignment="1">
      <alignment horizontal="center"/>
    </xf>
    <xf numFmtId="165" fontId="21" fillId="4" borderId="2" xfId="0" applyNumberFormat="1" applyFont="1" applyFill="1" applyBorder="1" applyAlignment="1">
      <alignment horizontal="center" vertical="center"/>
    </xf>
    <xf numFmtId="165" fontId="21" fillId="4" borderId="2" xfId="0" applyNumberFormat="1" applyFont="1" applyFill="1" applyBorder="1" applyAlignment="1">
      <alignment horizontal="right" vertical="center"/>
    </xf>
    <xf numFmtId="2" fontId="21" fillId="4" borderId="2" xfId="0" applyNumberFormat="1" applyFont="1" applyFill="1" applyBorder="1" applyAlignment="1">
      <alignment horizontal="right" vertical="center"/>
    </xf>
    <xf numFmtId="1" fontId="21" fillId="4" borderId="2" xfId="0" applyNumberFormat="1" applyFont="1" applyFill="1" applyBorder="1" applyAlignment="1">
      <alignment horizontal="center" vertical="center"/>
    </xf>
    <xf numFmtId="2" fontId="21" fillId="4" borderId="2" xfId="0" applyNumberFormat="1" applyFont="1" applyFill="1" applyBorder="1" applyAlignment="1">
      <alignment horizontal="right" vertical="center" wrapText="1"/>
    </xf>
    <xf numFmtId="164" fontId="21" fillId="4" borderId="2" xfId="0" applyNumberFormat="1" applyFont="1" applyFill="1" applyBorder="1" applyAlignment="1">
      <alignment vertical="center" wrapText="1"/>
    </xf>
    <xf numFmtId="0" fontId="17" fillId="0" borderId="2" xfId="13" applyFont="1" applyBorder="1" applyAlignment="1">
      <alignment horizontal="center" vertical="center"/>
    </xf>
    <xf numFmtId="2" fontId="20" fillId="0" borderId="2" xfId="0" applyNumberFormat="1" applyFont="1" applyFill="1" applyBorder="1" applyAlignment="1">
      <alignment horizontal="right"/>
    </xf>
    <xf numFmtId="2" fontId="38" fillId="6" borderId="2" xfId="0" applyNumberFormat="1" applyFont="1" applyFill="1" applyBorder="1" applyAlignment="1">
      <alignment horizontal="right"/>
    </xf>
    <xf numFmtId="2" fontId="18" fillId="0" borderId="2" xfId="0" applyNumberFormat="1" applyFont="1" applyBorder="1" applyAlignment="1" applyProtection="1"/>
    <xf numFmtId="0" fontId="18" fillId="4" borderId="0" xfId="0" applyFont="1" applyFill="1" applyProtection="1"/>
    <xf numFmtId="0" fontId="18" fillId="4" borderId="0" xfId="0" applyFont="1" applyFill="1" applyAlignment="1" applyProtection="1">
      <alignment wrapText="1"/>
    </xf>
    <xf numFmtId="0" fontId="22" fillId="4" borderId="20" xfId="0" applyFont="1" applyFill="1" applyBorder="1" applyAlignment="1" applyProtection="1">
      <alignment horizontal="center"/>
    </xf>
    <xf numFmtId="0" fontId="18" fillId="0" borderId="0" xfId="0" applyFont="1" applyAlignment="1" applyProtection="1">
      <alignment horizontal="center" vertical="center" wrapText="1"/>
    </xf>
    <xf numFmtId="1" fontId="17" fillId="8" borderId="2" xfId="4" applyNumberFormat="1" applyFont="1" applyFill="1" applyBorder="1" applyAlignment="1" applyProtection="1">
      <alignment horizontal="center" vertical="center" wrapText="1"/>
    </xf>
    <xf numFmtId="2" fontId="17" fillId="8" borderId="2" xfId="0" applyNumberFormat="1" applyFont="1" applyFill="1" applyBorder="1" applyAlignment="1" applyProtection="1">
      <alignment horizontal="center" vertical="center" wrapText="1"/>
    </xf>
    <xf numFmtId="2" fontId="17" fillId="8" borderId="2" xfId="4" applyNumberFormat="1" applyFont="1" applyFill="1" applyBorder="1" applyAlignment="1" applyProtection="1">
      <alignment horizontal="center" vertical="center" wrapText="1"/>
    </xf>
    <xf numFmtId="0" fontId="17" fillId="0" borderId="2" xfId="0" applyFont="1" applyFill="1" applyBorder="1" applyAlignment="1" applyProtection="1">
      <alignment horizontal="center" wrapText="1"/>
    </xf>
    <xf numFmtId="1" fontId="17" fillId="0" borderId="2" xfId="4" applyNumberFormat="1" applyFont="1" applyFill="1" applyBorder="1" applyAlignment="1" applyProtection="1">
      <alignment horizontal="center" wrapText="1"/>
    </xf>
    <xf numFmtId="2" fontId="17" fillId="0" borderId="2" xfId="0" applyNumberFormat="1" applyFont="1" applyFill="1" applyBorder="1" applyAlignment="1" applyProtection="1">
      <alignment horizontal="center" wrapText="1"/>
    </xf>
    <xf numFmtId="0" fontId="18" fillId="0" borderId="0" xfId="0" applyFont="1" applyProtection="1"/>
    <xf numFmtId="0" fontId="18" fillId="4" borderId="2" xfId="0" applyFont="1" applyFill="1" applyBorder="1" applyAlignment="1" applyProtection="1">
      <alignment horizontal="center"/>
    </xf>
    <xf numFmtId="1" fontId="18" fillId="0" borderId="2" xfId="20" applyNumberFormat="1" applyFont="1" applyFill="1" applyBorder="1" applyAlignment="1" applyProtection="1">
      <alignment horizontal="center" wrapText="1"/>
    </xf>
    <xf numFmtId="0" fontId="18" fillId="0" borderId="2" xfId="0" applyFont="1" applyBorder="1" applyAlignment="1" applyProtection="1">
      <alignment horizontal="center" wrapText="1"/>
    </xf>
    <xf numFmtId="0" fontId="18" fillId="0" borderId="2" xfId="0" applyFont="1" applyBorder="1" applyAlignment="1" applyProtection="1">
      <alignment horizontal="center"/>
    </xf>
    <xf numFmtId="166" fontId="18" fillId="4" borderId="2" xfId="2" applyNumberFormat="1" applyFont="1" applyFill="1" applyBorder="1" applyAlignment="1" applyProtection="1"/>
    <xf numFmtId="166" fontId="18" fillId="0" borderId="2" xfId="2" applyNumberFormat="1" applyFont="1" applyBorder="1" applyAlignment="1" applyProtection="1"/>
    <xf numFmtId="0" fontId="18" fillId="4" borderId="2" xfId="0" applyFont="1" applyFill="1" applyBorder="1" applyAlignment="1" applyProtection="1">
      <alignment horizontal="center" wrapText="1"/>
    </xf>
    <xf numFmtId="2" fontId="18" fillId="4" borderId="2" xfId="0" applyNumberFormat="1" applyFont="1" applyFill="1" applyBorder="1" applyAlignment="1" applyProtection="1"/>
    <xf numFmtId="0" fontId="18" fillId="4" borderId="2" xfId="34" applyFont="1" applyFill="1" applyBorder="1" applyAlignment="1" applyProtection="1">
      <alignment horizontal="center" wrapText="1"/>
    </xf>
    <xf numFmtId="2" fontId="18" fillId="4" borderId="2" xfId="34" applyNumberFormat="1" applyFont="1" applyFill="1" applyBorder="1" applyAlignment="1" applyProtection="1"/>
    <xf numFmtId="2" fontId="18" fillId="0" borderId="2" xfId="12" applyNumberFormat="1" applyFont="1" applyBorder="1" applyAlignment="1" applyProtection="1">
      <alignment wrapText="1"/>
    </xf>
    <xf numFmtId="0" fontId="18" fillId="0" borderId="2" xfId="34" applyFont="1" applyBorder="1" applyAlignment="1" applyProtection="1">
      <alignment horizontal="center" wrapText="1"/>
    </xf>
    <xf numFmtId="2" fontId="18" fillId="0" borderId="2" xfId="34" applyNumberFormat="1" applyFont="1" applyBorder="1" applyAlignment="1" applyProtection="1"/>
    <xf numFmtId="0" fontId="18" fillId="0" borderId="2" xfId="34" applyFont="1" applyBorder="1" applyAlignment="1" applyProtection="1">
      <alignment horizontal="center"/>
    </xf>
    <xf numFmtId="0" fontId="18" fillId="0" borderId="2" xfId="0" applyFont="1" applyFill="1" applyBorder="1" applyAlignment="1" applyProtection="1">
      <alignment horizontal="center" wrapText="1"/>
    </xf>
    <xf numFmtId="0" fontId="18" fillId="0" borderId="2" xfId="0" applyFont="1" applyFill="1" applyBorder="1" applyAlignment="1" applyProtection="1">
      <alignment horizontal="center"/>
    </xf>
    <xf numFmtId="166" fontId="18" fillId="0" borderId="2" xfId="2" applyNumberFormat="1" applyFont="1" applyFill="1" applyBorder="1" applyAlignment="1" applyProtection="1"/>
    <xf numFmtId="164" fontId="18" fillId="4" borderId="2" xfId="0" applyNumberFormat="1" applyFont="1" applyFill="1" applyBorder="1" applyAlignment="1" applyProtection="1"/>
    <xf numFmtId="164" fontId="18" fillId="0" borderId="2" xfId="0" applyNumberFormat="1" applyFont="1" applyFill="1" applyBorder="1" applyAlignment="1" applyProtection="1"/>
    <xf numFmtId="2" fontId="18" fillId="0" borderId="2" xfId="0" applyNumberFormat="1" applyFont="1" applyBorder="1" applyAlignment="1" applyProtection="1">
      <alignment wrapText="1"/>
    </xf>
    <xf numFmtId="0" fontId="17" fillId="0" borderId="2" xfId="0" applyFont="1" applyFill="1" applyBorder="1" applyAlignment="1" applyProtection="1">
      <alignment horizontal="center"/>
    </xf>
    <xf numFmtId="2" fontId="17" fillId="0" borderId="2" xfId="0" applyNumberFormat="1" applyFont="1" applyFill="1" applyBorder="1" applyAlignment="1" applyProtection="1"/>
    <xf numFmtId="0" fontId="18" fillId="0" borderId="2" xfId="20" applyNumberFormat="1" applyFont="1" applyFill="1" applyBorder="1" applyAlignment="1" applyProtection="1">
      <alignment horizontal="center" wrapText="1"/>
    </xf>
    <xf numFmtId="2" fontId="18" fillId="0" borderId="2" xfId="0" applyNumberFormat="1" applyFont="1" applyFill="1" applyBorder="1" applyAlignment="1" applyProtection="1">
      <alignment wrapText="1"/>
    </xf>
    <xf numFmtId="0" fontId="18" fillId="4" borderId="2" xfId="20" applyNumberFormat="1" applyFont="1" applyFill="1" applyBorder="1" applyAlignment="1" applyProtection="1">
      <alignment horizontal="center" wrapText="1"/>
    </xf>
    <xf numFmtId="2" fontId="18" fillId="4" borderId="2" xfId="0" applyNumberFormat="1" applyFont="1" applyFill="1" applyBorder="1" applyAlignment="1" applyProtection="1">
      <alignment wrapText="1"/>
    </xf>
    <xf numFmtId="0" fontId="17" fillId="0" borderId="2" xfId="20" applyNumberFormat="1" applyFont="1" applyFill="1" applyBorder="1" applyAlignment="1" applyProtection="1">
      <alignment horizontal="center" wrapText="1"/>
    </xf>
    <xf numFmtId="2" fontId="17" fillId="0" borderId="2" xfId="0" applyNumberFormat="1" applyFont="1" applyFill="1" applyBorder="1" applyAlignment="1" applyProtection="1">
      <alignment wrapText="1"/>
    </xf>
    <xf numFmtId="0" fontId="17" fillId="4" borderId="2" xfId="20" applyNumberFormat="1" applyFont="1" applyFill="1" applyBorder="1" applyAlignment="1" applyProtection="1">
      <alignment horizontal="center" wrapText="1"/>
    </xf>
    <xf numFmtId="2" fontId="17" fillId="4" borderId="2" xfId="4" applyNumberFormat="1" applyFont="1" applyFill="1" applyBorder="1" applyAlignment="1" applyProtection="1">
      <alignment wrapText="1"/>
    </xf>
    <xf numFmtId="2" fontId="17" fillId="0" borderId="2" xfId="12" applyNumberFormat="1" applyFont="1" applyBorder="1" applyAlignment="1" applyProtection="1">
      <alignment wrapText="1"/>
    </xf>
    <xf numFmtId="1" fontId="18" fillId="0" borderId="2" xfId="20" applyNumberFormat="1" applyFont="1" applyFill="1" applyBorder="1" applyAlignment="1" applyProtection="1">
      <alignment horizontal="center"/>
    </xf>
    <xf numFmtId="1" fontId="18" fillId="0" borderId="2" xfId="0" applyNumberFormat="1" applyFont="1" applyFill="1" applyBorder="1" applyAlignment="1" applyProtection="1">
      <alignment horizontal="center"/>
    </xf>
    <xf numFmtId="1" fontId="18" fillId="4" borderId="2" xfId="0" applyNumberFormat="1" applyFont="1" applyFill="1" applyBorder="1" applyAlignment="1" applyProtection="1">
      <alignment horizontal="center"/>
    </xf>
    <xf numFmtId="2" fontId="18" fillId="4" borderId="2" xfId="12" applyNumberFormat="1" applyFont="1" applyFill="1" applyBorder="1" applyAlignment="1" applyProtection="1">
      <alignment wrapText="1"/>
    </xf>
    <xf numFmtId="2" fontId="18" fillId="0" borderId="2" xfId="12" applyNumberFormat="1" applyFont="1" applyFill="1" applyBorder="1" applyAlignment="1" applyProtection="1">
      <alignment wrapText="1"/>
    </xf>
    <xf numFmtId="0" fontId="18" fillId="0" borderId="2" xfId="20" applyFont="1" applyFill="1" applyBorder="1" applyAlignment="1" applyProtection="1">
      <alignment horizontal="center"/>
    </xf>
    <xf numFmtId="0" fontId="18" fillId="4" borderId="2" xfId="20" applyFont="1" applyFill="1" applyBorder="1" applyAlignment="1" applyProtection="1">
      <alignment horizontal="center"/>
    </xf>
    <xf numFmtId="0" fontId="18" fillId="0" borderId="0" xfId="0" applyFont="1" applyFill="1" applyProtection="1"/>
    <xf numFmtId="0" fontId="18" fillId="2" borderId="2" xfId="0" applyFont="1" applyFill="1" applyBorder="1" applyAlignment="1" applyProtection="1">
      <alignment horizontal="center" wrapText="1"/>
    </xf>
    <xf numFmtId="1" fontId="18" fillId="4" borderId="2" xfId="20" applyNumberFormat="1" applyFont="1" applyFill="1" applyBorder="1" applyAlignment="1" applyProtection="1">
      <alignment horizontal="center" wrapText="1"/>
    </xf>
    <xf numFmtId="164" fontId="18" fillId="4" borderId="2" xfId="12" applyNumberFormat="1" applyFont="1" applyFill="1" applyBorder="1" applyAlignment="1" applyProtection="1">
      <alignment wrapText="1"/>
    </xf>
    <xf numFmtId="1" fontId="18" fillId="0" borderId="2" xfId="0" applyNumberFormat="1" applyFont="1" applyFill="1" applyBorder="1" applyAlignment="1" applyProtection="1">
      <alignment horizontal="center" wrapText="1"/>
    </xf>
    <xf numFmtId="164" fontId="18" fillId="0" borderId="2" xfId="0" applyNumberFormat="1" applyFont="1" applyBorder="1" applyAlignment="1" applyProtection="1"/>
    <xf numFmtId="1" fontId="18" fillId="4" borderId="2" xfId="0" applyNumberFormat="1" applyFont="1" applyFill="1" applyBorder="1" applyAlignment="1" applyProtection="1">
      <alignment horizontal="center" wrapText="1"/>
    </xf>
    <xf numFmtId="0" fontId="18" fillId="5" borderId="0" xfId="0" applyFont="1" applyFill="1" applyProtection="1"/>
    <xf numFmtId="1" fontId="18" fillId="4" borderId="2" xfId="20" applyNumberFormat="1" applyFont="1" applyFill="1" applyBorder="1" applyAlignment="1" applyProtection="1">
      <alignment horizontal="center"/>
    </xf>
    <xf numFmtId="2" fontId="17" fillId="4" borderId="2" xfId="0" applyNumberFormat="1" applyFont="1" applyFill="1" applyBorder="1" applyAlignment="1" applyProtection="1">
      <alignment wrapText="1"/>
    </xf>
    <xf numFmtId="0" fontId="18" fillId="0" borderId="0" xfId="12" applyFont="1" applyFill="1" applyAlignment="1" applyProtection="1">
      <alignment horizontal="left" wrapText="1"/>
    </xf>
    <xf numFmtId="0" fontId="18" fillId="0" borderId="0" xfId="0" applyFont="1" applyBorder="1" applyAlignment="1" applyProtection="1">
      <alignment horizontal="center"/>
    </xf>
    <xf numFmtId="0" fontId="18" fillId="0" borderId="0" xfId="12" applyFont="1" applyAlignment="1" applyProtection="1">
      <alignment horizontal="left" wrapText="1"/>
    </xf>
    <xf numFmtId="0" fontId="17" fillId="0" borderId="0" xfId="12" applyFont="1" applyAlignment="1" applyProtection="1">
      <alignment horizontal="left" wrapText="1"/>
    </xf>
    <xf numFmtId="0" fontId="18" fillId="0" borderId="2" xfId="12" applyFont="1" applyFill="1" applyBorder="1" applyAlignment="1" applyProtection="1">
      <alignment horizontal="center" wrapText="1"/>
    </xf>
    <xf numFmtId="0" fontId="18" fillId="0" borderId="0" xfId="0" applyFont="1" applyFill="1" applyBorder="1" applyAlignment="1" applyProtection="1">
      <alignment horizontal="left" wrapText="1"/>
    </xf>
    <xf numFmtId="0" fontId="18" fillId="0" borderId="0" xfId="0" applyFont="1" applyFill="1" applyBorder="1" applyAlignment="1" applyProtection="1">
      <alignment horizontal="center"/>
    </xf>
    <xf numFmtId="1" fontId="17" fillId="0" borderId="2" xfId="20" applyNumberFormat="1" applyFont="1" applyFill="1" applyBorder="1" applyAlignment="1" applyProtection="1">
      <alignment horizontal="center"/>
    </xf>
    <xf numFmtId="0" fontId="18" fillId="0" borderId="0" xfId="0" applyFont="1" applyFill="1" applyAlignment="1" applyProtection="1">
      <alignment horizontal="left" wrapText="1"/>
    </xf>
    <xf numFmtId="2" fontId="17" fillId="0" borderId="2" xfId="20" applyNumberFormat="1" applyFont="1" applyFill="1" applyBorder="1" applyAlignment="1" applyProtection="1">
      <alignment horizontal="center" wrapText="1"/>
    </xf>
    <xf numFmtId="2" fontId="18" fillId="0" borderId="2" xfId="20" applyNumberFormat="1" applyFont="1" applyFill="1" applyBorder="1" applyAlignment="1" applyProtection="1">
      <alignment horizontal="center" wrapText="1"/>
    </xf>
    <xf numFmtId="2" fontId="17" fillId="4" borderId="2" xfId="20" applyNumberFormat="1" applyFont="1" applyFill="1" applyBorder="1" applyAlignment="1" applyProtection="1">
      <alignment horizontal="center" wrapText="1"/>
    </xf>
    <xf numFmtId="0" fontId="18" fillId="4" borderId="2" xfId="20" applyFont="1" applyFill="1" applyBorder="1" applyAlignment="1" applyProtection="1">
      <alignment horizontal="center" wrapText="1"/>
    </xf>
    <xf numFmtId="0" fontId="18" fillId="12" borderId="0" xfId="0" applyFont="1" applyFill="1" applyAlignment="1" applyProtection="1">
      <alignment horizontal="left" vertical="center" wrapText="1"/>
    </xf>
    <xf numFmtId="1" fontId="16" fillId="6" borderId="14" xfId="4" applyNumberFormat="1" applyFont="1" applyFill="1" applyBorder="1" applyAlignment="1" applyProtection="1">
      <alignment vertical="top" wrapText="1"/>
    </xf>
    <xf numFmtId="0" fontId="21" fillId="6" borderId="14" xfId="0" applyFont="1" applyFill="1" applyBorder="1" applyAlignment="1" applyProtection="1">
      <alignment horizontal="center"/>
    </xf>
    <xf numFmtId="166" fontId="18" fillId="0" borderId="0" xfId="0" applyNumberFormat="1" applyFont="1" applyProtection="1"/>
    <xf numFmtId="0" fontId="21" fillId="0" borderId="2" xfId="0" applyFont="1" applyFill="1" applyBorder="1" applyAlignment="1" applyProtection="1">
      <alignment vertical="top" wrapText="1"/>
    </xf>
    <xf numFmtId="0" fontId="21" fillId="0" borderId="2" xfId="0" applyFont="1" applyFill="1" applyBorder="1" applyAlignment="1" applyProtection="1">
      <alignment horizontal="center" wrapText="1"/>
    </xf>
    <xf numFmtId="2" fontId="21" fillId="0" borderId="2" xfId="0" applyNumberFormat="1" applyFont="1" applyFill="1" applyBorder="1" applyAlignment="1" applyProtection="1">
      <alignment horizontal="center"/>
    </xf>
    <xf numFmtId="0" fontId="21" fillId="0" borderId="2" xfId="0" applyFont="1" applyBorder="1" applyAlignment="1" applyProtection="1">
      <alignment horizontal="center"/>
    </xf>
    <xf numFmtId="2" fontId="21" fillId="0" borderId="2" xfId="0" applyNumberFormat="1" applyFont="1" applyBorder="1" applyAlignment="1" applyProtection="1"/>
    <xf numFmtId="2" fontId="21" fillId="0" borderId="2" xfId="0" applyNumberFormat="1" applyFont="1" applyFill="1" applyBorder="1" applyAlignment="1" applyProtection="1">
      <alignment wrapText="1"/>
    </xf>
    <xf numFmtId="2" fontId="21" fillId="0" borderId="2" xfId="0" applyNumberFormat="1" applyFont="1" applyFill="1" applyBorder="1" applyAlignment="1" applyProtection="1"/>
    <xf numFmtId="166" fontId="21" fillId="0" borderId="2" xfId="2" applyNumberFormat="1" applyFont="1" applyBorder="1" applyAlignment="1" applyProtection="1"/>
    <xf numFmtId="0" fontId="46" fillId="0" borderId="0" xfId="0" applyFont="1" applyFill="1" applyAlignment="1" applyProtection="1">
      <alignment horizontal="left" wrapText="1"/>
    </xf>
    <xf numFmtId="0" fontId="21" fillId="4" borderId="2" xfId="0" applyFont="1" applyFill="1" applyBorder="1" applyAlignment="1" applyProtection="1">
      <alignment horizontal="center"/>
    </xf>
    <xf numFmtId="2" fontId="21" fillId="4" borderId="2" xfId="0" applyNumberFormat="1" applyFont="1" applyFill="1" applyBorder="1" applyAlignment="1" applyProtection="1"/>
    <xf numFmtId="0" fontId="46" fillId="4" borderId="0" xfId="0" applyFont="1" applyFill="1" applyAlignment="1" applyProtection="1">
      <alignment horizontal="left" wrapText="1"/>
    </xf>
    <xf numFmtId="0" fontId="21" fillId="0" borderId="0" xfId="0" applyFont="1" applyFill="1" applyAlignment="1" applyProtection="1">
      <alignment horizontal="left" wrapText="1"/>
    </xf>
    <xf numFmtId="0" fontId="22" fillId="13" borderId="2" xfId="0" applyFont="1" applyFill="1" applyBorder="1" applyAlignment="1" applyProtection="1">
      <alignment vertical="top"/>
    </xf>
    <xf numFmtId="0" fontId="22" fillId="13" borderId="2" xfId="0" applyFont="1" applyFill="1" applyBorder="1" applyAlignment="1" applyProtection="1">
      <alignment horizontal="center" wrapText="1"/>
    </xf>
    <xf numFmtId="0" fontId="46" fillId="0" borderId="0" xfId="0" applyFont="1" applyFill="1" applyBorder="1" applyAlignment="1" applyProtection="1">
      <alignment vertical="center" wrapText="1"/>
    </xf>
    <xf numFmtId="2" fontId="16" fillId="0" borderId="0" xfId="4" applyNumberFormat="1" applyFont="1" applyFill="1" applyAlignment="1" applyProtection="1">
      <alignment horizontal="center" wrapText="1"/>
    </xf>
    <xf numFmtId="0" fontId="16" fillId="0" borderId="0" xfId="0" applyFont="1" applyFill="1" applyAlignment="1" applyProtection="1">
      <alignment horizontal="center" vertical="center" wrapText="1"/>
    </xf>
    <xf numFmtId="0" fontId="21" fillId="0" borderId="0" xfId="0" applyFont="1" applyFill="1" applyAlignment="1" applyProtection="1">
      <alignment horizontal="center" wrapText="1"/>
    </xf>
    <xf numFmtId="1" fontId="16" fillId="0" borderId="0" xfId="4" applyNumberFormat="1" applyFont="1" applyFill="1" applyAlignment="1" applyProtection="1">
      <alignment horizontal="center" wrapText="1"/>
    </xf>
    <xf numFmtId="1" fontId="17" fillId="5" borderId="2" xfId="0" applyNumberFormat="1" applyFont="1" applyFill="1" applyBorder="1" applyAlignment="1">
      <alignment horizontal="center"/>
    </xf>
    <xf numFmtId="2" fontId="17" fillId="5" borderId="2" xfId="0" applyNumberFormat="1" applyFont="1" applyFill="1" applyBorder="1" applyAlignment="1">
      <alignment horizontal="right"/>
    </xf>
    <xf numFmtId="0" fontId="17" fillId="5" borderId="1" xfId="0" applyFont="1" applyFill="1" applyBorder="1" applyAlignment="1">
      <alignment horizontal="center" vertical="center"/>
    </xf>
    <xf numFmtId="165" fontId="17" fillId="4" borderId="2" xfId="0" applyNumberFormat="1" applyFont="1" applyFill="1" applyBorder="1" applyAlignment="1">
      <alignment horizontal="center"/>
    </xf>
    <xf numFmtId="165" fontId="17" fillId="4" borderId="0" xfId="0" applyNumberFormat="1" applyFont="1" applyFill="1" applyBorder="1" applyAlignment="1">
      <alignment horizontal="right"/>
    </xf>
    <xf numFmtId="164" fontId="17" fillId="4" borderId="0" xfId="0" applyNumberFormat="1" applyFont="1" applyFill="1" applyBorder="1" applyAlignment="1">
      <alignment horizontal="right"/>
    </xf>
    <xf numFmtId="1" fontId="17" fillId="4" borderId="0" xfId="0" applyNumberFormat="1" applyFont="1" applyFill="1" applyBorder="1" applyAlignment="1">
      <alignment horizontal="center"/>
    </xf>
    <xf numFmtId="165" fontId="17" fillId="4" borderId="0" xfId="0" applyNumberFormat="1" applyFont="1" applyFill="1" applyBorder="1" applyAlignment="1">
      <alignment horizontal="center"/>
    </xf>
    <xf numFmtId="0" fontId="17" fillId="4" borderId="20" xfId="0" applyFont="1" applyFill="1" applyBorder="1" applyAlignment="1">
      <alignment horizontal="center" vertical="center"/>
    </xf>
    <xf numFmtId="0" fontId="17" fillId="4" borderId="37" xfId="0" applyFont="1" applyFill="1" applyBorder="1" applyAlignment="1">
      <alignment horizontal="left" wrapText="1"/>
    </xf>
    <xf numFmtId="165" fontId="17" fillId="4" borderId="37" xfId="0" applyNumberFormat="1" applyFont="1" applyFill="1" applyBorder="1" applyAlignment="1">
      <alignment horizontal="center"/>
    </xf>
    <xf numFmtId="165" fontId="17" fillId="4" borderId="37" xfId="0" applyNumberFormat="1" applyFont="1" applyFill="1" applyBorder="1" applyAlignment="1">
      <alignment horizontal="right"/>
    </xf>
    <xf numFmtId="164" fontId="16" fillId="4" borderId="38" xfId="0" applyNumberFormat="1" applyFont="1" applyFill="1" applyBorder="1" applyAlignment="1">
      <alignment vertical="center"/>
    </xf>
    <xf numFmtId="0" fontId="17" fillId="4" borderId="18" xfId="0" applyFont="1" applyFill="1" applyBorder="1" applyAlignment="1">
      <alignment horizontal="center" vertical="center"/>
    </xf>
    <xf numFmtId="164" fontId="16" fillId="4" borderId="27" xfId="0" applyNumberFormat="1" applyFont="1" applyFill="1" applyBorder="1" applyAlignment="1">
      <alignment vertical="center"/>
    </xf>
    <xf numFmtId="0" fontId="17" fillId="4" borderId="28" xfId="0" applyFont="1" applyFill="1" applyBorder="1" applyAlignment="1">
      <alignment horizontal="center" vertical="center"/>
    </xf>
    <xf numFmtId="0" fontId="17" fillId="4" borderId="39" xfId="0" applyFont="1" applyFill="1" applyBorder="1" applyAlignment="1">
      <alignment wrapText="1"/>
    </xf>
    <xf numFmtId="165" fontId="17" fillId="4" borderId="39" xfId="0" applyNumberFormat="1" applyFont="1" applyFill="1" applyBorder="1" applyAlignment="1">
      <alignment horizontal="center"/>
    </xf>
    <xf numFmtId="165" fontId="17" fillId="4" borderId="39" xfId="0" applyNumberFormat="1" applyFont="1" applyFill="1" applyBorder="1" applyAlignment="1">
      <alignment horizontal="right"/>
    </xf>
    <xf numFmtId="164" fontId="17" fillId="4" borderId="39" xfId="0" applyNumberFormat="1" applyFont="1" applyFill="1" applyBorder="1" applyAlignment="1">
      <alignment horizontal="right"/>
    </xf>
    <xf numFmtId="1" fontId="17" fillId="4" borderId="39" xfId="0" applyNumberFormat="1" applyFont="1" applyFill="1" applyBorder="1" applyAlignment="1">
      <alignment horizontal="center"/>
    </xf>
    <xf numFmtId="164" fontId="16" fillId="4" borderId="29" xfId="0" applyNumberFormat="1" applyFont="1" applyFill="1" applyBorder="1" applyAlignment="1">
      <alignment vertical="center"/>
    </xf>
    <xf numFmtId="0" fontId="18" fillId="5" borderId="2" xfId="11" applyFont="1" applyFill="1" applyBorder="1" applyAlignment="1">
      <alignment horizontal="center" vertical="center" wrapText="1"/>
    </xf>
    <xf numFmtId="0" fontId="18" fillId="0" borderId="2" xfId="11" applyFont="1" applyFill="1" applyBorder="1" applyAlignment="1">
      <alignment horizontal="center" vertical="center" wrapText="1"/>
    </xf>
    <xf numFmtId="0" fontId="18" fillId="0" borderId="2" xfId="11" applyFont="1" applyFill="1" applyBorder="1" applyAlignment="1">
      <alignment horizontal="left" vertical="center" wrapText="1"/>
    </xf>
    <xf numFmtId="0" fontId="18" fillId="0" borderId="2" xfId="11" applyFont="1" applyFill="1" applyBorder="1" applyAlignment="1">
      <alignment horizontal="center" vertical="center"/>
    </xf>
    <xf numFmtId="164" fontId="18" fillId="0" borderId="2" xfId="11" applyNumberFormat="1" applyFont="1" applyFill="1" applyBorder="1" applyAlignment="1">
      <alignment vertical="center" wrapText="1"/>
    </xf>
    <xf numFmtId="164" fontId="18" fillId="0" borderId="2" xfId="11" applyNumberFormat="1" applyFont="1" applyFill="1" applyBorder="1" applyAlignment="1">
      <alignment vertical="center"/>
    </xf>
    <xf numFmtId="0" fontId="17" fillId="5" borderId="2" xfId="11" applyFont="1" applyFill="1" applyBorder="1" applyAlignment="1">
      <alignment horizontal="center" vertical="center" wrapText="1"/>
    </xf>
    <xf numFmtId="0" fontId="17" fillId="5" borderId="2" xfId="11" applyFont="1" applyFill="1" applyBorder="1" applyAlignment="1">
      <alignment horizontal="center" vertical="center"/>
    </xf>
    <xf numFmtId="164" fontId="17" fillId="5" borderId="2" xfId="11" applyNumberFormat="1" applyFont="1" applyFill="1" applyBorder="1" applyAlignment="1">
      <alignment vertical="center" wrapText="1"/>
    </xf>
    <xf numFmtId="164" fontId="17" fillId="5" borderId="2" xfId="11" applyNumberFormat="1" applyFont="1" applyFill="1" applyBorder="1" applyAlignment="1">
      <alignment vertical="center"/>
    </xf>
    <xf numFmtId="0" fontId="17" fillId="5" borderId="0" xfId="0" applyFont="1" applyFill="1" applyBorder="1" applyAlignment="1"/>
    <xf numFmtId="2" fontId="17" fillId="5" borderId="2" xfId="0" applyNumberFormat="1" applyFont="1" applyFill="1" applyBorder="1" applyAlignment="1"/>
    <xf numFmtId="165" fontId="17" fillId="5" borderId="2" xfId="0" applyNumberFormat="1" applyFont="1" applyFill="1" applyBorder="1" applyAlignment="1"/>
    <xf numFmtId="2" fontId="17" fillId="5" borderId="2" xfId="0" applyNumberFormat="1" applyFont="1" applyFill="1" applyBorder="1" applyAlignment="1">
      <alignment horizontal="left"/>
    </xf>
    <xf numFmtId="165" fontId="18" fillId="0" borderId="0" xfId="0" applyNumberFormat="1" applyFont="1" applyFill="1" applyBorder="1" applyAlignment="1">
      <alignment horizontal="left"/>
    </xf>
    <xf numFmtId="2" fontId="18" fillId="6" borderId="2" xfId="0" applyNumberFormat="1" applyFont="1" applyFill="1" applyBorder="1" applyAlignment="1">
      <alignment horizontal="right"/>
    </xf>
    <xf numFmtId="0" fontId="18" fillId="5" borderId="1" xfId="0" applyFont="1" applyFill="1" applyBorder="1" applyAlignment="1">
      <alignment horizontal="center"/>
    </xf>
    <xf numFmtId="0" fontId="17" fillId="5" borderId="1" xfId="0" applyFont="1" applyFill="1" applyBorder="1" applyAlignment="1">
      <alignment horizontal="center" vertical="top"/>
    </xf>
    <xf numFmtId="0" fontId="17" fillId="5" borderId="2" xfId="0" applyFont="1" applyFill="1" applyBorder="1" applyAlignment="1">
      <alignment horizontal="left" vertical="top" wrapText="1"/>
    </xf>
    <xf numFmtId="0" fontId="16" fillId="0" borderId="2" xfId="0" applyFont="1" applyFill="1" applyBorder="1" applyAlignment="1" applyProtection="1">
      <alignment horizontal="center" vertical="top" wrapText="1"/>
    </xf>
    <xf numFmtId="0" fontId="21" fillId="0" borderId="2" xfId="20" applyFont="1" applyFill="1" applyBorder="1" applyAlignment="1" applyProtection="1">
      <alignment horizontal="center" vertical="top"/>
    </xf>
    <xf numFmtId="0" fontId="21" fillId="4" borderId="2" xfId="0" applyFont="1" applyFill="1" applyBorder="1" applyAlignment="1" applyProtection="1">
      <alignment horizontal="left" vertical="top" wrapText="1"/>
    </xf>
    <xf numFmtId="0" fontId="21" fillId="4" borderId="2" xfId="0" applyFont="1" applyFill="1" applyBorder="1" applyAlignment="1" applyProtection="1">
      <alignment horizontal="center" vertical="top"/>
    </xf>
    <xf numFmtId="0" fontId="21" fillId="4" borderId="2" xfId="0" applyFont="1" applyFill="1" applyBorder="1" applyAlignment="1" applyProtection="1">
      <alignment vertical="top" wrapText="1"/>
    </xf>
    <xf numFmtId="170" fontId="21" fillId="4" borderId="2" xfId="0" applyNumberFormat="1" applyFont="1" applyFill="1" applyBorder="1" applyAlignment="1" applyProtection="1">
      <alignment horizontal="left" vertical="top" wrapText="1"/>
    </xf>
    <xf numFmtId="170" fontId="21" fillId="4" borderId="2" xfId="0" applyNumberFormat="1" applyFont="1" applyFill="1" applyBorder="1" applyAlignment="1" applyProtection="1">
      <alignment horizontal="left" vertical="top"/>
    </xf>
    <xf numFmtId="0" fontId="21" fillId="0" borderId="2" xfId="0" applyFont="1" applyBorder="1" applyAlignment="1" applyProtection="1">
      <alignment vertical="top" wrapText="1"/>
    </xf>
    <xf numFmtId="0" fontId="46" fillId="13" borderId="2" xfId="0" applyFont="1" applyFill="1" applyBorder="1" applyAlignment="1" applyProtection="1">
      <alignment horizontal="center" vertical="top" wrapText="1"/>
    </xf>
    <xf numFmtId="2" fontId="46" fillId="0" borderId="2" xfId="0" applyNumberFormat="1" applyFont="1" applyFill="1" applyBorder="1" applyAlignment="1" applyProtection="1"/>
    <xf numFmtId="166" fontId="22" fillId="13" borderId="2" xfId="1" applyNumberFormat="1" applyFont="1" applyFill="1" applyBorder="1" applyAlignment="1" applyProtection="1">
      <alignment wrapText="1"/>
    </xf>
    <xf numFmtId="0" fontId="18" fillId="4" borderId="2" xfId="0" applyFont="1" applyFill="1" applyBorder="1" applyAlignment="1" applyProtection="1"/>
    <xf numFmtId="1" fontId="17" fillId="0" borderId="2" xfId="4" applyNumberFormat="1" applyFont="1" applyFill="1" applyBorder="1" applyAlignment="1" applyProtection="1">
      <alignment wrapText="1"/>
    </xf>
    <xf numFmtId="0" fontId="18" fillId="0" borderId="2" xfId="0" applyFont="1" applyBorder="1" applyAlignment="1" applyProtection="1"/>
    <xf numFmtId="0" fontId="18" fillId="0" borderId="2" xfId="0" applyFont="1" applyFill="1" applyBorder="1" applyAlignment="1" applyProtection="1"/>
    <xf numFmtId="1" fontId="17" fillId="4" borderId="2" xfId="4" applyNumberFormat="1" applyFont="1" applyFill="1" applyBorder="1" applyAlignment="1" applyProtection="1">
      <alignment wrapText="1"/>
    </xf>
    <xf numFmtId="1" fontId="18" fillId="4" borderId="2" xfId="4" applyNumberFormat="1" applyFont="1" applyFill="1" applyBorder="1" applyAlignment="1" applyProtection="1">
      <alignment wrapText="1"/>
    </xf>
    <xf numFmtId="0" fontId="18" fillId="0" borderId="2" xfId="20" applyFont="1" applyFill="1" applyBorder="1" applyAlignment="1" applyProtection="1">
      <alignment wrapText="1"/>
    </xf>
    <xf numFmtId="2" fontId="18" fillId="0" borderId="18" xfId="0" applyNumberFormat="1" applyFont="1" applyFill="1" applyBorder="1" applyAlignment="1" applyProtection="1"/>
    <xf numFmtId="2" fontId="17" fillId="4" borderId="2" xfId="0" applyNumberFormat="1" applyFont="1" applyFill="1" applyBorder="1" applyAlignment="1" applyProtection="1"/>
    <xf numFmtId="0" fontId="18" fillId="4" borderId="2" xfId="20" applyFont="1" applyFill="1" applyBorder="1" applyAlignment="1" applyProtection="1">
      <alignment wrapText="1"/>
    </xf>
    <xf numFmtId="1" fontId="16" fillId="6" borderId="14" xfId="4" applyNumberFormat="1" applyFont="1" applyFill="1" applyBorder="1" applyAlignment="1" applyProtection="1">
      <alignment wrapText="1"/>
    </xf>
    <xf numFmtId="2" fontId="21" fillId="6" borderId="14" xfId="0" applyNumberFormat="1" applyFont="1" applyFill="1" applyBorder="1" applyAlignment="1" applyProtection="1">
      <alignment wrapText="1"/>
    </xf>
    <xf numFmtId="1" fontId="16" fillId="0" borderId="2" xfId="4" applyNumberFormat="1" applyFont="1" applyFill="1" applyBorder="1" applyAlignment="1" applyProtection="1">
      <alignment wrapText="1"/>
    </xf>
    <xf numFmtId="2" fontId="16" fillId="0" borderId="2" xfId="4" applyNumberFormat="1" applyFont="1" applyFill="1" applyBorder="1" applyAlignment="1" applyProtection="1">
      <alignment wrapText="1"/>
    </xf>
    <xf numFmtId="0" fontId="21" fillId="0" borderId="2" xfId="0" applyFont="1" applyBorder="1" applyAlignment="1" applyProtection="1"/>
    <xf numFmtId="1" fontId="21" fillId="4" borderId="2" xfId="0" applyNumberFormat="1" applyFont="1" applyFill="1" applyBorder="1" applyAlignment="1" applyProtection="1">
      <alignment wrapText="1"/>
    </xf>
    <xf numFmtId="0" fontId="21" fillId="4" borderId="2" xfId="0" applyFont="1" applyFill="1" applyBorder="1" applyAlignment="1" applyProtection="1"/>
    <xf numFmtId="1" fontId="21" fillId="0" borderId="2" xfId="0" applyNumberFormat="1" applyFont="1" applyFill="1" applyBorder="1" applyAlignment="1" applyProtection="1">
      <alignment wrapText="1"/>
    </xf>
    <xf numFmtId="0" fontId="22" fillId="13" borderId="2" xfId="0" applyFont="1" applyFill="1" applyBorder="1" applyAlignment="1" applyProtection="1">
      <alignment wrapText="1"/>
    </xf>
    <xf numFmtId="2" fontId="46" fillId="13" borderId="2" xfId="0" applyNumberFormat="1" applyFont="1" applyFill="1" applyBorder="1" applyAlignment="1" applyProtection="1">
      <alignment wrapText="1"/>
    </xf>
    <xf numFmtId="0" fontId="18" fillId="0" borderId="0" xfId="0" applyFont="1" applyAlignment="1" applyProtection="1">
      <alignment horizontal="center"/>
    </xf>
    <xf numFmtId="0" fontId="19" fillId="5" borderId="1" xfId="0" applyFont="1" applyFill="1" applyBorder="1" applyAlignment="1">
      <alignment horizontal="center"/>
    </xf>
    <xf numFmtId="0" fontId="19" fillId="5" borderId="2" xfId="0" applyFont="1" applyFill="1" applyBorder="1" applyAlignment="1">
      <alignment wrapText="1"/>
    </xf>
    <xf numFmtId="2" fontId="17" fillId="0" borderId="37" xfId="0" applyNumberFormat="1" applyFont="1" applyFill="1" applyBorder="1" applyAlignment="1"/>
    <xf numFmtId="165" fontId="17" fillId="5" borderId="2" xfId="0" applyNumberFormat="1" applyFont="1" applyFill="1" applyBorder="1" applyAlignment="1">
      <alignment horizontal="right" vertical="center"/>
    </xf>
    <xf numFmtId="164" fontId="17" fillId="5" borderId="2" xfId="0" applyNumberFormat="1" applyFont="1" applyFill="1" applyBorder="1" applyAlignment="1">
      <alignment horizontal="right" vertical="center"/>
    </xf>
    <xf numFmtId="0" fontId="16" fillId="6" borderId="14" xfId="0" applyFont="1" applyFill="1" applyBorder="1" applyAlignment="1" applyProtection="1">
      <alignment horizontal="center" vertical="top"/>
    </xf>
    <xf numFmtId="0" fontId="17" fillId="4" borderId="8" xfId="0" applyFont="1" applyFill="1" applyBorder="1" applyAlignment="1">
      <alignment horizontal="center" vertical="center"/>
    </xf>
    <xf numFmtId="165" fontId="17" fillId="4" borderId="8" xfId="0" applyNumberFormat="1" applyFont="1" applyFill="1" applyBorder="1" applyAlignment="1">
      <alignment horizontal="center" vertical="center"/>
    </xf>
    <xf numFmtId="164" fontId="17" fillId="4" borderId="8" xfId="0" applyNumberFormat="1" applyFont="1" applyFill="1" applyBorder="1" applyAlignment="1">
      <alignment horizontal="center" vertical="center"/>
    </xf>
    <xf numFmtId="0" fontId="17" fillId="4" borderId="8" xfId="0" applyFont="1" applyFill="1" applyBorder="1" applyAlignment="1">
      <alignment vertical="center"/>
    </xf>
    <xf numFmtId="0" fontId="17" fillId="5" borderId="5" xfId="0" applyFont="1" applyFill="1" applyBorder="1" applyAlignment="1">
      <alignment horizontal="center"/>
    </xf>
    <xf numFmtId="0" fontId="17" fillId="5" borderId="3" xfId="0" applyFont="1" applyFill="1" applyBorder="1" applyAlignment="1">
      <alignment wrapText="1"/>
    </xf>
    <xf numFmtId="165" fontId="18" fillId="4" borderId="3" xfId="0" applyNumberFormat="1" applyFont="1" applyFill="1" applyBorder="1" applyAlignment="1">
      <alignment horizontal="right"/>
    </xf>
    <xf numFmtId="2" fontId="18" fillId="4" borderId="3" xfId="0" applyNumberFormat="1" applyFont="1" applyFill="1" applyBorder="1" applyAlignment="1">
      <alignment horizontal="right"/>
    </xf>
    <xf numFmtId="0" fontId="18" fillId="4" borderId="6" xfId="0" applyFont="1" applyFill="1" applyBorder="1" applyAlignment="1"/>
    <xf numFmtId="0" fontId="18" fillId="4" borderId="7" xfId="0" applyFont="1" applyFill="1" applyBorder="1" applyAlignment="1"/>
    <xf numFmtId="0" fontId="18" fillId="4" borderId="7" xfId="0" applyFont="1" applyFill="1" applyBorder="1" applyAlignment="1">
      <alignment vertical="center"/>
    </xf>
    <xf numFmtId="0" fontId="18" fillId="4" borderId="7" xfId="0" applyFont="1" applyFill="1" applyBorder="1" applyAlignment="1">
      <alignment horizontal="left" vertical="center"/>
    </xf>
    <xf numFmtId="2" fontId="17" fillId="5" borderId="1" xfId="0" applyNumberFormat="1" applyFont="1" applyFill="1" applyBorder="1" applyAlignment="1"/>
    <xf numFmtId="0" fontId="18" fillId="5" borderId="7" xfId="0" applyFont="1" applyFill="1" applyBorder="1" applyAlignment="1"/>
    <xf numFmtId="2" fontId="17" fillId="0" borderId="1" xfId="0" applyNumberFormat="1" applyFont="1" applyFill="1" applyBorder="1" applyAlignment="1"/>
    <xf numFmtId="0" fontId="18" fillId="0" borderId="7" xfId="0" applyFont="1" applyFill="1" applyBorder="1" applyAlignment="1"/>
    <xf numFmtId="0" fontId="37" fillId="4" borderId="7" xfId="0" applyFont="1" applyFill="1" applyBorder="1" applyAlignment="1"/>
    <xf numFmtId="0" fontId="18" fillId="7" borderId="7" xfId="0" applyFont="1" applyFill="1" applyBorder="1" applyAlignment="1"/>
    <xf numFmtId="0" fontId="47" fillId="4" borderId="7" xfId="0" applyFont="1" applyFill="1" applyBorder="1" applyAlignment="1"/>
    <xf numFmtId="0" fontId="20" fillId="4" borderId="7" xfId="0" applyFont="1" applyFill="1" applyBorder="1" applyAlignment="1"/>
    <xf numFmtId="0" fontId="42" fillId="4" borderId="7" xfId="0" applyFont="1" applyFill="1" applyBorder="1" applyAlignment="1"/>
    <xf numFmtId="0" fontId="56" fillId="4" borderId="7" xfId="0" applyFont="1" applyFill="1" applyBorder="1" applyAlignment="1"/>
    <xf numFmtId="0" fontId="17" fillId="4" borderId="7" xfId="0" applyFont="1" applyFill="1" applyBorder="1" applyAlignment="1"/>
    <xf numFmtId="0" fontId="42" fillId="4" borderId="7" xfId="0" applyFont="1" applyFill="1" applyBorder="1" applyAlignment="1">
      <alignment vertical="center"/>
    </xf>
    <xf numFmtId="0" fontId="56" fillId="4" borderId="1" xfId="0" applyFont="1" applyFill="1" applyBorder="1" applyAlignment="1">
      <alignment horizontal="center" vertical="center"/>
    </xf>
    <xf numFmtId="0" fontId="17" fillId="5" borderId="7" xfId="0" applyFont="1" applyFill="1" applyBorder="1" applyAlignment="1"/>
    <xf numFmtId="0" fontId="18" fillId="0" borderId="7" xfId="0" applyFont="1" applyFill="1" applyBorder="1" applyAlignment="1">
      <alignment vertical="center"/>
    </xf>
    <xf numFmtId="0" fontId="18" fillId="0" borderId="7" xfId="0" applyFont="1" applyFill="1" applyBorder="1" applyAlignment="1">
      <alignment horizontal="center"/>
    </xf>
    <xf numFmtId="0" fontId="17" fillId="0" borderId="2" xfId="0" applyFont="1" applyFill="1" applyBorder="1" applyAlignment="1">
      <alignment wrapText="1"/>
    </xf>
    <xf numFmtId="2" fontId="56" fillId="4" borderId="2" xfId="0" applyNumberFormat="1" applyFont="1" applyFill="1" applyBorder="1" applyAlignment="1">
      <alignment horizontal="right"/>
    </xf>
    <xf numFmtId="0" fontId="17" fillId="4" borderId="7" xfId="0" applyFont="1" applyFill="1" applyBorder="1" applyAlignment="1">
      <alignment vertical="center"/>
    </xf>
    <xf numFmtId="0" fontId="23" fillId="4" borderId="7" xfId="0" applyFont="1" applyFill="1" applyBorder="1" applyAlignment="1">
      <alignment vertical="center"/>
    </xf>
    <xf numFmtId="0" fontId="18" fillId="6" borderId="7" xfId="0" applyFont="1" applyFill="1" applyBorder="1" applyAlignment="1"/>
    <xf numFmtId="0" fontId="18" fillId="6" borderId="7" xfId="0" applyFont="1" applyFill="1" applyBorder="1" applyAlignment="1">
      <alignment vertical="center"/>
    </xf>
    <xf numFmtId="2" fontId="17" fillId="0" borderId="2" xfId="0" applyNumberFormat="1" applyFont="1" applyFill="1" applyBorder="1" applyAlignment="1">
      <alignment horizontal="left" vertical="center"/>
    </xf>
    <xf numFmtId="0" fontId="18" fillId="6" borderId="2" xfId="0" applyFont="1" applyFill="1" applyBorder="1" applyAlignment="1">
      <alignment horizontal="left"/>
    </xf>
    <xf numFmtId="0" fontId="18" fillId="6" borderId="7" xfId="0" applyFont="1" applyFill="1" applyBorder="1" applyAlignment="1">
      <alignment horizontal="center"/>
    </xf>
    <xf numFmtId="0" fontId="17" fillId="5" borderId="2" xfId="0" applyFont="1" applyFill="1" applyBorder="1" applyAlignment="1">
      <alignment horizontal="left"/>
    </xf>
    <xf numFmtId="0" fontId="17" fillId="5" borderId="7" xfId="0" applyFont="1" applyFill="1" applyBorder="1" applyAlignment="1">
      <alignment horizontal="center"/>
    </xf>
    <xf numFmtId="0" fontId="17" fillId="0" borderId="7" xfId="0" applyFont="1" applyFill="1" applyBorder="1" applyAlignment="1">
      <alignment horizontal="center"/>
    </xf>
    <xf numFmtId="0" fontId="18" fillId="4" borderId="1" xfId="0" applyFont="1" applyFill="1" applyBorder="1" applyAlignment="1"/>
    <xf numFmtId="0" fontId="18" fillId="4" borderId="2" xfId="0" applyFont="1" applyFill="1" applyBorder="1" applyAlignment="1">
      <alignment horizontal="left" wrapText="1" indent="2"/>
    </xf>
    <xf numFmtId="0" fontId="19" fillId="4" borderId="2" xfId="0" applyFont="1" applyFill="1" applyBorder="1" applyAlignment="1">
      <alignment horizontal="center" vertical="center"/>
    </xf>
    <xf numFmtId="0" fontId="17" fillId="0" borderId="7" xfId="0" applyFont="1" applyFill="1" applyBorder="1" applyAlignment="1"/>
    <xf numFmtId="0" fontId="42" fillId="5" borderId="2" xfId="0" applyFont="1" applyFill="1" applyBorder="1" applyAlignment="1">
      <alignment horizontal="left"/>
    </xf>
    <xf numFmtId="2" fontId="38" fillId="5" borderId="1" xfId="0" applyNumberFormat="1" applyFont="1" applyFill="1" applyBorder="1" applyAlignment="1"/>
    <xf numFmtId="165" fontId="38" fillId="5" borderId="2" xfId="0" applyNumberFormat="1" applyFont="1" applyFill="1" applyBorder="1" applyAlignment="1"/>
    <xf numFmtId="2" fontId="38" fillId="5" borderId="2" xfId="0" applyNumberFormat="1" applyFont="1" applyFill="1" applyBorder="1" applyAlignment="1"/>
    <xf numFmtId="2" fontId="38" fillId="5" borderId="2" xfId="0" applyNumberFormat="1" applyFont="1" applyFill="1" applyBorder="1" applyAlignment="1">
      <alignment horizontal="right"/>
    </xf>
    <xf numFmtId="2" fontId="38" fillId="0" borderId="1" xfId="0" applyNumberFormat="1" applyFont="1" applyFill="1" applyBorder="1" applyAlignment="1"/>
    <xf numFmtId="165" fontId="38" fillId="0" borderId="2" xfId="0" applyNumberFormat="1" applyFont="1" applyFill="1" applyBorder="1" applyAlignment="1"/>
    <xf numFmtId="2" fontId="38" fillId="0" borderId="2" xfId="0" applyNumberFormat="1" applyFont="1" applyFill="1" applyBorder="1" applyAlignment="1"/>
    <xf numFmtId="0" fontId="37" fillId="0" borderId="7" xfId="0" applyFont="1" applyFill="1" applyBorder="1" applyAlignment="1"/>
    <xf numFmtId="0" fontId="37" fillId="4" borderId="7" xfId="0" applyFont="1" applyFill="1" applyBorder="1" applyAlignment="1">
      <alignment vertical="center"/>
    </xf>
    <xf numFmtId="0" fontId="20" fillId="4" borderId="1" xfId="0" applyFont="1" applyFill="1" applyBorder="1" applyAlignment="1">
      <alignment horizontal="center"/>
    </xf>
    <xf numFmtId="0" fontId="38" fillId="0" borderId="7" xfId="0" applyFont="1" applyFill="1" applyBorder="1" applyAlignment="1"/>
    <xf numFmtId="0" fontId="38" fillId="5" borderId="7" xfId="0" applyFont="1" applyFill="1" applyBorder="1" applyAlignment="1"/>
    <xf numFmtId="0" fontId="37" fillId="0" borderId="7" xfId="0" applyFont="1" applyFill="1" applyBorder="1" applyAlignment="1">
      <alignment vertical="center"/>
    </xf>
    <xf numFmtId="0" fontId="38" fillId="4" borderId="7" xfId="0" applyFont="1" applyFill="1" applyBorder="1" applyAlignment="1"/>
    <xf numFmtId="0" fontId="50" fillId="4" borderId="7" xfId="0" applyFont="1" applyFill="1" applyBorder="1" applyAlignment="1"/>
    <xf numFmtId="0" fontId="50" fillId="4" borderId="7" xfId="0" applyFont="1" applyFill="1" applyBorder="1" applyAlignment="1">
      <alignment vertical="center"/>
    </xf>
    <xf numFmtId="0" fontId="53" fillId="4" borderId="7" xfId="0" applyFont="1" applyFill="1" applyBorder="1" applyAlignment="1"/>
    <xf numFmtId="0" fontId="61" fillId="0" borderId="1" xfId="0" applyFont="1" applyFill="1" applyBorder="1" applyAlignment="1">
      <alignment vertical="center" wrapText="1"/>
    </xf>
    <xf numFmtId="165" fontId="53" fillId="5" borderId="2" xfId="0" applyNumberFormat="1" applyFont="1" applyFill="1" applyBorder="1" applyAlignment="1">
      <alignment horizontal="right"/>
    </xf>
    <xf numFmtId="2" fontId="17" fillId="0" borderId="2" xfId="0" applyNumberFormat="1" applyFont="1" applyFill="1" applyBorder="1" applyAlignment="1">
      <alignment horizontal="left"/>
    </xf>
    <xf numFmtId="1" fontId="49" fillId="4" borderId="1" xfId="0" applyNumberFormat="1" applyFont="1" applyFill="1" applyBorder="1" applyAlignment="1">
      <alignment horizontal="center"/>
    </xf>
    <xf numFmtId="0" fontId="50" fillId="0" borderId="7" xfId="0" applyFont="1" applyFill="1" applyBorder="1" applyAlignment="1"/>
    <xf numFmtId="2" fontId="49" fillId="4" borderId="1" xfId="0" applyNumberFormat="1" applyFont="1" applyFill="1" applyBorder="1" applyAlignment="1">
      <alignment horizontal="center"/>
    </xf>
    <xf numFmtId="0" fontId="49" fillId="0" borderId="7" xfId="0" applyFont="1" applyFill="1" applyBorder="1" applyAlignment="1"/>
    <xf numFmtId="0" fontId="37" fillId="0" borderId="7" xfId="0" applyFont="1" applyFill="1" applyBorder="1" applyAlignment="1">
      <alignment horizontal="center"/>
    </xf>
    <xf numFmtId="0" fontId="38" fillId="4" borderId="7" xfId="0" applyFont="1" applyFill="1" applyBorder="1" applyAlignment="1">
      <alignment vertical="center"/>
    </xf>
    <xf numFmtId="164" fontId="38" fillId="0" borderId="2" xfId="0" applyNumberFormat="1" applyFont="1" applyBorder="1" applyAlignment="1"/>
    <xf numFmtId="0" fontId="37" fillId="6" borderId="7" xfId="0" applyFont="1" applyFill="1" applyBorder="1" applyAlignment="1"/>
    <xf numFmtId="2" fontId="38" fillId="4" borderId="1" xfId="0" applyNumberFormat="1" applyFont="1" applyFill="1" applyBorder="1" applyAlignment="1"/>
    <xf numFmtId="164" fontId="38" fillId="5" borderId="2" xfId="0" applyNumberFormat="1" applyFont="1" applyFill="1" applyBorder="1" applyAlignment="1">
      <alignment horizontal="right"/>
    </xf>
    <xf numFmtId="0" fontId="17" fillId="5" borderId="22" xfId="0" applyFont="1" applyFill="1" applyBorder="1" applyAlignment="1">
      <alignment horizontal="center"/>
    </xf>
    <xf numFmtId="0" fontId="17" fillId="5" borderId="23" xfId="0" applyFont="1" applyFill="1" applyBorder="1" applyAlignment="1">
      <alignment horizontal="left" wrapText="1"/>
    </xf>
    <xf numFmtId="1" fontId="17" fillId="5" borderId="23" xfId="0" applyNumberFormat="1" applyFont="1" applyFill="1" applyBorder="1" applyAlignment="1">
      <alignment horizontal="center"/>
    </xf>
    <xf numFmtId="2" fontId="17" fillId="5" borderId="23" xfId="0" applyNumberFormat="1" applyFont="1" applyFill="1" applyBorder="1" applyAlignment="1">
      <alignment horizontal="right"/>
    </xf>
    <xf numFmtId="164" fontId="17" fillId="5" borderId="23" xfId="0" applyNumberFormat="1" applyFont="1" applyFill="1" applyBorder="1" applyAlignment="1">
      <alignment horizontal="right"/>
    </xf>
    <xf numFmtId="0" fontId="18" fillId="5" borderId="40" xfId="0" applyFont="1" applyFill="1" applyBorder="1" applyAlignment="1"/>
    <xf numFmtId="2" fontId="17" fillId="0" borderId="1" xfId="0" applyNumberFormat="1" applyFont="1" applyFill="1" applyBorder="1" applyAlignment="1">
      <alignment horizontal="center"/>
    </xf>
    <xf numFmtId="0" fontId="19" fillId="0" borderId="1" xfId="0" applyFont="1" applyFill="1" applyBorder="1" applyAlignment="1">
      <alignment horizontal="center"/>
    </xf>
    <xf numFmtId="0" fontId="19" fillId="0" borderId="2" xfId="0" applyFont="1" applyFill="1" applyBorder="1" applyAlignment="1">
      <alignment horizontal="left"/>
    </xf>
    <xf numFmtId="0" fontId="20" fillId="0" borderId="7" xfId="0" applyFont="1" applyFill="1" applyBorder="1" applyAlignment="1"/>
    <xf numFmtId="0" fontId="23" fillId="0" borderId="2" xfId="0" applyFont="1" applyFill="1" applyBorder="1" applyAlignment="1">
      <alignment horizontal="left"/>
    </xf>
    <xf numFmtId="2" fontId="42" fillId="0" borderId="2" xfId="0" applyNumberFormat="1" applyFont="1" applyFill="1" applyBorder="1" applyAlignment="1">
      <alignment horizontal="right"/>
    </xf>
    <xf numFmtId="0" fontId="42" fillId="0" borderId="7" xfId="0" applyFont="1" applyFill="1" applyBorder="1" applyAlignment="1"/>
    <xf numFmtId="0" fontId="42" fillId="0" borderId="2" xfId="0" applyFont="1" applyFill="1" applyBorder="1" applyAlignment="1">
      <alignment horizontal="left"/>
    </xf>
    <xf numFmtId="166" fontId="22" fillId="6" borderId="14" xfId="1" applyNumberFormat="1" applyFont="1" applyFill="1" applyBorder="1" applyAlignment="1" applyProtection="1"/>
    <xf numFmtId="164" fontId="21" fillId="0" borderId="2" xfId="0" applyNumberFormat="1" applyFont="1" applyBorder="1" applyAlignment="1" applyProtection="1"/>
    <xf numFmtId="164" fontId="21" fillId="0" borderId="2" xfId="0" applyNumberFormat="1" applyFont="1" applyFill="1" applyBorder="1" applyAlignment="1" applyProtection="1">
      <alignment wrapText="1"/>
    </xf>
    <xf numFmtId="164" fontId="21" fillId="0" borderId="2" xfId="0" applyNumberFormat="1" applyFont="1" applyFill="1" applyBorder="1" applyAlignment="1" applyProtection="1"/>
    <xf numFmtId="2" fontId="49" fillId="0" borderId="30" xfId="0" applyNumberFormat="1" applyFont="1" applyFill="1" applyBorder="1" applyAlignment="1"/>
    <xf numFmtId="2" fontId="49" fillId="0" borderId="21" xfId="0" applyNumberFormat="1" applyFont="1" applyFill="1" applyBorder="1" applyAlignment="1"/>
    <xf numFmtId="2" fontId="49" fillId="0" borderId="15" xfId="0" applyNumberFormat="1" applyFont="1" applyFill="1" applyBorder="1" applyAlignment="1"/>
    <xf numFmtId="0" fontId="50" fillId="0" borderId="0" xfId="0" applyFont="1" applyFill="1" applyBorder="1" applyAlignment="1"/>
    <xf numFmtId="2" fontId="49" fillId="5" borderId="2" xfId="0" applyNumberFormat="1" applyFont="1" applyFill="1" applyBorder="1" applyAlignment="1"/>
    <xf numFmtId="0" fontId="38" fillId="5" borderId="2" xfId="0" applyFont="1" applyFill="1" applyBorder="1" applyAlignment="1"/>
    <xf numFmtId="166" fontId="21" fillId="0" borderId="2" xfId="1" applyNumberFormat="1" applyFont="1" applyBorder="1" applyAlignment="1" applyProtection="1"/>
    <xf numFmtId="2" fontId="60" fillId="0" borderId="1" xfId="0" applyNumberFormat="1" applyFont="1" applyFill="1" applyBorder="1" applyAlignment="1">
      <alignment horizontal="center"/>
    </xf>
    <xf numFmtId="2" fontId="60" fillId="0" borderId="2" xfId="0" applyNumberFormat="1" applyFont="1" applyFill="1" applyBorder="1" applyAlignment="1">
      <alignment horizontal="right"/>
    </xf>
    <xf numFmtId="2" fontId="60" fillId="0" borderId="2" xfId="0" applyNumberFormat="1" applyFont="1" applyFill="1" applyBorder="1" applyAlignment="1">
      <alignment horizontal="center"/>
    </xf>
    <xf numFmtId="164" fontId="60" fillId="0" borderId="2" xfId="0" applyNumberFormat="1" applyFont="1" applyFill="1" applyBorder="1" applyAlignment="1">
      <alignment horizontal="right"/>
    </xf>
    <xf numFmtId="0" fontId="53" fillId="0" borderId="7" xfId="0" applyFont="1" applyFill="1" applyBorder="1" applyAlignment="1"/>
    <xf numFmtId="0" fontId="59" fillId="0" borderId="0" xfId="0" applyFont="1" applyFill="1" applyBorder="1" applyAlignment="1"/>
    <xf numFmtId="0" fontId="60" fillId="5" borderId="1" xfId="0" applyFont="1" applyFill="1" applyBorder="1" applyAlignment="1">
      <alignment horizontal="center"/>
    </xf>
    <xf numFmtId="0" fontId="60" fillId="5" borderId="2" xfId="0" applyFont="1" applyFill="1" applyBorder="1" applyAlignment="1">
      <alignment wrapText="1"/>
    </xf>
    <xf numFmtId="0" fontId="38" fillId="5" borderId="1" xfId="0" applyFont="1" applyFill="1" applyBorder="1" applyAlignment="1">
      <alignment horizontal="center" vertical="top"/>
    </xf>
    <xf numFmtId="2" fontId="68" fillId="5" borderId="2" xfId="0" applyNumberFormat="1" applyFont="1" applyFill="1" applyBorder="1" applyAlignment="1"/>
    <xf numFmtId="0" fontId="21" fillId="0" borderId="2" xfId="0" applyFont="1" applyFill="1" applyBorder="1" applyAlignment="1" applyProtection="1">
      <alignment horizontal="center"/>
    </xf>
    <xf numFmtId="0" fontId="21" fillId="0" borderId="2" xfId="0" applyFont="1" applyFill="1" applyBorder="1" applyAlignment="1" applyProtection="1"/>
    <xf numFmtId="0" fontId="17" fillId="0" borderId="0" xfId="13" applyFont="1"/>
    <xf numFmtId="2" fontId="17" fillId="0" borderId="0" xfId="13" applyNumberFormat="1" applyFont="1"/>
    <xf numFmtId="0" fontId="17" fillId="0" borderId="39" xfId="13" applyFont="1" applyBorder="1" applyAlignment="1">
      <alignment vertical="center"/>
    </xf>
    <xf numFmtId="0" fontId="18" fillId="0" borderId="2" xfId="13" applyNumberFormat="1" applyFont="1" applyFill="1" applyBorder="1" applyAlignment="1">
      <alignment horizontal="center" vertical="center"/>
    </xf>
    <xf numFmtId="14" fontId="18" fillId="0" borderId="2" xfId="13" applyNumberFormat="1" applyFont="1" applyFill="1" applyBorder="1" applyAlignment="1">
      <alignment horizontal="center" vertical="center"/>
    </xf>
    <xf numFmtId="14" fontId="20" fillId="0" borderId="2" xfId="13" applyNumberFormat="1" applyFont="1" applyFill="1" applyBorder="1" applyAlignment="1">
      <alignment horizontal="center" vertical="center"/>
    </xf>
    <xf numFmtId="0" fontId="20" fillId="0" borderId="2" xfId="13" applyNumberFormat="1" applyFont="1" applyFill="1" applyBorder="1" applyAlignment="1">
      <alignment horizontal="center" vertical="center"/>
    </xf>
    <xf numFmtId="0" fontId="18" fillId="0" borderId="2" xfId="13" quotePrefix="1" applyNumberFormat="1" applyFont="1" applyFill="1" applyBorder="1" applyAlignment="1">
      <alignment horizontal="center" vertical="center"/>
    </xf>
    <xf numFmtId="0" fontId="18" fillId="0" borderId="0" xfId="13" applyFont="1" applyFill="1"/>
    <xf numFmtId="0" fontId="20" fillId="0" borderId="2" xfId="13" quotePrefix="1" applyNumberFormat="1" applyFont="1" applyFill="1" applyBorder="1" applyAlignment="1">
      <alignment horizontal="center" vertical="center"/>
    </xf>
    <xf numFmtId="166" fontId="18" fillId="4" borderId="2" xfId="1" applyNumberFormat="1" applyFont="1" applyFill="1" applyBorder="1"/>
    <xf numFmtId="2" fontId="18" fillId="0" borderId="2" xfId="13" applyNumberFormat="1" applyFont="1" applyFill="1" applyBorder="1" applyAlignment="1">
      <alignment vertical="center"/>
    </xf>
    <xf numFmtId="2" fontId="20" fillId="0" borderId="2" xfId="13" applyNumberFormat="1" applyFont="1" applyFill="1" applyBorder="1" applyAlignment="1">
      <alignment vertical="center"/>
    </xf>
    <xf numFmtId="2" fontId="20" fillId="4" borderId="2" xfId="13" applyNumberFormat="1" applyFont="1" applyFill="1" applyBorder="1" applyAlignment="1">
      <alignment vertical="center"/>
    </xf>
    <xf numFmtId="2" fontId="19" fillId="5" borderId="2" xfId="13" applyNumberFormat="1" applyFont="1" applyFill="1" applyBorder="1" applyAlignment="1">
      <alignment vertical="center"/>
    </xf>
    <xf numFmtId="166" fontId="18" fillId="0" borderId="2" xfId="1" applyNumberFormat="1" applyFont="1" applyFill="1" applyBorder="1" applyAlignment="1">
      <alignment vertical="center"/>
    </xf>
    <xf numFmtId="166" fontId="19" fillId="5" borderId="2" xfId="1" applyNumberFormat="1" applyFont="1" applyFill="1" applyBorder="1" applyAlignment="1">
      <alignment horizontal="center" vertical="center"/>
    </xf>
    <xf numFmtId="166" fontId="20" fillId="4" borderId="2" xfId="1" applyNumberFormat="1" applyFont="1" applyFill="1" applyBorder="1" applyAlignment="1">
      <alignment horizontal="center" vertical="center"/>
    </xf>
    <xf numFmtId="166" fontId="17" fillId="0" borderId="0" xfId="1" applyNumberFormat="1" applyFont="1"/>
    <xf numFmtId="0" fontId="17" fillId="0" borderId="0" xfId="13" applyFont="1" applyBorder="1" applyAlignment="1">
      <alignment vertical="center"/>
    </xf>
    <xf numFmtId="2" fontId="67" fillId="5" borderId="2" xfId="0" applyNumberFormat="1" applyFont="1" applyFill="1" applyBorder="1" applyAlignment="1"/>
    <xf numFmtId="2" fontId="67" fillId="0" borderId="2" xfId="0" applyNumberFormat="1" applyFont="1" applyFill="1" applyBorder="1" applyAlignment="1">
      <alignment horizontal="center"/>
    </xf>
    <xf numFmtId="164" fontId="64" fillId="0" borderId="2" xfId="0" applyNumberFormat="1" applyFont="1" applyBorder="1" applyAlignment="1"/>
    <xf numFmtId="2" fontId="64" fillId="0" borderId="2" xfId="0" applyNumberFormat="1" applyFont="1" applyBorder="1" applyAlignment="1"/>
    <xf numFmtId="2" fontId="67" fillId="0" borderId="2" xfId="0" applyNumberFormat="1" applyFont="1" applyBorder="1" applyAlignment="1"/>
    <xf numFmtId="2" fontId="67" fillId="0" borderId="2" xfId="0" applyNumberFormat="1" applyFont="1" applyFill="1" applyBorder="1" applyAlignment="1"/>
    <xf numFmtId="166" fontId="17" fillId="5" borderId="2" xfId="1" applyNumberFormat="1" applyFont="1" applyFill="1" applyBorder="1"/>
    <xf numFmtId="0" fontId="65" fillId="0" borderId="2" xfId="0" applyFont="1" applyFill="1" applyBorder="1" applyAlignment="1">
      <alignment horizontal="center" vertical="top"/>
    </xf>
    <xf numFmtId="0" fontId="64" fillId="0" borderId="2" xfId="0" applyFont="1" applyFill="1" applyBorder="1" applyAlignment="1">
      <alignment horizontal="left" vertical="top"/>
    </xf>
    <xf numFmtId="0" fontId="64" fillId="0" borderId="2" xfId="0" applyFont="1" applyFill="1" applyBorder="1" applyAlignment="1">
      <alignment horizontal="center"/>
    </xf>
    <xf numFmtId="2" fontId="64" fillId="0" borderId="2" xfId="0" applyNumberFormat="1" applyFont="1" applyFill="1" applyBorder="1" applyAlignment="1"/>
    <xf numFmtId="0" fontId="22" fillId="4" borderId="0" xfId="0" applyFont="1" applyFill="1" applyBorder="1" applyAlignment="1"/>
    <xf numFmtId="0" fontId="16" fillId="4" borderId="25" xfId="0" applyFont="1" applyFill="1" applyBorder="1" applyAlignment="1"/>
    <xf numFmtId="164" fontId="16" fillId="4" borderId="25" xfId="0" applyNumberFormat="1" applyFont="1" applyFill="1" applyBorder="1" applyAlignment="1"/>
    <xf numFmtId="0" fontId="64" fillId="0" borderId="0" xfId="0" applyFont="1" applyBorder="1" applyAlignment="1">
      <alignment vertical="top"/>
    </xf>
    <xf numFmtId="0" fontId="16" fillId="4" borderId="39" xfId="0" applyFont="1" applyFill="1" applyBorder="1" applyAlignment="1"/>
    <xf numFmtId="0" fontId="64" fillId="0" borderId="39" xfId="0" applyFont="1" applyBorder="1" applyAlignment="1">
      <alignment vertical="top"/>
    </xf>
    <xf numFmtId="0" fontId="70" fillId="0" borderId="23" xfId="0" applyFont="1" applyBorder="1" applyAlignment="1"/>
    <xf numFmtId="0" fontId="0" fillId="0" borderId="2" xfId="0" applyBorder="1"/>
    <xf numFmtId="164" fontId="71" fillId="0" borderId="2" xfId="0" applyNumberFormat="1" applyFont="1" applyBorder="1"/>
    <xf numFmtId="164" fontId="0" fillId="0" borderId="2" xfId="0" applyNumberFormat="1" applyBorder="1"/>
    <xf numFmtId="164" fontId="15" fillId="0" borderId="2" xfId="0" applyNumberFormat="1" applyFont="1" applyBorder="1"/>
    <xf numFmtId="0" fontId="70" fillId="0" borderId="5" xfId="0" applyFont="1" applyBorder="1" applyAlignment="1">
      <alignment horizontal="center" vertical="top"/>
    </xf>
    <xf numFmtId="0" fontId="70" fillId="0" borderId="3" xfId="0" applyFont="1" applyBorder="1" applyAlignment="1">
      <alignment vertical="top"/>
    </xf>
    <xf numFmtId="0" fontId="70" fillId="0" borderId="3" xfId="0" applyFont="1" applyBorder="1" applyAlignment="1"/>
    <xf numFmtId="0" fontId="70" fillId="0" borderId="3" xfId="0" applyFont="1" applyBorder="1" applyAlignment="1">
      <alignment horizontal="center" vertical="top"/>
    </xf>
    <xf numFmtId="0" fontId="70" fillId="0" borderId="6" xfId="0" applyFont="1" applyBorder="1" applyAlignment="1">
      <alignment horizontal="center" vertical="top"/>
    </xf>
    <xf numFmtId="0" fontId="15" fillId="0" borderId="1" xfId="0" applyFont="1" applyBorder="1" applyAlignment="1">
      <alignment horizontal="center" vertical="center"/>
    </xf>
    <xf numFmtId="0" fontId="15" fillId="0" borderId="2" xfId="0" applyFont="1" applyBorder="1" applyAlignment="1">
      <alignment wrapText="1"/>
    </xf>
    <xf numFmtId="164" fontId="0" fillId="0" borderId="7" xfId="0" applyNumberFormat="1" applyBorder="1"/>
    <xf numFmtId="0" fontId="0" fillId="0" borderId="1" xfId="0" applyBorder="1" applyAlignment="1">
      <alignment horizontal="center" vertical="center"/>
    </xf>
    <xf numFmtId="0" fontId="0" fillId="0" borderId="22" xfId="0" applyBorder="1" applyAlignment="1">
      <alignment horizontal="center" vertical="center"/>
    </xf>
    <xf numFmtId="164" fontId="0" fillId="0" borderId="23" xfId="0" applyNumberFormat="1" applyBorder="1"/>
    <xf numFmtId="164" fontId="0" fillId="0" borderId="40" xfId="0" applyNumberFormat="1" applyBorder="1"/>
    <xf numFmtId="164" fontId="3" fillId="0" borderId="2" xfId="0" applyNumberFormat="1" applyFont="1" applyBorder="1" applyAlignment="1">
      <alignment horizontal="center"/>
    </xf>
    <xf numFmtId="164" fontId="3" fillId="0" borderId="23" xfId="0" applyNumberFormat="1" applyFont="1" applyBorder="1" applyAlignment="1">
      <alignment horizontal="center"/>
    </xf>
    <xf numFmtId="164" fontId="3" fillId="0" borderId="7" xfId="0" applyNumberFormat="1" applyFont="1" applyBorder="1" applyAlignment="1">
      <alignment horizontal="center"/>
    </xf>
    <xf numFmtId="164" fontId="3" fillId="0" borderId="40" xfId="0" applyNumberFormat="1" applyFont="1" applyBorder="1" applyAlignment="1">
      <alignment horizontal="center"/>
    </xf>
    <xf numFmtId="0" fontId="17" fillId="0" borderId="0" xfId="13" applyFont="1" applyBorder="1" applyAlignment="1">
      <alignment horizontal="left" vertical="center"/>
    </xf>
    <xf numFmtId="166" fontId="19" fillId="5" borderId="2" xfId="1" applyNumberFormat="1" applyFont="1" applyFill="1" applyBorder="1" applyAlignment="1">
      <alignment vertical="center"/>
    </xf>
    <xf numFmtId="0" fontId="18" fillId="4" borderId="2" xfId="13" quotePrefix="1" applyNumberFormat="1" applyFont="1" applyFill="1" applyBorder="1" applyAlignment="1">
      <alignment horizontal="center" vertical="center"/>
    </xf>
    <xf numFmtId="0" fontId="15" fillId="0" borderId="23" xfId="0" applyFont="1" applyBorder="1" applyAlignment="1">
      <alignment wrapText="1"/>
    </xf>
    <xf numFmtId="0" fontId="0" fillId="0" borderId="0" xfId="0" applyBorder="1" applyAlignment="1">
      <alignment horizontal="center" vertical="center"/>
    </xf>
    <xf numFmtId="0" fontId="15" fillId="0" borderId="0" xfId="0" applyFont="1" applyBorder="1" applyAlignment="1">
      <alignment wrapText="1"/>
    </xf>
    <xf numFmtId="164" fontId="0" fillId="0" borderId="0" xfId="0" applyNumberFormat="1" applyBorder="1"/>
    <xf numFmtId="164" fontId="3" fillId="0" borderId="0" xfId="0" applyNumberFormat="1" applyFont="1" applyBorder="1" applyAlignment="1">
      <alignment horizontal="center"/>
    </xf>
    <xf numFmtId="10" fontId="15" fillId="0" borderId="23" xfId="59" applyNumberFormat="1" applyFont="1" applyBorder="1"/>
    <xf numFmtId="0" fontId="15" fillId="0" borderId="2" xfId="0" applyFont="1" applyBorder="1"/>
    <xf numFmtId="0" fontId="18" fillId="0" borderId="2" xfId="13" applyFont="1" applyFill="1" applyBorder="1" applyAlignment="1">
      <alignment horizontal="right" vertical="center"/>
    </xf>
    <xf numFmtId="169" fontId="18" fillId="0" borderId="0" xfId="13" applyNumberFormat="1" applyFont="1"/>
    <xf numFmtId="171" fontId="18" fillId="0" borderId="2" xfId="13" applyNumberFormat="1" applyFont="1" applyFill="1" applyBorder="1" applyAlignment="1">
      <alignment vertical="center"/>
    </xf>
    <xf numFmtId="171" fontId="20" fillId="0" borderId="2" xfId="13" applyNumberFormat="1" applyFont="1" applyFill="1" applyBorder="1" applyAlignment="1">
      <alignment vertical="center"/>
    </xf>
    <xf numFmtId="171" fontId="20" fillId="4" borderId="2" xfId="13" applyNumberFormat="1" applyFont="1" applyFill="1" applyBorder="1" applyAlignment="1">
      <alignment vertical="center"/>
    </xf>
    <xf numFmtId="171" fontId="19" fillId="5" borderId="2" xfId="13" applyNumberFormat="1" applyFont="1" applyFill="1" applyBorder="1" applyAlignment="1">
      <alignment vertical="center"/>
    </xf>
    <xf numFmtId="0" fontId="17" fillId="0" borderId="0" xfId="13" applyFont="1" applyBorder="1" applyAlignment="1">
      <alignment horizontal="center" vertical="top" wrapText="1"/>
    </xf>
    <xf numFmtId="166" fontId="18" fillId="0" borderId="0" xfId="1" applyNumberFormat="1" applyFont="1" applyFill="1" applyBorder="1" applyAlignment="1">
      <alignment vertical="center"/>
    </xf>
    <xf numFmtId="2" fontId="18" fillId="0" borderId="0" xfId="13" applyNumberFormat="1" applyFont="1" applyFill="1" applyBorder="1" applyAlignment="1">
      <alignment vertical="center"/>
    </xf>
    <xf numFmtId="166" fontId="19" fillId="5" borderId="0" xfId="1" applyNumberFormat="1" applyFont="1" applyFill="1" applyBorder="1" applyAlignment="1">
      <alignment vertical="center"/>
    </xf>
    <xf numFmtId="0" fontId="17" fillId="0" borderId="2" xfId="13" applyFont="1" applyBorder="1" applyAlignment="1"/>
    <xf numFmtId="164" fontId="67" fillId="0" borderId="2" xfId="0" applyNumberFormat="1" applyFont="1" applyFill="1" applyBorder="1" applyAlignment="1"/>
    <xf numFmtId="164" fontId="69" fillId="0" borderId="2" xfId="0" applyNumberFormat="1" applyFont="1" applyFill="1" applyBorder="1" applyAlignment="1"/>
    <xf numFmtId="164" fontId="64" fillId="0" borderId="2" xfId="0" applyNumberFormat="1" applyFont="1" applyFill="1" applyBorder="1" applyAlignment="1"/>
    <xf numFmtId="0" fontId="18" fillId="0" borderId="43" xfId="13" applyNumberFormat="1" applyFont="1" applyFill="1" applyBorder="1" applyAlignment="1">
      <alignment vertical="center"/>
    </xf>
    <xf numFmtId="0" fontId="18" fillId="0" borderId="44" xfId="13" applyFont="1" applyBorder="1"/>
    <xf numFmtId="2" fontId="18" fillId="0" borderId="44" xfId="13" applyNumberFormat="1" applyFont="1" applyBorder="1"/>
    <xf numFmtId="2" fontId="18" fillId="0" borderId="45" xfId="13" applyNumberFormat="1" applyFont="1" applyBorder="1"/>
    <xf numFmtId="0" fontId="18" fillId="0" borderId="46" xfId="13" applyNumberFormat="1" applyFont="1" applyFill="1" applyBorder="1" applyAlignment="1">
      <alignment vertical="center"/>
    </xf>
    <xf numFmtId="0" fontId="18" fillId="0" borderId="47" xfId="13" applyFont="1" applyBorder="1"/>
    <xf numFmtId="2" fontId="18" fillId="0" borderId="47" xfId="13" applyNumberFormat="1" applyFont="1" applyBorder="1"/>
    <xf numFmtId="0" fontId="18" fillId="0" borderId="48" xfId="13" applyFont="1" applyBorder="1"/>
    <xf numFmtId="0" fontId="18" fillId="0" borderId="45" xfId="13" applyFont="1" applyBorder="1"/>
    <xf numFmtId="0" fontId="30" fillId="0" borderId="2" xfId="0" applyFont="1" applyBorder="1" applyAlignment="1">
      <alignment horizontal="center" vertical="center"/>
    </xf>
    <xf numFmtId="2" fontId="18" fillId="0" borderId="2" xfId="13" applyNumberFormat="1" applyFont="1" applyFill="1" applyBorder="1" applyAlignment="1">
      <alignment horizontal="right" vertical="center"/>
    </xf>
    <xf numFmtId="166" fontId="18" fillId="0" borderId="2" xfId="1" applyNumberFormat="1" applyFont="1" applyBorder="1"/>
    <xf numFmtId="166" fontId="17" fillId="0" borderId="2" xfId="1" applyNumberFormat="1" applyFont="1" applyBorder="1"/>
    <xf numFmtId="0" fontId="17" fillId="0" borderId="2" xfId="1" applyNumberFormat="1" applyFont="1" applyBorder="1"/>
    <xf numFmtId="2" fontId="17" fillId="0" borderId="2" xfId="13" applyNumberFormat="1" applyFont="1" applyBorder="1" applyAlignment="1">
      <alignment horizontal="right" vertical="center"/>
    </xf>
    <xf numFmtId="2" fontId="17" fillId="0" borderId="2" xfId="1" applyNumberFormat="1" applyFont="1" applyBorder="1"/>
    <xf numFmtId="0" fontId="17" fillId="0" borderId="2" xfId="13" applyNumberFormat="1" applyFont="1" applyFill="1" applyBorder="1" applyAlignment="1">
      <alignment vertical="center"/>
    </xf>
    <xf numFmtId="0" fontId="17" fillId="0" borderId="2" xfId="13" applyFont="1" applyFill="1" applyBorder="1" applyAlignment="1">
      <alignment vertical="center"/>
    </xf>
    <xf numFmtId="0" fontId="17" fillId="0" borderId="2" xfId="13" applyFont="1" applyFill="1" applyBorder="1" applyAlignment="1">
      <alignment horizontal="left" vertical="center"/>
    </xf>
    <xf numFmtId="165" fontId="18" fillId="4" borderId="0" xfId="0" applyNumberFormat="1" applyFont="1" applyFill="1" applyBorder="1" applyAlignment="1">
      <alignment horizontal="left"/>
    </xf>
    <xf numFmtId="0" fontId="16" fillId="4" borderId="0" xfId="0" applyFont="1" applyFill="1" applyBorder="1" applyAlignment="1">
      <alignment horizontal="left"/>
    </xf>
    <xf numFmtId="0" fontId="16" fillId="0" borderId="2" xfId="0" applyFont="1" applyFill="1" applyBorder="1" applyAlignment="1" applyProtection="1">
      <alignment vertical="top" wrapText="1"/>
    </xf>
    <xf numFmtId="2" fontId="16" fillId="5" borderId="2" xfId="0" applyNumberFormat="1" applyFont="1" applyFill="1" applyBorder="1" applyAlignment="1" applyProtection="1">
      <alignment horizontal="center" vertical="top"/>
    </xf>
    <xf numFmtId="0" fontId="16" fillId="5" borderId="2" xfId="0" applyFont="1" applyFill="1" applyBorder="1" applyAlignment="1" applyProtection="1">
      <alignment vertical="top" wrapText="1"/>
    </xf>
    <xf numFmtId="49" fontId="16" fillId="0" borderId="2" xfId="20" applyNumberFormat="1" applyFont="1" applyFill="1" applyBorder="1" applyAlignment="1" applyProtection="1">
      <alignment horizontal="center" vertical="top" wrapText="1"/>
    </xf>
    <xf numFmtId="0" fontId="21" fillId="0" borderId="2" xfId="20" applyNumberFormat="1" applyFont="1" applyFill="1" applyBorder="1" applyAlignment="1" applyProtection="1">
      <alignment horizontal="justify" vertical="top" wrapText="1"/>
    </xf>
    <xf numFmtId="165" fontId="16" fillId="0" borderId="2" xfId="0" applyNumberFormat="1" applyFont="1" applyBorder="1" applyAlignment="1" applyProtection="1">
      <alignment horizontal="center" vertical="top"/>
    </xf>
    <xf numFmtId="165" fontId="16" fillId="4" borderId="2" xfId="0" applyNumberFormat="1" applyFont="1" applyFill="1" applyBorder="1" applyAlignment="1" applyProtection="1">
      <alignment horizontal="center" vertical="top"/>
    </xf>
    <xf numFmtId="0" fontId="16" fillId="0" borderId="2" xfId="34" applyFont="1" applyBorder="1" applyAlignment="1" applyProtection="1">
      <alignment horizontal="center" vertical="top"/>
    </xf>
    <xf numFmtId="0" fontId="16" fillId="5" borderId="2" xfId="34" applyFont="1" applyFill="1" applyBorder="1" applyAlignment="1" applyProtection="1">
      <alignment vertical="top" wrapText="1"/>
    </xf>
    <xf numFmtId="0" fontId="21" fillId="0" borderId="2" xfId="34" applyFont="1" applyBorder="1" applyAlignment="1" applyProtection="1">
      <alignment vertical="top" wrapText="1"/>
    </xf>
    <xf numFmtId="165" fontId="16" fillId="5" borderId="2" xfId="0" applyNumberFormat="1" applyFont="1" applyFill="1" applyBorder="1" applyAlignment="1" applyProtection="1">
      <alignment horizontal="center" vertical="top"/>
    </xf>
    <xf numFmtId="165" fontId="16" fillId="0" borderId="2" xfId="0" applyNumberFormat="1" applyFont="1" applyFill="1" applyBorder="1" applyAlignment="1" applyProtection="1">
      <alignment horizontal="center" vertical="top"/>
    </xf>
    <xf numFmtId="0" fontId="21" fillId="0" borderId="2" xfId="0" applyFont="1" applyBorder="1" applyAlignment="1" applyProtection="1">
      <alignment vertical="top"/>
    </xf>
    <xf numFmtId="0" fontId="16" fillId="0" borderId="0" xfId="0" applyFont="1" applyBorder="1" applyAlignment="1" applyProtection="1">
      <alignment horizontal="center" vertical="top"/>
    </xf>
    <xf numFmtId="0" fontId="21" fillId="0" borderId="2" xfId="20" applyNumberFormat="1" applyFont="1" applyFill="1" applyBorder="1" applyAlignment="1" applyProtection="1">
      <alignment vertical="top" wrapText="1"/>
    </xf>
    <xf numFmtId="165" fontId="16" fillId="0" borderId="2" xfId="0" quotePrefix="1" applyNumberFormat="1" applyFont="1" applyBorder="1" applyAlignment="1" applyProtection="1">
      <alignment horizontal="center" vertical="top"/>
    </xf>
    <xf numFmtId="0" fontId="16" fillId="0" borderId="2" xfId="0" applyFont="1" applyBorder="1" applyAlignment="1" applyProtection="1">
      <alignment vertical="top" wrapText="1"/>
    </xf>
    <xf numFmtId="0" fontId="16" fillId="0" borderId="2" xfId="0" applyNumberFormat="1" applyFont="1" applyFill="1" applyBorder="1" applyAlignment="1" applyProtection="1">
      <alignment horizontal="center" vertical="top" wrapText="1"/>
    </xf>
    <xf numFmtId="0" fontId="21" fillId="0" borderId="2" xfId="0" applyNumberFormat="1" applyFont="1" applyFill="1" applyBorder="1" applyAlignment="1" applyProtection="1">
      <alignment vertical="top" wrapText="1"/>
    </xf>
    <xf numFmtId="0" fontId="16" fillId="5" borderId="2" xfId="0" applyFont="1" applyFill="1" applyBorder="1" applyAlignment="1" applyProtection="1">
      <alignment horizontal="center" vertical="top"/>
    </xf>
    <xf numFmtId="165" fontId="16" fillId="0" borderId="2" xfId="20" quotePrefix="1" applyNumberFormat="1" applyFont="1" applyFill="1" applyBorder="1" applyAlignment="1" applyProtection="1">
      <alignment horizontal="center" vertical="top" wrapText="1"/>
    </xf>
    <xf numFmtId="0" fontId="16" fillId="0" borderId="2" xfId="20" applyNumberFormat="1" applyFont="1" applyFill="1" applyBorder="1" applyAlignment="1" applyProtection="1">
      <alignment vertical="top" wrapText="1"/>
    </xf>
    <xf numFmtId="0" fontId="16" fillId="0" borderId="2" xfId="20" applyNumberFormat="1" applyFont="1" applyFill="1" applyBorder="1" applyAlignment="1" applyProtection="1">
      <alignment horizontal="center" vertical="top" wrapText="1"/>
    </xf>
    <xf numFmtId="165" fontId="16" fillId="0" borderId="2" xfId="20" applyNumberFormat="1" applyFont="1" applyFill="1" applyBorder="1" applyAlignment="1" applyProtection="1">
      <alignment horizontal="center" vertical="top" wrapText="1"/>
    </xf>
    <xf numFmtId="0" fontId="16" fillId="0" borderId="2" xfId="20" quotePrefix="1" applyNumberFormat="1" applyFont="1" applyFill="1" applyBorder="1" applyAlignment="1" applyProtection="1">
      <alignment horizontal="center" vertical="top" wrapText="1"/>
    </xf>
    <xf numFmtId="0" fontId="16" fillId="4" borderId="2" xfId="20" applyNumberFormat="1" applyFont="1" applyFill="1" applyBorder="1" applyAlignment="1" applyProtection="1">
      <alignment horizontal="center" vertical="top" wrapText="1"/>
    </xf>
    <xf numFmtId="0" fontId="21" fillId="4" borderId="2" xfId="20" applyNumberFormat="1" applyFont="1" applyFill="1" applyBorder="1" applyAlignment="1" applyProtection="1">
      <alignment horizontal="justify" vertical="top" wrapText="1"/>
    </xf>
    <xf numFmtId="0" fontId="16" fillId="4" borderId="2" xfId="20" applyNumberFormat="1" applyFont="1" applyFill="1" applyBorder="1" applyAlignment="1" applyProtection="1">
      <alignment vertical="top" wrapText="1"/>
    </xf>
    <xf numFmtId="0" fontId="21" fillId="4" borderId="2" xfId="20" applyNumberFormat="1" applyFont="1" applyFill="1" applyBorder="1" applyAlignment="1" applyProtection="1">
      <alignment vertical="top" wrapText="1"/>
    </xf>
    <xf numFmtId="165" fontId="16" fillId="0" borderId="2" xfId="53" applyNumberFormat="1" applyFont="1" applyFill="1" applyBorder="1" applyAlignment="1" applyProtection="1">
      <alignment horizontal="center" vertical="top" wrapText="1"/>
    </xf>
    <xf numFmtId="0" fontId="16" fillId="0" borderId="2" xfId="53" applyNumberFormat="1" applyFont="1" applyFill="1" applyBorder="1" applyAlignment="1" applyProtection="1">
      <alignment horizontal="center" vertical="top" wrapText="1"/>
    </xf>
    <xf numFmtId="0" fontId="21" fillId="0" borderId="2" xfId="53" applyNumberFormat="1" applyFont="1" applyFill="1" applyBorder="1" applyAlignment="1" applyProtection="1">
      <alignment vertical="top" wrapText="1"/>
    </xf>
    <xf numFmtId="0" fontId="16" fillId="5" borderId="2" xfId="20" applyNumberFormat="1" applyFont="1" applyFill="1" applyBorder="1" applyAlignment="1" applyProtection="1">
      <alignment horizontal="center" vertical="top" wrapText="1"/>
    </xf>
    <xf numFmtId="0" fontId="16" fillId="5" borderId="2" xfId="20" applyFont="1" applyFill="1" applyBorder="1" applyAlignment="1" applyProtection="1">
      <alignment vertical="top" wrapText="1"/>
    </xf>
    <xf numFmtId="0" fontId="16" fillId="0" borderId="2" xfId="20" applyNumberFormat="1" applyFont="1" applyFill="1" applyBorder="1" applyAlignment="1" applyProtection="1">
      <alignment horizontal="center" vertical="top"/>
    </xf>
    <xf numFmtId="49" fontId="16" fillId="0" borderId="2" xfId="20" applyNumberFormat="1" applyFont="1" applyFill="1" applyBorder="1" applyAlignment="1" applyProtection="1">
      <alignment horizontal="center" vertical="top"/>
    </xf>
    <xf numFmtId="49" fontId="16" fillId="4" borderId="2" xfId="20" applyNumberFormat="1" applyFont="1" applyFill="1" applyBorder="1" applyAlignment="1" applyProtection="1">
      <alignment horizontal="center" vertical="top"/>
    </xf>
    <xf numFmtId="0" fontId="16" fillId="0" borderId="2" xfId="20" applyFont="1" applyFill="1" applyBorder="1" applyAlignment="1" applyProtection="1">
      <alignment horizontal="center" vertical="top" wrapText="1"/>
    </xf>
    <xf numFmtId="49" fontId="16" fillId="5" borderId="2" xfId="20" quotePrefix="1" applyNumberFormat="1" applyFont="1" applyFill="1" applyBorder="1" applyAlignment="1" applyProtection="1">
      <alignment horizontal="center" vertical="top"/>
    </xf>
    <xf numFmtId="0" fontId="16" fillId="5" borderId="2" xfId="20" applyFont="1" applyFill="1" applyBorder="1" applyAlignment="1" applyProtection="1">
      <alignment vertical="top"/>
    </xf>
    <xf numFmtId="0" fontId="21" fillId="0" borderId="2" xfId="20" applyNumberFormat="1" applyFont="1" applyFill="1" applyBorder="1" applyAlignment="1" applyProtection="1">
      <alignment vertical="top"/>
    </xf>
    <xf numFmtId="0" fontId="16" fillId="0" borderId="2" xfId="20" applyFont="1" applyFill="1" applyBorder="1" applyAlignment="1" applyProtection="1">
      <alignment vertical="top"/>
    </xf>
    <xf numFmtId="0" fontId="21" fillId="0" borderId="2" xfId="20" applyFont="1" applyFill="1" applyBorder="1" applyAlignment="1" applyProtection="1">
      <alignment vertical="top"/>
    </xf>
    <xf numFmtId="0" fontId="16" fillId="4" borderId="2" xfId="20" applyFont="1" applyFill="1" applyBorder="1" applyAlignment="1" applyProtection="1">
      <alignment vertical="top"/>
    </xf>
    <xf numFmtId="49" fontId="16" fillId="0" borderId="2" xfId="20" quotePrefix="1" applyNumberFormat="1" applyFont="1" applyFill="1" applyBorder="1" applyAlignment="1" applyProtection="1">
      <alignment horizontal="center" vertical="top" wrapText="1"/>
    </xf>
    <xf numFmtId="1" fontId="16" fillId="5" borderId="2" xfId="0" applyNumberFormat="1" applyFont="1" applyFill="1" applyBorder="1" applyAlignment="1" applyProtection="1">
      <alignment horizontal="center" vertical="top" wrapText="1"/>
    </xf>
    <xf numFmtId="1" fontId="16" fillId="2" borderId="2" xfId="0" applyNumberFormat="1" applyFont="1" applyFill="1" applyBorder="1" applyAlignment="1" applyProtection="1">
      <alignment horizontal="center" vertical="top" wrapText="1"/>
    </xf>
    <xf numFmtId="0" fontId="16" fillId="0" borderId="2" xfId="20" applyFont="1" applyFill="1" applyBorder="1" applyAlignment="1" applyProtection="1">
      <alignment horizontal="center" vertical="top"/>
    </xf>
    <xf numFmtId="165" fontId="16" fillId="2" borderId="2" xfId="0" applyNumberFormat="1" applyFont="1" applyFill="1" applyBorder="1" applyAlignment="1" applyProtection="1">
      <alignment horizontal="center" vertical="top" wrapText="1"/>
    </xf>
    <xf numFmtId="0" fontId="16" fillId="0" borderId="2" xfId="0" applyNumberFormat="1" applyFont="1" applyFill="1" applyBorder="1" applyAlignment="1" applyProtection="1">
      <alignment vertical="top" wrapText="1"/>
    </xf>
    <xf numFmtId="49" fontId="16" fillId="0" borderId="2" xfId="0" applyNumberFormat="1" applyFont="1" applyFill="1" applyBorder="1" applyAlignment="1" applyProtection="1">
      <alignment horizontal="center" vertical="top" wrapText="1"/>
    </xf>
    <xf numFmtId="0" fontId="16" fillId="0" borderId="19" xfId="0" applyFont="1" applyFill="1" applyBorder="1" applyAlignment="1" applyProtection="1">
      <alignment vertical="top" wrapText="1"/>
    </xf>
    <xf numFmtId="165" fontId="16" fillId="4" borderId="2" xfId="20" applyNumberFormat="1" applyFont="1" applyFill="1" applyBorder="1" applyAlignment="1" applyProtection="1">
      <alignment horizontal="center" vertical="top" wrapText="1"/>
    </xf>
    <xf numFmtId="0" fontId="16" fillId="0" borderId="2" xfId="55" quotePrefix="1" applyFont="1" applyFill="1" applyBorder="1" applyAlignment="1" applyProtection="1">
      <alignment horizontal="center" vertical="top" wrapText="1"/>
    </xf>
    <xf numFmtId="0" fontId="16" fillId="0" borderId="2" xfId="55" applyFont="1" applyFill="1" applyBorder="1" applyAlignment="1" applyProtection="1">
      <alignment vertical="top" wrapText="1"/>
    </xf>
    <xf numFmtId="0" fontId="16" fillId="0" borderId="2" xfId="55" applyFont="1" applyFill="1" applyBorder="1" applyAlignment="1" applyProtection="1">
      <alignment horizontal="center" vertical="top" wrapText="1"/>
    </xf>
    <xf numFmtId="0" fontId="21" fillId="0" borderId="2" xfId="55" applyFont="1" applyFill="1" applyBorder="1" applyAlignment="1" applyProtection="1">
      <alignment vertical="top" wrapText="1"/>
    </xf>
    <xf numFmtId="0" fontId="21" fillId="0" borderId="2" xfId="0" applyFont="1" applyFill="1" applyBorder="1" applyAlignment="1" applyProtection="1">
      <alignment horizontal="center" vertical="top" wrapText="1"/>
    </xf>
    <xf numFmtId="0" fontId="16" fillId="5" borderId="2" xfId="0" applyFont="1" applyFill="1" applyBorder="1" applyAlignment="1" applyProtection="1">
      <alignment horizontal="center" vertical="top" wrapText="1"/>
    </xf>
    <xf numFmtId="165" fontId="16" fillId="0" borderId="2" xfId="0" quotePrefix="1" applyNumberFormat="1" applyFont="1" applyFill="1" applyBorder="1" applyAlignment="1" applyProtection="1">
      <alignment horizontal="center" vertical="top" wrapText="1"/>
    </xf>
    <xf numFmtId="165" fontId="16" fillId="0" borderId="2" xfId="0" applyNumberFormat="1" applyFont="1" applyFill="1" applyBorder="1" applyAlignment="1" applyProtection="1">
      <alignment horizontal="center" vertical="top" wrapText="1"/>
    </xf>
    <xf numFmtId="2" fontId="16" fillId="0" borderId="2" xfId="0" applyNumberFormat="1" applyFont="1" applyFill="1" applyBorder="1" applyAlignment="1" applyProtection="1">
      <alignment horizontal="center" vertical="top" wrapText="1"/>
    </xf>
    <xf numFmtId="0" fontId="16" fillId="5" borderId="2" xfId="0" applyNumberFormat="1" applyFont="1" applyFill="1" applyBorder="1" applyAlignment="1" applyProtection="1">
      <alignment vertical="top" wrapText="1"/>
    </xf>
    <xf numFmtId="2" fontId="16" fillId="4" borderId="2" xfId="0" applyNumberFormat="1" applyFont="1" applyFill="1" applyBorder="1" applyAlignment="1" applyProtection="1">
      <alignment horizontal="center" vertical="top" wrapText="1"/>
    </xf>
    <xf numFmtId="0" fontId="21" fillId="4" borderId="2" xfId="20" applyFont="1" applyFill="1" applyBorder="1" applyAlignment="1" applyProtection="1">
      <alignment vertical="top"/>
    </xf>
    <xf numFmtId="165" fontId="16" fillId="5" borderId="2" xfId="20" applyNumberFormat="1" applyFont="1" applyFill="1" applyBorder="1" applyAlignment="1" applyProtection="1">
      <alignment horizontal="center" vertical="top" wrapText="1"/>
    </xf>
    <xf numFmtId="0" fontId="16" fillId="5" borderId="2" xfId="20" applyFont="1" applyFill="1" applyBorder="1" applyAlignment="1" applyProtection="1">
      <alignment horizontal="left" vertical="top" wrapText="1"/>
    </xf>
    <xf numFmtId="0" fontId="16" fillId="0" borderId="2" xfId="20" applyFont="1" applyFill="1" applyBorder="1" applyAlignment="1" applyProtection="1">
      <alignment horizontal="left" vertical="top" wrapText="1"/>
    </xf>
    <xf numFmtId="2" fontId="16" fillId="0" borderId="2" xfId="20" applyNumberFormat="1" applyFont="1" applyFill="1" applyBorder="1" applyAlignment="1" applyProtection="1">
      <alignment horizontal="center" vertical="top" wrapText="1"/>
    </xf>
    <xf numFmtId="0" fontId="21" fillId="0" borderId="2" xfId="20" applyFont="1" applyFill="1" applyBorder="1" applyAlignment="1" applyProtection="1">
      <alignment horizontal="left" vertical="top" wrapText="1"/>
    </xf>
    <xf numFmtId="165" fontId="16" fillId="0" borderId="2" xfId="20" quotePrefix="1" applyNumberFormat="1" applyFont="1" applyFill="1" applyBorder="1" applyAlignment="1" applyProtection="1">
      <alignment horizontal="center" vertical="top"/>
    </xf>
    <xf numFmtId="0" fontId="16" fillId="0" borderId="2" xfId="20" applyFont="1" applyFill="1" applyBorder="1" applyAlignment="1" applyProtection="1">
      <alignment horizontal="justify" vertical="top" wrapText="1"/>
    </xf>
    <xf numFmtId="2" fontId="16" fillId="0" borderId="2" xfId="20" applyNumberFormat="1" applyFont="1" applyFill="1" applyBorder="1" applyAlignment="1" applyProtection="1">
      <alignment horizontal="center" vertical="top"/>
    </xf>
    <xf numFmtId="0" fontId="21" fillId="0" borderId="2" xfId="20" applyFont="1" applyFill="1" applyBorder="1" applyAlignment="1" applyProtection="1">
      <alignment horizontal="justify" vertical="top" wrapText="1"/>
    </xf>
    <xf numFmtId="2" fontId="16" fillId="0" borderId="2" xfId="20" quotePrefix="1" applyNumberFormat="1" applyFont="1" applyFill="1" applyBorder="1" applyAlignment="1" applyProtection="1">
      <alignment horizontal="center" vertical="top"/>
    </xf>
    <xf numFmtId="165" fontId="16" fillId="0" borderId="2" xfId="20" applyNumberFormat="1" applyFont="1" applyFill="1" applyBorder="1" applyAlignment="1" applyProtection="1">
      <alignment horizontal="center" vertical="top"/>
    </xf>
    <xf numFmtId="165" fontId="16" fillId="0" borderId="13" xfId="20" applyNumberFormat="1" applyFont="1" applyFill="1" applyBorder="1" applyAlignment="1" applyProtection="1">
      <alignment horizontal="center" vertical="top"/>
    </xf>
    <xf numFmtId="2" fontId="16" fillId="0" borderId="2" xfId="0" quotePrefix="1" applyNumberFormat="1" applyFont="1" applyFill="1" applyBorder="1" applyAlignment="1" applyProtection="1">
      <alignment horizontal="center" vertical="top" wrapText="1"/>
    </xf>
    <xf numFmtId="0" fontId="16" fillId="0" borderId="2" xfId="0" applyFont="1" applyBorder="1" applyAlignment="1" applyProtection="1">
      <alignment horizontal="left" vertical="top" wrapText="1"/>
    </xf>
    <xf numFmtId="165" fontId="16" fillId="5" borderId="2" xfId="0" applyNumberFormat="1" applyFont="1" applyFill="1" applyBorder="1" applyAlignment="1" applyProtection="1">
      <alignment horizontal="center" vertical="top" wrapText="1"/>
    </xf>
    <xf numFmtId="165" fontId="16" fillId="4" borderId="2" xfId="0" applyNumberFormat="1" applyFont="1" applyFill="1" applyBorder="1" applyAlignment="1" applyProtection="1">
      <alignment horizontal="center" vertical="top" wrapText="1"/>
    </xf>
    <xf numFmtId="0" fontId="21" fillId="4" borderId="2" xfId="20" applyFont="1" applyFill="1" applyBorder="1" applyAlignment="1" applyProtection="1">
      <alignment vertical="top" wrapText="1"/>
    </xf>
    <xf numFmtId="0" fontId="73" fillId="0" borderId="2" xfId="0" applyFont="1" applyBorder="1" applyAlignment="1">
      <alignment vertical="top"/>
    </xf>
    <xf numFmtId="0" fontId="74" fillId="0" borderId="2" xfId="0" applyFont="1" applyBorder="1" applyAlignment="1">
      <alignment vertical="top"/>
    </xf>
    <xf numFmtId="0" fontId="73" fillId="0" borderId="2" xfId="0" applyFont="1" applyBorder="1" applyAlignment="1"/>
    <xf numFmtId="164" fontId="73" fillId="0" borderId="2" xfId="0" applyNumberFormat="1" applyFont="1" applyBorder="1" applyAlignment="1"/>
    <xf numFmtId="0" fontId="73" fillId="0" borderId="0" xfId="0" applyFont="1" applyAlignment="1">
      <alignment vertical="top"/>
    </xf>
    <xf numFmtId="166" fontId="74" fillId="0" borderId="2" xfId="1" applyNumberFormat="1" applyFont="1" applyBorder="1" applyAlignment="1">
      <alignment horizontal="center"/>
    </xf>
    <xf numFmtId="0" fontId="17" fillId="0" borderId="0" xfId="11" applyFont="1" applyAlignment="1">
      <alignment vertical="center"/>
    </xf>
    <xf numFmtId="0" fontId="17" fillId="0" borderId="39" xfId="13" applyFont="1" applyBorder="1"/>
    <xf numFmtId="0" fontId="17" fillId="0" borderId="39" xfId="13" applyFont="1" applyBorder="1" applyAlignment="1">
      <alignment horizontal="center" vertical="center"/>
    </xf>
    <xf numFmtId="0" fontId="18" fillId="4" borderId="0" xfId="0" applyFont="1" applyFill="1" applyBorder="1" applyAlignment="1">
      <alignment horizontal="left"/>
    </xf>
    <xf numFmtId="0" fontId="18" fillId="4" borderId="0" xfId="0" applyFont="1" applyFill="1" applyBorder="1" applyAlignment="1">
      <alignment horizontal="left" vertical="center"/>
    </xf>
    <xf numFmtId="164" fontId="18" fillId="4" borderId="0" xfId="0" applyNumberFormat="1" applyFont="1" applyFill="1" applyBorder="1" applyAlignment="1">
      <alignment horizontal="left"/>
    </xf>
    <xf numFmtId="0" fontId="47" fillId="4" borderId="0" xfId="0" applyFont="1" applyFill="1" applyBorder="1" applyAlignment="1">
      <alignment horizontal="left"/>
    </xf>
    <xf numFmtId="0" fontId="47" fillId="4" borderId="0" xfId="0" applyFont="1" applyFill="1" applyBorder="1" applyAlignment="1">
      <alignment horizontal="left" vertical="center"/>
    </xf>
    <xf numFmtId="0" fontId="18" fillId="0" borderId="0" xfId="0" applyFont="1" applyFill="1" applyBorder="1" applyAlignment="1">
      <alignment horizontal="left"/>
    </xf>
    <xf numFmtId="0" fontId="37" fillId="4" borderId="0" xfId="0" applyFont="1" applyFill="1" applyBorder="1" applyAlignment="1">
      <alignment horizontal="left"/>
    </xf>
    <xf numFmtId="0" fontId="20" fillId="4" borderId="0" xfId="0" applyFont="1" applyFill="1" applyBorder="1" applyAlignment="1">
      <alignment horizontal="left"/>
    </xf>
    <xf numFmtId="0" fontId="42" fillId="4" borderId="0" xfId="0" applyFont="1" applyFill="1" applyBorder="1" applyAlignment="1">
      <alignment horizontal="left"/>
    </xf>
    <xf numFmtId="0" fontId="56" fillId="4" borderId="0" xfId="0" applyFont="1" applyFill="1" applyBorder="1" applyAlignment="1">
      <alignment horizontal="left"/>
    </xf>
    <xf numFmtId="0" fontId="51" fillId="4" borderId="0" xfId="0" applyFont="1" applyFill="1" applyBorder="1" applyAlignment="1">
      <alignment horizontal="left"/>
    </xf>
    <xf numFmtId="2" fontId="18" fillId="0" borderId="0" xfId="0" applyNumberFormat="1" applyFont="1" applyFill="1" applyBorder="1" applyAlignment="1">
      <alignment horizontal="left"/>
    </xf>
    <xf numFmtId="165" fontId="47" fillId="4" borderId="0" xfId="0" applyNumberFormat="1" applyFont="1" applyFill="1" applyBorder="1" applyAlignment="1">
      <alignment horizontal="left"/>
    </xf>
    <xf numFmtId="0" fontId="17" fillId="4" borderId="0" xfId="0" applyFont="1" applyFill="1" applyBorder="1" applyAlignment="1">
      <alignment horizontal="left"/>
    </xf>
    <xf numFmtId="0" fontId="42" fillId="4" borderId="0" xfId="0" applyFont="1" applyFill="1" applyBorder="1" applyAlignment="1">
      <alignment horizontal="left" vertical="center"/>
    </xf>
    <xf numFmtId="164" fontId="18" fillId="4" borderId="0" xfId="0" applyNumberFormat="1" applyFont="1" applyFill="1" applyBorder="1" applyAlignment="1">
      <alignment horizontal="left" vertical="center"/>
    </xf>
    <xf numFmtId="0" fontId="18" fillId="0" borderId="0" xfId="0" applyFont="1" applyFill="1" applyBorder="1" applyAlignment="1">
      <alignment horizontal="left" vertical="center"/>
    </xf>
    <xf numFmtId="0" fontId="17" fillId="5" borderId="0" xfId="0" applyFont="1" applyFill="1" applyBorder="1" applyAlignment="1">
      <alignment horizontal="left"/>
    </xf>
    <xf numFmtId="0" fontId="56" fillId="0" borderId="0" xfId="0" applyFont="1" applyFill="1" applyBorder="1" applyAlignment="1">
      <alignment horizontal="left"/>
    </xf>
    <xf numFmtId="0" fontId="23" fillId="4" borderId="0" xfId="0" applyFont="1" applyFill="1" applyBorder="1" applyAlignment="1">
      <alignment horizontal="left"/>
    </xf>
    <xf numFmtId="0" fontId="17" fillId="4" borderId="0" xfId="0" applyFont="1" applyFill="1" applyBorder="1" applyAlignment="1">
      <alignment horizontal="left" vertical="center"/>
    </xf>
    <xf numFmtId="0" fontId="18" fillId="5" borderId="0" xfId="0" applyFont="1" applyFill="1" applyBorder="1" applyAlignment="1">
      <alignment horizontal="left"/>
    </xf>
    <xf numFmtId="0" fontId="18" fillId="6" borderId="0" xfId="0" applyFont="1" applyFill="1" applyBorder="1" applyAlignment="1">
      <alignment horizontal="left"/>
    </xf>
    <xf numFmtId="165" fontId="37" fillId="4" borderId="0" xfId="0" applyNumberFormat="1" applyFont="1" applyFill="1" applyBorder="1" applyAlignment="1">
      <alignment horizontal="left"/>
    </xf>
    <xf numFmtId="0" fontId="37" fillId="0" borderId="0" xfId="0" applyFont="1" applyFill="1" applyBorder="1" applyAlignment="1">
      <alignment horizontal="left"/>
    </xf>
    <xf numFmtId="0" fontId="58" fillId="4" borderId="0" xfId="0" applyFont="1" applyFill="1" applyBorder="1" applyAlignment="1">
      <alignment horizontal="left" wrapText="1"/>
    </xf>
    <xf numFmtId="0" fontId="18" fillId="15" borderId="0" xfId="0" applyFont="1" applyFill="1" applyBorder="1" applyAlignment="1">
      <alignment horizontal="left"/>
    </xf>
    <xf numFmtId="0" fontId="17" fillId="0" borderId="0" xfId="0" applyFont="1" applyFill="1" applyBorder="1" applyAlignment="1">
      <alignment horizontal="left"/>
    </xf>
    <xf numFmtId="0" fontId="37" fillId="4" borderId="0" xfId="0" applyFont="1" applyFill="1" applyBorder="1" applyAlignment="1">
      <alignment horizontal="left" vertical="center"/>
    </xf>
    <xf numFmtId="165" fontId="51" fillId="4" borderId="0" xfId="0" applyNumberFormat="1" applyFont="1" applyFill="1" applyBorder="1" applyAlignment="1">
      <alignment horizontal="left"/>
    </xf>
    <xf numFmtId="165" fontId="20" fillId="4" borderId="0" xfId="0" applyNumberFormat="1" applyFont="1" applyFill="1" applyBorder="1" applyAlignment="1">
      <alignment horizontal="left"/>
    </xf>
    <xf numFmtId="0" fontId="38" fillId="4" borderId="0" xfId="0" applyFont="1" applyFill="1" applyBorder="1" applyAlignment="1">
      <alignment horizontal="left"/>
    </xf>
    <xf numFmtId="0" fontId="37" fillId="0" borderId="0" xfId="0" applyFont="1" applyFill="1" applyBorder="1" applyAlignment="1">
      <alignment horizontal="left" vertical="center"/>
    </xf>
    <xf numFmtId="0" fontId="50" fillId="4" borderId="0" xfId="0" applyFont="1" applyFill="1" applyBorder="1" applyAlignment="1">
      <alignment horizontal="left"/>
    </xf>
    <xf numFmtId="0" fontId="50" fillId="4" borderId="0" xfId="0" applyFont="1" applyFill="1" applyBorder="1" applyAlignment="1">
      <alignment horizontal="left" vertical="center"/>
    </xf>
    <xf numFmtId="0" fontId="50" fillId="0" borderId="0" xfId="0" applyFont="1" applyFill="1" applyBorder="1" applyAlignment="1">
      <alignment horizontal="left"/>
    </xf>
    <xf numFmtId="0" fontId="53" fillId="4" borderId="0" xfId="0" applyFont="1" applyFill="1" applyBorder="1" applyAlignment="1">
      <alignment horizontal="left"/>
    </xf>
    <xf numFmtId="0" fontId="53" fillId="0" borderId="0" xfId="0" applyFont="1" applyFill="1" applyBorder="1" applyAlignment="1">
      <alignment horizontal="left"/>
    </xf>
    <xf numFmtId="0" fontId="38" fillId="4" borderId="0" xfId="0" applyFont="1" applyFill="1" applyBorder="1" applyAlignment="1">
      <alignment horizontal="left" vertical="center"/>
    </xf>
    <xf numFmtId="0" fontId="37" fillId="16" borderId="0" xfId="0" applyFont="1" applyFill="1" applyBorder="1" applyAlignment="1">
      <alignment horizontal="left"/>
    </xf>
    <xf numFmtId="0" fontId="17" fillId="5" borderId="2" xfId="0" applyFont="1" applyFill="1" applyBorder="1" applyAlignment="1">
      <alignment vertical="top" wrapText="1"/>
    </xf>
    <xf numFmtId="0" fontId="16" fillId="0" borderId="2" xfId="0" applyFont="1" applyBorder="1" applyAlignment="1" applyProtection="1">
      <alignment horizontal="center" vertical="top"/>
    </xf>
    <xf numFmtId="172" fontId="28" fillId="0" borderId="10" xfId="1" applyNumberFormat="1" applyFont="1" applyBorder="1" applyAlignment="1">
      <alignment vertical="center"/>
    </xf>
    <xf numFmtId="0" fontId="18" fillId="0" borderId="2" xfId="0" applyFont="1" applyBorder="1" applyProtection="1"/>
    <xf numFmtId="0" fontId="18" fillId="0" borderId="2" xfId="0" applyFont="1" applyBorder="1" applyAlignment="1" applyProtection="1">
      <alignment wrapText="1"/>
    </xf>
    <xf numFmtId="0" fontId="18" fillId="4" borderId="2" xfId="0" applyFont="1" applyFill="1" applyBorder="1" applyProtection="1"/>
    <xf numFmtId="0" fontId="18" fillId="0" borderId="2" xfId="0" applyFont="1" applyFill="1" applyBorder="1" applyProtection="1"/>
    <xf numFmtId="0" fontId="18" fillId="5" borderId="2" xfId="0" applyFont="1" applyFill="1" applyBorder="1" applyProtection="1"/>
    <xf numFmtId="0" fontId="18" fillId="0" borderId="2" xfId="12" applyFont="1" applyFill="1" applyBorder="1" applyAlignment="1" applyProtection="1">
      <alignment horizontal="left" wrapText="1"/>
    </xf>
    <xf numFmtId="0" fontId="18" fillId="0" borderId="2" xfId="12" applyFont="1" applyBorder="1" applyAlignment="1" applyProtection="1">
      <alignment horizontal="left" wrapText="1"/>
    </xf>
    <xf numFmtId="0" fontId="17" fillId="0" borderId="2" xfId="12" applyFont="1" applyBorder="1" applyAlignment="1" applyProtection="1">
      <alignment horizontal="left" wrapText="1"/>
    </xf>
    <xf numFmtId="0" fontId="18" fillId="0" borderId="2" xfId="0" applyFont="1" applyFill="1" applyBorder="1" applyAlignment="1" applyProtection="1">
      <alignment horizontal="left" wrapText="1"/>
    </xf>
    <xf numFmtId="0" fontId="18" fillId="12" borderId="2" xfId="0" applyFont="1" applyFill="1" applyBorder="1" applyAlignment="1" applyProtection="1">
      <alignment horizontal="left" vertical="center" wrapText="1"/>
    </xf>
    <xf numFmtId="166" fontId="18" fillId="0" borderId="2" xfId="0" applyNumberFormat="1" applyFont="1" applyBorder="1" applyProtection="1"/>
    <xf numFmtId="0" fontId="46" fillId="0" borderId="2" xfId="0" applyFont="1" applyFill="1" applyBorder="1" applyAlignment="1" applyProtection="1">
      <alignment horizontal="left" wrapText="1"/>
    </xf>
    <xf numFmtId="0" fontId="46" fillId="4" borderId="2" xfId="0" applyFont="1" applyFill="1" applyBorder="1" applyAlignment="1" applyProtection="1">
      <alignment horizontal="left" wrapText="1"/>
    </xf>
    <xf numFmtId="0" fontId="21" fillId="0" borderId="2" xfId="0" applyFont="1" applyFill="1" applyBorder="1" applyAlignment="1" applyProtection="1">
      <alignment horizontal="left" wrapText="1"/>
    </xf>
    <xf numFmtId="0" fontId="46" fillId="0" borderId="2" xfId="0" applyFont="1" applyFill="1" applyBorder="1" applyAlignment="1" applyProtection="1">
      <alignment vertical="center" wrapText="1"/>
    </xf>
    <xf numFmtId="0" fontId="16" fillId="0" borderId="10" xfId="13" applyFont="1" applyBorder="1" applyAlignment="1">
      <alignment vertic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17" xfId="0" applyFont="1" applyBorder="1" applyAlignment="1">
      <alignment horizontal="center"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43" fontId="10" fillId="2" borderId="17" xfId="1" applyFont="1" applyFill="1" applyBorder="1" applyAlignment="1">
      <alignment horizontal="center" wrapText="1"/>
    </xf>
    <xf numFmtId="43" fontId="10" fillId="2" borderId="21" xfId="1" applyFont="1" applyFill="1" applyBorder="1" applyAlignment="1">
      <alignment horizontal="center" wrapText="1"/>
    </xf>
    <xf numFmtId="43" fontId="10" fillId="2" borderId="15" xfId="1" applyFont="1" applyFill="1" applyBorder="1" applyAlignment="1">
      <alignment horizontal="center" wrapText="1"/>
    </xf>
    <xf numFmtId="0" fontId="7" fillId="0" borderId="0" xfId="0" applyFont="1" applyBorder="1" applyAlignment="1">
      <alignment horizontal="center"/>
    </xf>
    <xf numFmtId="0" fontId="6" fillId="0" borderId="25" xfId="0" applyFont="1" applyBorder="1" applyAlignment="1">
      <alignment horizontal="left" indent="15"/>
    </xf>
    <xf numFmtId="0" fontId="6" fillId="0" borderId="25" xfId="0" applyFont="1" applyBorder="1" applyAlignment="1">
      <alignment horizontal="center"/>
    </xf>
    <xf numFmtId="0" fontId="30" fillId="0" borderId="11" xfId="13" applyFont="1" applyBorder="1" applyAlignment="1">
      <alignment horizontal="left" vertical="top"/>
    </xf>
    <xf numFmtId="0" fontId="30" fillId="0" borderId="12" xfId="13" applyFont="1" applyBorder="1" applyAlignment="1">
      <alignment horizontal="left" vertical="top"/>
    </xf>
    <xf numFmtId="0" fontId="28" fillId="0" borderId="10" xfId="13" applyFont="1" applyBorder="1" applyAlignment="1">
      <alignment horizontal="center"/>
    </xf>
    <xf numFmtId="0" fontId="28" fillId="0" borderId="10" xfId="13" applyFont="1" applyFill="1" applyBorder="1" applyAlignment="1">
      <alignment horizontal="left"/>
    </xf>
    <xf numFmtId="0" fontId="16" fillId="0" borderId="11" xfId="13" applyFont="1" applyBorder="1" applyAlignment="1">
      <alignment horizontal="center"/>
    </xf>
    <xf numFmtId="0" fontId="16" fillId="0" borderId="16" xfId="13" applyFont="1" applyBorder="1" applyAlignment="1">
      <alignment horizontal="center"/>
    </xf>
    <xf numFmtId="0" fontId="16" fillId="0" borderId="12" xfId="13" applyFont="1" applyBorder="1" applyAlignment="1">
      <alignment horizontal="center"/>
    </xf>
    <xf numFmtId="0" fontId="25" fillId="0" borderId="10" xfId="13" applyFont="1" applyBorder="1" applyAlignment="1">
      <alignment horizontal="center" vertical="center"/>
    </xf>
    <xf numFmtId="0" fontId="30" fillId="0" borderId="10" xfId="13" applyFont="1" applyBorder="1" applyAlignment="1">
      <alignment horizontal="center" vertical="top"/>
    </xf>
    <xf numFmtId="0" fontId="31" fillId="7" borderId="10" xfId="13" applyFont="1" applyFill="1" applyBorder="1" applyAlignment="1">
      <alignment horizontal="right" vertical="center"/>
    </xf>
    <xf numFmtId="1" fontId="31" fillId="0" borderId="11" xfId="13" applyNumberFormat="1" applyFont="1" applyBorder="1" applyAlignment="1">
      <alignment horizontal="left" vertical="center"/>
    </xf>
    <xf numFmtId="0" fontId="31" fillId="0" borderId="16" xfId="13" applyFont="1" applyBorder="1" applyAlignment="1">
      <alignment horizontal="left" vertical="center"/>
    </xf>
    <xf numFmtId="0" fontId="31" fillId="0" borderId="12" xfId="13" applyFont="1" applyBorder="1" applyAlignment="1">
      <alignment horizontal="left" vertical="center"/>
    </xf>
    <xf numFmtId="0" fontId="28" fillId="0" borderId="10" xfId="13" applyFont="1" applyBorder="1" applyAlignment="1">
      <alignment horizontal="left" vertical="center"/>
    </xf>
    <xf numFmtId="0" fontId="31" fillId="5" borderId="10" xfId="13" applyFont="1" applyFill="1" applyBorder="1" applyAlignment="1">
      <alignment horizontal="left" vertical="center"/>
    </xf>
    <xf numFmtId="0" fontId="31" fillId="6" borderId="10" xfId="13" applyFont="1" applyFill="1" applyBorder="1" applyAlignment="1">
      <alignment horizontal="left" vertical="center"/>
    </xf>
    <xf numFmtId="0" fontId="31" fillId="0" borderId="10" xfId="13" applyFont="1" applyBorder="1" applyAlignment="1">
      <alignment horizontal="left" vertical="center"/>
    </xf>
    <xf numFmtId="0" fontId="31" fillId="5" borderId="10" xfId="13" applyFont="1" applyFill="1" applyBorder="1" applyAlignment="1">
      <alignment horizontal="right" vertical="center"/>
    </xf>
    <xf numFmtId="0" fontId="22" fillId="0" borderId="10" xfId="13" applyFont="1" applyBorder="1" applyAlignment="1">
      <alignment horizontal="center" vertical="center"/>
    </xf>
    <xf numFmtId="0" fontId="31" fillId="7" borderId="10" xfId="13" applyFont="1" applyFill="1" applyBorder="1" applyAlignment="1">
      <alignment horizontal="left" vertical="center"/>
    </xf>
    <xf numFmtId="2" fontId="17" fillId="8" borderId="14" xfId="0" applyNumberFormat="1" applyFont="1" applyFill="1" applyBorder="1" applyAlignment="1" applyProtection="1">
      <alignment horizontal="center" vertical="center" wrapText="1"/>
    </xf>
    <xf numFmtId="2" fontId="17" fillId="8" borderId="13" xfId="0" applyNumberFormat="1" applyFont="1" applyFill="1" applyBorder="1" applyAlignment="1" applyProtection="1">
      <alignment horizontal="center" vertical="center" wrapText="1"/>
    </xf>
    <xf numFmtId="2" fontId="17" fillId="8" borderId="17" xfId="4" applyNumberFormat="1" applyFont="1" applyFill="1" applyBorder="1" applyAlignment="1" applyProtection="1">
      <alignment horizontal="center" vertical="center" wrapText="1"/>
    </xf>
    <xf numFmtId="2" fontId="17" fillId="8" borderId="21" xfId="4" applyNumberFormat="1" applyFont="1" applyFill="1" applyBorder="1" applyAlignment="1" applyProtection="1">
      <alignment horizontal="center" vertical="center" wrapText="1"/>
    </xf>
    <xf numFmtId="2" fontId="17" fillId="8" borderId="15" xfId="4" applyNumberFormat="1" applyFont="1" applyFill="1" applyBorder="1" applyAlignment="1" applyProtection="1">
      <alignment horizontal="center" vertical="center" wrapText="1"/>
    </xf>
    <xf numFmtId="0" fontId="18" fillId="0" borderId="14" xfId="20" applyFont="1" applyFill="1" applyBorder="1" applyAlignment="1" applyProtection="1">
      <alignment horizontal="center" wrapText="1"/>
    </xf>
    <xf numFmtId="0" fontId="18" fillId="0" borderId="13" xfId="20" applyFont="1" applyFill="1" applyBorder="1" applyAlignment="1" applyProtection="1">
      <alignment horizontal="center" wrapText="1"/>
    </xf>
    <xf numFmtId="0" fontId="16" fillId="4" borderId="17" xfId="0" applyFont="1" applyFill="1" applyBorder="1" applyAlignment="1" applyProtection="1">
      <alignment horizontal="center"/>
    </xf>
    <xf numFmtId="0" fontId="16" fillId="4" borderId="21" xfId="0" applyFont="1" applyFill="1" applyBorder="1" applyAlignment="1" applyProtection="1">
      <alignment horizontal="center"/>
    </xf>
    <xf numFmtId="0" fontId="16" fillId="4" borderId="15" xfId="0" applyFont="1" applyFill="1" applyBorder="1" applyAlignment="1" applyProtection="1">
      <alignment horizontal="center"/>
    </xf>
    <xf numFmtId="0" fontId="17" fillId="0" borderId="21" xfId="58" applyFont="1" applyFill="1" applyBorder="1" applyAlignment="1" applyProtection="1">
      <alignment horizontal="center" vertical="center" wrapText="1"/>
    </xf>
    <xf numFmtId="2" fontId="17" fillId="0" borderId="21" xfId="58" applyNumberFormat="1" applyFont="1" applyFill="1" applyBorder="1" applyAlignment="1" applyProtection="1">
      <alignment horizontal="center" vertical="center"/>
    </xf>
    <xf numFmtId="2" fontId="17" fillId="0" borderId="15" xfId="58" applyNumberFormat="1" applyFont="1" applyFill="1" applyBorder="1" applyAlignment="1" applyProtection="1">
      <alignment horizontal="center" vertical="center"/>
    </xf>
    <xf numFmtId="0" fontId="17" fillId="8" borderId="14" xfId="0" applyFont="1" applyFill="1" applyBorder="1" applyAlignment="1" applyProtection="1">
      <alignment horizontal="center" vertical="center" wrapText="1"/>
    </xf>
    <xf numFmtId="0" fontId="17" fillId="8" borderId="13" xfId="0" applyFont="1" applyFill="1" applyBorder="1" applyAlignment="1" applyProtection="1">
      <alignment horizontal="center" vertical="center" wrapText="1"/>
    </xf>
    <xf numFmtId="1" fontId="17" fillId="8" borderId="14" xfId="4" applyNumberFormat="1" applyFont="1" applyFill="1" applyBorder="1" applyAlignment="1" applyProtection="1">
      <alignment horizontal="center" vertical="center" wrapText="1"/>
    </xf>
    <xf numFmtId="1" fontId="17" fillId="8" borderId="13" xfId="4" applyNumberFormat="1" applyFont="1" applyFill="1" applyBorder="1" applyAlignment="1" applyProtection="1">
      <alignment horizontal="center" vertical="center" wrapText="1"/>
    </xf>
    <xf numFmtId="1" fontId="17" fillId="8" borderId="17" xfId="4" applyNumberFormat="1" applyFont="1" applyFill="1" applyBorder="1" applyAlignment="1" applyProtection="1">
      <alignment horizontal="center" vertical="center" wrapText="1"/>
    </xf>
    <xf numFmtId="1" fontId="17" fillId="8" borderId="21" xfId="4" applyNumberFormat="1" applyFont="1" applyFill="1" applyBorder="1" applyAlignment="1" applyProtection="1">
      <alignment horizontal="center" vertical="center" wrapText="1"/>
    </xf>
    <xf numFmtId="1" fontId="17" fillId="8" borderId="15" xfId="4" applyNumberFormat="1" applyFont="1" applyFill="1" applyBorder="1" applyAlignment="1" applyProtection="1">
      <alignment horizontal="center" vertical="center" wrapText="1"/>
    </xf>
    <xf numFmtId="0" fontId="30" fillId="0" borderId="3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lignment horizontal="center" vertical="center"/>
    </xf>
    <xf numFmtId="0" fontId="30" fillId="0" borderId="34" xfId="0" applyFont="1" applyBorder="1" applyAlignment="1">
      <alignment horizontal="center" vertical="center" wrapText="1"/>
    </xf>
    <xf numFmtId="0" fontId="30" fillId="0" borderId="35" xfId="0" applyFont="1" applyBorder="1" applyAlignment="1">
      <alignment horizontal="center" vertical="center"/>
    </xf>
    <xf numFmtId="0" fontId="30" fillId="0" borderId="2" xfId="0" applyFont="1" applyBorder="1" applyAlignment="1">
      <alignment horizontal="center" vertical="center"/>
    </xf>
    <xf numFmtId="0" fontId="30" fillId="0" borderId="33" xfId="0" applyFont="1" applyBorder="1" applyAlignment="1">
      <alignment horizontal="left" vertical="center" wrapText="1"/>
    </xf>
    <xf numFmtId="0" fontId="30" fillId="0" borderId="13" xfId="0" applyFont="1" applyBorder="1" applyAlignment="1">
      <alignment horizontal="left" vertical="center" wrapText="1"/>
    </xf>
    <xf numFmtId="0" fontId="30" fillId="0" borderId="33" xfId="0" applyFont="1" applyBorder="1" applyAlignment="1">
      <alignment horizontal="center" vertical="center"/>
    </xf>
    <xf numFmtId="0" fontId="16" fillId="4" borderId="39" xfId="0" applyFont="1" applyFill="1" applyBorder="1" applyAlignment="1">
      <alignment horizontal="center" wrapText="1"/>
    </xf>
    <xf numFmtId="0" fontId="19" fillId="0" borderId="17" xfId="0" applyFont="1" applyBorder="1" applyAlignment="1">
      <alignment horizontal="center"/>
    </xf>
    <xf numFmtId="0" fontId="19" fillId="0" borderId="21" xfId="0" applyFont="1" applyBorder="1" applyAlignment="1">
      <alignment horizontal="center"/>
    </xf>
    <xf numFmtId="0" fontId="19" fillId="0" borderId="15" xfId="0" applyFont="1" applyBorder="1" applyAlignment="1">
      <alignment horizontal="center"/>
    </xf>
    <xf numFmtId="0" fontId="34" fillId="10" borderId="2" xfId="56" applyFont="1" applyFill="1" applyBorder="1" applyAlignment="1">
      <alignment horizontal="center" vertical="center"/>
    </xf>
    <xf numFmtId="0" fontId="30" fillId="0" borderId="2" xfId="56" applyFont="1" applyBorder="1" applyAlignment="1">
      <alignment horizontal="center" vertical="center"/>
    </xf>
    <xf numFmtId="0" fontId="30" fillId="0" borderId="2" xfId="56" applyFont="1" applyBorder="1" applyAlignment="1">
      <alignment horizontal="center" vertical="center" wrapText="1"/>
    </xf>
    <xf numFmtId="0" fontId="30" fillId="0" borderId="2" xfId="56" applyFont="1" applyBorder="1" applyAlignment="1">
      <alignment horizontal="center" textRotation="90" wrapText="1"/>
    </xf>
    <xf numFmtId="0" fontId="30" fillId="0" borderId="14" xfId="56" applyFont="1" applyBorder="1" applyAlignment="1">
      <alignment horizontal="center" textRotation="90" wrapText="1"/>
    </xf>
    <xf numFmtId="0" fontId="30" fillId="0" borderId="13" xfId="56" applyFont="1" applyBorder="1" applyAlignment="1">
      <alignment horizontal="center" textRotation="90" wrapText="1"/>
    </xf>
    <xf numFmtId="0" fontId="30" fillId="4" borderId="14" xfId="0" applyFont="1" applyFill="1" applyBorder="1" applyAlignment="1">
      <alignment horizontal="center" vertical="center" wrapText="1"/>
    </xf>
    <xf numFmtId="0" fontId="30" fillId="4" borderId="13"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15" xfId="0" applyFont="1" applyFill="1" applyBorder="1" applyAlignment="1">
      <alignment horizontal="center" vertical="center"/>
    </xf>
    <xf numFmtId="0" fontId="25" fillId="4" borderId="0" xfId="0" applyFont="1" applyFill="1" applyBorder="1" applyAlignment="1">
      <alignment horizontal="left"/>
    </xf>
    <xf numFmtId="0" fontId="16" fillId="4" borderId="0" xfId="0" applyFont="1" applyFill="1" applyBorder="1" applyAlignment="1">
      <alignment horizontal="left"/>
    </xf>
    <xf numFmtId="164" fontId="16" fillId="4" borderId="0" xfId="0" applyNumberFormat="1" applyFont="1" applyFill="1" applyBorder="1" applyAlignment="1">
      <alignment horizontal="right"/>
    </xf>
    <xf numFmtId="0" fontId="30" fillId="4" borderId="17" xfId="0" applyFont="1" applyFill="1" applyBorder="1" applyAlignment="1">
      <alignment horizontal="left" vertical="center" indent="2"/>
    </xf>
    <xf numFmtId="0" fontId="30" fillId="4" borderId="15" xfId="0" applyFont="1" applyFill="1" applyBorder="1" applyAlignment="1">
      <alignment horizontal="left" vertical="center" indent="2"/>
    </xf>
    <xf numFmtId="0" fontId="30" fillId="4" borderId="14" xfId="0" applyFont="1" applyFill="1" applyBorder="1" applyAlignment="1">
      <alignment horizontal="center" vertical="center"/>
    </xf>
    <xf numFmtId="0" fontId="30" fillId="0" borderId="14" xfId="0" applyFont="1" applyFill="1" applyBorder="1" applyAlignment="1">
      <alignment horizontal="center" vertical="center" wrapText="1"/>
    </xf>
    <xf numFmtId="0" fontId="30" fillId="0" borderId="13" xfId="0" applyFont="1" applyFill="1" applyBorder="1" applyAlignment="1">
      <alignment horizontal="center" vertical="center"/>
    </xf>
    <xf numFmtId="164" fontId="17" fillId="4" borderId="2" xfId="11" applyNumberFormat="1" applyFont="1" applyFill="1" applyBorder="1" applyAlignment="1">
      <alignment horizontal="center" vertical="center" wrapText="1"/>
    </xf>
    <xf numFmtId="0" fontId="17" fillId="4" borderId="2" xfId="11" applyFont="1" applyFill="1" applyBorder="1" applyAlignment="1">
      <alignment horizontal="center" vertical="center" wrapText="1"/>
    </xf>
    <xf numFmtId="165" fontId="18" fillId="4" borderId="0" xfId="0" applyNumberFormat="1" applyFont="1" applyFill="1" applyBorder="1" applyAlignment="1">
      <alignment horizontal="left"/>
    </xf>
    <xf numFmtId="2" fontId="36" fillId="11" borderId="1" xfId="0" applyNumberFormat="1" applyFont="1" applyFill="1" applyBorder="1" applyAlignment="1">
      <alignment horizontal="center"/>
    </xf>
    <xf numFmtId="2" fontId="36" fillId="11" borderId="2" xfId="0" applyNumberFormat="1" applyFont="1" applyFill="1" applyBorder="1" applyAlignment="1">
      <alignment horizontal="center"/>
    </xf>
    <xf numFmtId="2" fontId="36" fillId="11" borderId="7" xfId="0" applyNumberFormat="1" applyFont="1" applyFill="1" applyBorder="1" applyAlignment="1">
      <alignment horizontal="center"/>
    </xf>
    <xf numFmtId="164" fontId="16" fillId="4" borderId="37" xfId="0" applyNumberFormat="1" applyFont="1" applyFill="1" applyBorder="1" applyAlignment="1">
      <alignment horizontal="center"/>
    </xf>
    <xf numFmtId="0" fontId="70" fillId="0" borderId="9" xfId="0" applyFont="1" applyBorder="1" applyAlignment="1">
      <alignment horizontal="center" vertical="center"/>
    </xf>
    <xf numFmtId="0" fontId="70" fillId="0" borderId="42" xfId="0" applyFont="1" applyBorder="1" applyAlignment="1">
      <alignment horizontal="center" vertical="center"/>
    </xf>
    <xf numFmtId="0" fontId="70" fillId="0" borderId="14" xfId="0" applyFont="1" applyBorder="1" applyAlignment="1">
      <alignment horizontal="center" vertical="center"/>
    </xf>
    <xf numFmtId="0" fontId="70" fillId="0" borderId="41" xfId="0" applyFont="1" applyBorder="1" applyAlignment="1">
      <alignment horizontal="center" vertical="center"/>
    </xf>
    <xf numFmtId="0" fontId="70" fillId="0" borderId="1" xfId="0" applyFont="1" applyBorder="1" applyAlignment="1">
      <alignment horizontal="center" vertical="center"/>
    </xf>
    <xf numFmtId="0" fontId="70" fillId="0" borderId="22" xfId="0" applyFont="1" applyBorder="1" applyAlignment="1">
      <alignment horizontal="center" vertical="center"/>
    </xf>
    <xf numFmtId="0" fontId="70" fillId="0" borderId="2" xfId="0" applyFont="1" applyBorder="1" applyAlignment="1">
      <alignment horizontal="center" vertical="center"/>
    </xf>
    <xf numFmtId="0" fontId="70" fillId="0" borderId="23" xfId="0" applyFont="1" applyBorder="1" applyAlignment="1">
      <alignment horizontal="center" vertical="center"/>
    </xf>
    <xf numFmtId="0" fontId="70" fillId="0" borderId="2" xfId="0" applyFont="1" applyBorder="1" applyAlignment="1">
      <alignment horizontal="center"/>
    </xf>
    <xf numFmtId="0" fontId="65" fillId="0" borderId="17" xfId="0" applyFont="1" applyBorder="1" applyAlignment="1">
      <alignment horizontal="center" vertical="top"/>
    </xf>
    <xf numFmtId="0" fontId="65" fillId="0" borderId="15" xfId="0" applyFont="1" applyBorder="1" applyAlignment="1">
      <alignment horizontal="center" vertical="top"/>
    </xf>
    <xf numFmtId="0" fontId="65" fillId="0" borderId="14" xfId="0" applyFont="1" applyBorder="1" applyAlignment="1">
      <alignment horizontal="center" vertical="center"/>
    </xf>
    <xf numFmtId="0" fontId="65" fillId="0" borderId="13"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31" xfId="0" applyFont="1" applyBorder="1" applyAlignment="1">
      <alignment horizontal="left" vertical="center" indent="2"/>
    </xf>
    <xf numFmtId="0" fontId="30" fillId="0" borderId="32" xfId="0" applyFont="1" applyBorder="1" applyAlignment="1">
      <alignment horizontal="left" vertical="center" indent="2"/>
    </xf>
    <xf numFmtId="0" fontId="17" fillId="0" borderId="0" xfId="13" applyFont="1" applyBorder="1" applyAlignment="1">
      <alignment horizontal="left" vertical="center"/>
    </xf>
    <xf numFmtId="0" fontId="17" fillId="0" borderId="14" xfId="13" applyFont="1" applyBorder="1" applyAlignment="1">
      <alignment horizontal="center" vertical="center"/>
    </xf>
    <xf numFmtId="0" fontId="17" fillId="0" borderId="13" xfId="13" applyFont="1" applyBorder="1" applyAlignment="1">
      <alignment horizontal="center" vertical="center"/>
    </xf>
    <xf numFmtId="0" fontId="17" fillId="0" borderId="14" xfId="13" applyFont="1" applyBorder="1" applyAlignment="1">
      <alignment horizontal="center" vertical="center" wrapText="1"/>
    </xf>
    <xf numFmtId="0" fontId="17" fillId="0" borderId="17" xfId="13" applyFont="1" applyBorder="1" applyAlignment="1">
      <alignment horizontal="center" vertical="center" wrapText="1"/>
    </xf>
    <xf numFmtId="0" fontId="17" fillId="0" borderId="21" xfId="13" applyFont="1" applyBorder="1" applyAlignment="1">
      <alignment horizontal="center" vertical="center" wrapText="1"/>
    </xf>
    <xf numFmtId="0" fontId="17" fillId="0" borderId="15" xfId="13" applyFont="1" applyBorder="1" applyAlignment="1">
      <alignment horizontal="center" vertical="center" wrapText="1"/>
    </xf>
    <xf numFmtId="169" fontId="17" fillId="0" borderId="37" xfId="13" applyNumberFormat="1" applyFont="1" applyBorder="1" applyAlignment="1">
      <alignment horizontal="center"/>
    </xf>
    <xf numFmtId="0" fontId="19" fillId="5" borderId="2" xfId="13" applyFont="1" applyFill="1" applyBorder="1" applyAlignment="1">
      <alignment horizontal="center" vertical="center"/>
    </xf>
    <xf numFmtId="0" fontId="19" fillId="0" borderId="2" xfId="0" applyFont="1" applyBorder="1" applyAlignment="1">
      <alignment horizontal="center"/>
    </xf>
    <xf numFmtId="0" fontId="19" fillId="0" borderId="2" xfId="0" applyFont="1" applyBorder="1" applyAlignment="1">
      <alignment horizontal="center" vertical="center" wrapText="1"/>
    </xf>
    <xf numFmtId="0" fontId="19" fillId="0" borderId="17" xfId="0" applyFont="1" applyBorder="1" applyAlignment="1">
      <alignment horizontal="left" vertical="center"/>
    </xf>
    <xf numFmtId="0" fontId="19" fillId="0" borderId="15" xfId="0" applyFont="1" applyBorder="1" applyAlignment="1">
      <alignment horizontal="left" vertical="center"/>
    </xf>
    <xf numFmtId="0" fontId="19" fillId="0" borderId="17" xfId="0" applyFont="1" applyBorder="1" applyAlignment="1">
      <alignment horizontal="left" indent="59"/>
    </xf>
    <xf numFmtId="0" fontId="19" fillId="0" borderId="21" xfId="0" applyFont="1" applyBorder="1" applyAlignment="1">
      <alignment horizontal="left" indent="59"/>
    </xf>
    <xf numFmtId="0" fontId="19" fillId="0" borderId="15" xfId="0" applyFont="1" applyBorder="1" applyAlignment="1">
      <alignment horizontal="left" indent="59"/>
    </xf>
    <xf numFmtId="0" fontId="19" fillId="0" borderId="2" xfId="0" applyFont="1" applyBorder="1" applyAlignment="1">
      <alignment horizontal="left" indent="59"/>
    </xf>
    <xf numFmtId="0" fontId="24" fillId="0" borderId="17" xfId="0" applyFont="1" applyBorder="1" applyAlignment="1">
      <alignment horizontal="center" vertical="center"/>
    </xf>
    <xf numFmtId="0" fontId="24" fillId="0" borderId="21" xfId="0" applyFont="1" applyBorder="1" applyAlignment="1">
      <alignment horizontal="center" vertical="center"/>
    </xf>
    <xf numFmtId="0" fontId="24" fillId="0" borderId="15" xfId="0" applyFont="1" applyBorder="1" applyAlignment="1">
      <alignment horizontal="center" vertical="center"/>
    </xf>
    <xf numFmtId="0" fontId="19" fillId="0" borderId="13" xfId="0" applyFont="1" applyBorder="1" applyAlignment="1">
      <alignment horizontal="center" vertical="center"/>
    </xf>
    <xf numFmtId="0" fontId="19" fillId="0" borderId="2" xfId="0" applyFont="1" applyBorder="1" applyAlignment="1">
      <alignment horizontal="center" vertical="center"/>
    </xf>
    <xf numFmtId="0" fontId="19" fillId="0" borderId="26" xfId="0" applyFont="1" applyBorder="1" applyAlignment="1">
      <alignment horizontal="center" vertical="center"/>
    </xf>
    <xf numFmtId="0" fontId="19" fillId="0" borderId="13"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8"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35" fillId="0" borderId="2" xfId="0"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2" xfId="0" applyFont="1" applyFill="1" applyBorder="1" applyAlignment="1">
      <alignment horizontal="center" vertical="center" textRotation="90" wrapText="1"/>
    </xf>
    <xf numFmtId="0" fontId="30" fillId="0" borderId="2" xfId="0" applyFont="1" applyBorder="1" applyAlignment="1">
      <alignment horizontal="center"/>
    </xf>
    <xf numFmtId="0" fontId="15" fillId="0" borderId="17" xfId="0" applyFont="1" applyBorder="1" applyAlignment="1">
      <alignment horizontal="center"/>
    </xf>
    <xf numFmtId="0" fontId="15" fillId="0" borderId="21" xfId="0" applyFont="1" applyBorder="1" applyAlignment="1">
      <alignment horizontal="center"/>
    </xf>
    <xf numFmtId="0" fontId="15" fillId="0" borderId="15" xfId="0" applyFont="1" applyBorder="1" applyAlignment="1">
      <alignment horizontal="center"/>
    </xf>
    <xf numFmtId="0" fontId="27" fillId="5" borderId="17" xfId="0" applyFont="1" applyFill="1" applyBorder="1" applyAlignment="1">
      <alignment horizontal="left" vertical="center" wrapText="1"/>
    </xf>
    <xf numFmtId="0" fontId="27" fillId="5" borderId="15" xfId="0" applyFont="1" applyFill="1" applyBorder="1" applyAlignment="1">
      <alignment horizontal="left" vertical="center" wrapText="1"/>
    </xf>
    <xf numFmtId="0" fontId="0" fillId="0" borderId="2" xfId="0" applyFont="1" applyBorder="1" applyAlignment="1">
      <alignment horizontal="center" vertical="center" wrapText="1"/>
    </xf>
    <xf numFmtId="0" fontId="27" fillId="5" borderId="1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27" fillId="5" borderId="28"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5" fillId="4" borderId="0" xfId="0" applyFont="1" applyFill="1" applyBorder="1" applyAlignment="1">
      <alignment horizontal="left" vertical="center"/>
    </xf>
    <xf numFmtId="0" fontId="16" fillId="4" borderId="0" xfId="0" applyFont="1" applyFill="1" applyBorder="1" applyAlignment="1">
      <alignment horizontal="left" vertical="center"/>
    </xf>
    <xf numFmtId="164" fontId="16" fillId="4" borderId="0" xfId="0" applyNumberFormat="1" applyFont="1" applyFill="1" applyBorder="1" applyAlignment="1">
      <alignment horizontal="right" vertical="center"/>
    </xf>
  </cellXfs>
  <cellStyles count="60">
    <cellStyle name="Comma" xfId="1" builtinId="3"/>
    <cellStyle name="Comma 2" xfId="2"/>
    <cellStyle name="Comma 2 2" xfId="3"/>
    <cellStyle name="Comma 3" xfId="4"/>
    <cellStyle name="Comma 3 2" xfId="5"/>
    <cellStyle name="Comma 5" xfId="6"/>
    <cellStyle name="Comma 5 2" xfId="7"/>
    <cellStyle name="Currency 2" xfId="8"/>
    <cellStyle name="Currency 2 2" xfId="9"/>
    <cellStyle name="Currency 3" xfId="10"/>
    <cellStyle name="Normal" xfId="0" builtinId="0"/>
    <cellStyle name="Normal 10" xfId="11"/>
    <cellStyle name="Normal 10 11" xfId="12"/>
    <cellStyle name="Normal 10 2" xfId="13"/>
    <cellStyle name="Normal 11" xfId="14"/>
    <cellStyle name="Normal 12" xfId="15"/>
    <cellStyle name="Normal 12 2" xfId="16"/>
    <cellStyle name="Normal 13" xfId="17"/>
    <cellStyle name="Normal 13 2" xfId="58"/>
    <cellStyle name="Normal 14" xfId="56"/>
    <cellStyle name="Normal 2" xfId="18"/>
    <cellStyle name="Normal 2 2" xfId="19"/>
    <cellStyle name="Normal 2 2 2" xfId="20"/>
    <cellStyle name="Normal 2 3" xfId="21"/>
    <cellStyle name="Normal 2 3 2" xfId="22"/>
    <cellStyle name="Normal 2 3 2 2" xfId="23"/>
    <cellStyle name="Normal 2 3 2 2 2" xfId="24"/>
    <cellStyle name="Normal 2 3 2 2 2 2" xfId="25"/>
    <cellStyle name="Normal 2 3 2 2 2 2 2" xfId="26"/>
    <cellStyle name="Normal 2 3 2 2 2 2 2 2" xfId="27"/>
    <cellStyle name="Normal 2 3 2 2 2 2 2 2 2" xfId="28"/>
    <cellStyle name="Normal 2 3 3" xfId="29"/>
    <cellStyle name="Normal 2 4" xfId="30"/>
    <cellStyle name="Normal 2 5" xfId="31"/>
    <cellStyle name="Normal 21" xfId="32"/>
    <cellStyle name="Normal 21 2" xfId="33"/>
    <cellStyle name="Normal 3" xfId="34"/>
    <cellStyle name="Normal 3 2" xfId="35"/>
    <cellStyle name="Normal 3 2 2" xfId="36"/>
    <cellStyle name="Normal 4" xfId="37"/>
    <cellStyle name="Normal 4 2" xfId="38"/>
    <cellStyle name="Normal 4 2 2" xfId="39"/>
    <cellStyle name="Normal 4 3" xfId="40"/>
    <cellStyle name="Normal 44" xfId="57"/>
    <cellStyle name="Normal 5" xfId="41"/>
    <cellStyle name="Normal 5 2" xfId="42"/>
    <cellStyle name="Normal 5 2 2" xfId="43"/>
    <cellStyle name="Normal 5 3" xfId="44"/>
    <cellStyle name="Normal 5 4" xfId="45"/>
    <cellStyle name="Normal 6" xfId="46"/>
    <cellStyle name="Normal 6 2" xfId="47"/>
    <cellStyle name="Normal 7" xfId="48"/>
    <cellStyle name="Normal 7 2" xfId="49"/>
    <cellStyle name="Normal 8" xfId="50"/>
    <cellStyle name="Normal 9" xfId="51"/>
    <cellStyle name="Normal 9 2" xfId="52"/>
    <cellStyle name="Normal_boq" xfId="53"/>
    <cellStyle name="Percent" xfId="59" builtinId="5"/>
    <cellStyle name="Percent 2" xfId="54"/>
    <cellStyle name="Style 1" xfId="55"/>
  </cellStyles>
  <dxfs count="130">
    <dxf>
      <font>
        <condense val="0"/>
        <extend val="0"/>
        <color auto="1"/>
      </font>
    </dxf>
    <dxf>
      <font>
        <condense val="0"/>
        <extend val="0"/>
        <color auto="1"/>
      </font>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7</xdr:row>
      <xdr:rowOff>0</xdr:rowOff>
    </xdr:from>
    <xdr:to>
      <xdr:col>4</xdr:col>
      <xdr:colOff>428625</xdr:colOff>
      <xdr:row>9</xdr:row>
      <xdr:rowOff>0</xdr:rowOff>
    </xdr:to>
    <xdr:sp macro="" textlink="">
      <xdr:nvSpPr>
        <xdr:cNvPr id="87193" name="AutoShape 28"/>
        <xdr:cNvSpPr>
          <a:spLocks noChangeAspect="1" noChangeArrowheads="1"/>
        </xdr:cNvSpPr>
      </xdr:nvSpPr>
      <xdr:spPr bwMode="auto">
        <a:xfrm>
          <a:off x="2266950" y="1495425"/>
          <a:ext cx="419100" cy="361950"/>
        </a:xfrm>
        <a:prstGeom prst="rect">
          <a:avLst/>
        </a:prstGeom>
        <a:noFill/>
        <a:ln w="9525">
          <a:noFill/>
          <a:miter lim="800000"/>
          <a:headEnd/>
          <a:tailEnd/>
        </a:ln>
      </xdr:spPr>
    </xdr:sp>
    <xdr:clientData/>
  </xdr:twoCellAnchor>
  <xdr:twoCellAnchor editAs="oneCell">
    <xdr:from>
      <xdr:col>4</xdr:col>
      <xdr:colOff>9525</xdr:colOff>
      <xdr:row>26</xdr:row>
      <xdr:rowOff>0</xdr:rowOff>
    </xdr:from>
    <xdr:to>
      <xdr:col>4</xdr:col>
      <xdr:colOff>609600</xdr:colOff>
      <xdr:row>27</xdr:row>
      <xdr:rowOff>9525</xdr:rowOff>
    </xdr:to>
    <xdr:sp macro="" textlink="">
      <xdr:nvSpPr>
        <xdr:cNvPr id="87194" name="AutoShape 28"/>
        <xdr:cNvSpPr>
          <a:spLocks noChangeAspect="1" noChangeArrowheads="1"/>
        </xdr:cNvSpPr>
      </xdr:nvSpPr>
      <xdr:spPr bwMode="auto">
        <a:xfrm>
          <a:off x="2266950" y="4933950"/>
          <a:ext cx="600075" cy="1905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9525</xdr:colOff>
      <xdr:row>4</xdr:row>
      <xdr:rowOff>0</xdr:rowOff>
    </xdr:from>
    <xdr:to>
      <xdr:col>4</xdr:col>
      <xdr:colOff>428625</xdr:colOff>
      <xdr:row>5</xdr:row>
      <xdr:rowOff>47625</xdr:rowOff>
    </xdr:to>
    <xdr:sp macro="" textlink="">
      <xdr:nvSpPr>
        <xdr:cNvPr id="86169" name="AutoShape 28"/>
        <xdr:cNvSpPr>
          <a:spLocks noChangeAspect="1" noChangeArrowheads="1"/>
        </xdr:cNvSpPr>
      </xdr:nvSpPr>
      <xdr:spPr bwMode="auto">
        <a:xfrm>
          <a:off x="2266950" y="952500"/>
          <a:ext cx="419100" cy="361950"/>
        </a:xfrm>
        <a:prstGeom prst="rect">
          <a:avLst/>
        </a:prstGeom>
        <a:noFill/>
        <a:ln w="9525">
          <a:noFill/>
          <a:miter lim="800000"/>
          <a:headEnd/>
          <a:tailEnd/>
        </a:ln>
      </xdr:spPr>
    </xdr:sp>
    <xdr:clientData/>
  </xdr:twoCellAnchor>
  <xdr:twoCellAnchor editAs="oneCell">
    <xdr:from>
      <xdr:col>4</xdr:col>
      <xdr:colOff>9525</xdr:colOff>
      <xdr:row>7</xdr:row>
      <xdr:rowOff>133350</xdr:rowOff>
    </xdr:from>
    <xdr:to>
      <xdr:col>4</xdr:col>
      <xdr:colOff>609600</xdr:colOff>
      <xdr:row>7</xdr:row>
      <xdr:rowOff>317500</xdr:rowOff>
    </xdr:to>
    <xdr:sp macro="" textlink="">
      <xdr:nvSpPr>
        <xdr:cNvPr id="86170" name="AutoShape 28"/>
        <xdr:cNvSpPr>
          <a:spLocks noChangeAspect="1" noChangeArrowheads="1"/>
        </xdr:cNvSpPr>
      </xdr:nvSpPr>
      <xdr:spPr bwMode="auto">
        <a:xfrm>
          <a:off x="2266950" y="1628775"/>
          <a:ext cx="600075" cy="1905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9525</xdr:colOff>
      <xdr:row>21</xdr:row>
      <xdr:rowOff>0</xdr:rowOff>
    </xdr:from>
    <xdr:to>
      <xdr:col>4</xdr:col>
      <xdr:colOff>609600</xdr:colOff>
      <xdr:row>21</xdr:row>
      <xdr:rowOff>180975</xdr:rowOff>
    </xdr:to>
    <xdr:sp macro="" textlink="">
      <xdr:nvSpPr>
        <xdr:cNvPr id="84128" name="AutoShape 28"/>
        <xdr:cNvSpPr>
          <a:spLocks noChangeAspect="1" noChangeArrowheads="1"/>
        </xdr:cNvSpPr>
      </xdr:nvSpPr>
      <xdr:spPr bwMode="auto">
        <a:xfrm>
          <a:off x="6572250" y="15068550"/>
          <a:ext cx="600075" cy="1809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9525</xdr:colOff>
      <xdr:row>9</xdr:row>
      <xdr:rowOff>0</xdr:rowOff>
    </xdr:from>
    <xdr:to>
      <xdr:col>5</xdr:col>
      <xdr:colOff>175683</xdr:colOff>
      <xdr:row>10</xdr:row>
      <xdr:rowOff>0</xdr:rowOff>
    </xdr:to>
    <xdr:sp macro="" textlink="">
      <xdr:nvSpPr>
        <xdr:cNvPr id="85074" name="AutoShape 28"/>
        <xdr:cNvSpPr>
          <a:spLocks noChangeAspect="1" noChangeArrowheads="1"/>
        </xdr:cNvSpPr>
      </xdr:nvSpPr>
      <xdr:spPr bwMode="auto">
        <a:xfrm>
          <a:off x="5724525" y="6734175"/>
          <a:ext cx="600075" cy="1905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ADCPL%20File%20Server\18.08.14\Nitesh\Bill\Munjal_Bawal\9th_Bill\9th_Bill_Munjal_Auto_Baw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_MB_Main_Shed"/>
      <sheetName val="Civil_MB_Main_Shed"/>
      <sheetName val="Abst._Main_Shed"/>
      <sheetName val="Civil_MB_Canteen"/>
      <sheetName val="Abst._Canteen"/>
      <sheetName val="Steel_MB_Utility"/>
      <sheetName val="Civil_MB_Utility"/>
      <sheetName val="Abst._Utility"/>
      <sheetName val="Steel_MB_Road"/>
      <sheetName val="Civil_MB_Road"/>
      <sheetName val="Abst._Road"/>
      <sheetName val="Summary"/>
      <sheetName val="Material_Cons."/>
      <sheetName val="FOC_Amount"/>
      <sheetName val="Cement"/>
      <sheetName val="Tor-Steel"/>
      <sheetName val="RMC"/>
      <sheetName val="St._Ste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H5">
            <v>846.69287500000007</v>
          </cell>
        </row>
        <row r="6">
          <cell r="H6">
            <v>608.15977499999997</v>
          </cell>
        </row>
        <row r="7">
          <cell r="H7">
            <v>1143.7416450000001</v>
          </cell>
        </row>
        <row r="8">
          <cell r="H8">
            <v>761.34888750000005</v>
          </cell>
        </row>
        <row r="11">
          <cell r="H11">
            <v>112.90087499999997</v>
          </cell>
        </row>
        <row r="12">
          <cell r="H12">
            <v>113.75377499999999</v>
          </cell>
        </row>
        <row r="13">
          <cell r="H13">
            <v>252.76889</v>
          </cell>
        </row>
        <row r="14">
          <cell r="H14">
            <v>327.30731250000002</v>
          </cell>
        </row>
        <row r="17">
          <cell r="H17">
            <v>457.40500000000003</v>
          </cell>
        </row>
        <row r="20">
          <cell r="H20">
            <v>83.383749999999992</v>
          </cell>
        </row>
        <row r="23">
          <cell r="H23">
            <v>441.84368250000011</v>
          </cell>
        </row>
        <row r="24">
          <cell r="H24">
            <v>149.56797249999997</v>
          </cell>
        </row>
        <row r="25">
          <cell r="H25">
            <v>59.055454999999995</v>
          </cell>
        </row>
        <row r="26">
          <cell r="H26">
            <v>759.88970000000006</v>
          </cell>
        </row>
        <row r="30">
          <cell r="H30">
            <v>291.36539999999997</v>
          </cell>
        </row>
        <row r="31">
          <cell r="H31">
            <v>59.417907000000021</v>
          </cell>
        </row>
        <row r="32">
          <cell r="H32">
            <v>104.04497599999998</v>
          </cell>
        </row>
        <row r="33">
          <cell r="H33">
            <v>26.076186249999999</v>
          </cell>
        </row>
        <row r="36">
          <cell r="H36">
            <v>14.529399999999999</v>
          </cell>
        </row>
        <row r="39">
          <cell r="H39">
            <v>356.1157</v>
          </cell>
        </row>
        <row r="43">
          <cell r="H43">
            <v>33.016764437332505</v>
          </cell>
        </row>
        <row r="44">
          <cell r="H44">
            <v>26.183999999999997</v>
          </cell>
        </row>
        <row r="45">
          <cell r="H45">
            <v>61.361630000000005</v>
          </cell>
        </row>
        <row r="46">
          <cell r="H46">
            <v>26.899829999999998</v>
          </cell>
        </row>
        <row r="49">
          <cell r="H49">
            <v>73.838842499999998</v>
          </cell>
        </row>
        <row r="50">
          <cell r="H50">
            <v>39.6190395</v>
          </cell>
        </row>
        <row r="51">
          <cell r="H51">
            <v>104.84670400000002</v>
          </cell>
        </row>
        <row r="52">
          <cell r="H52">
            <v>48.673864999999992</v>
          </cell>
        </row>
        <row r="55">
          <cell r="H55">
            <v>16.634519999999995</v>
          </cell>
        </row>
        <row r="58">
          <cell r="H58">
            <v>1.4520000000000002</v>
          </cell>
        </row>
        <row r="62">
          <cell r="H62">
            <v>55.800000000000004</v>
          </cell>
        </row>
        <row r="63">
          <cell r="H63">
            <v>114.806</v>
          </cell>
        </row>
        <row r="64">
          <cell r="H64">
            <v>47.383499999999998</v>
          </cell>
        </row>
        <row r="65">
          <cell r="H65">
            <v>47.676000000000009</v>
          </cell>
        </row>
        <row r="68">
          <cell r="H68">
            <v>976.08044999999993</v>
          </cell>
        </row>
        <row r="69">
          <cell r="H69">
            <v>1397.1949</v>
          </cell>
        </row>
        <row r="70">
          <cell r="H70">
            <v>756.40418</v>
          </cell>
        </row>
        <row r="71">
          <cell r="H71">
            <v>433.65100000000007</v>
          </cell>
        </row>
        <row r="74">
          <cell r="H74">
            <v>231.97374999999994</v>
          </cell>
        </row>
        <row r="75">
          <cell r="H75">
            <v>711.5838</v>
          </cell>
        </row>
        <row r="78">
          <cell r="H78">
            <v>106.50020000000001</v>
          </cell>
        </row>
        <row r="79">
          <cell r="H79">
            <v>169.46899999999999</v>
          </cell>
        </row>
        <row r="80">
          <cell r="H80">
            <v>9.7679999999999989</v>
          </cell>
        </row>
        <row r="84">
          <cell r="H84">
            <v>10.8215</v>
          </cell>
        </row>
        <row r="85">
          <cell r="H85">
            <v>119.76820585</v>
          </cell>
        </row>
        <row r="86">
          <cell r="H86">
            <v>2.7910500000000003</v>
          </cell>
        </row>
        <row r="89">
          <cell r="H89">
            <v>106.17042000000001</v>
          </cell>
        </row>
        <row r="90">
          <cell r="H90">
            <v>106.590141</v>
          </cell>
        </row>
        <row r="91">
          <cell r="H91">
            <v>26.204469999999997</v>
          </cell>
        </row>
        <row r="94">
          <cell r="H94">
            <v>0.55545000000000011</v>
          </cell>
        </row>
        <row r="97">
          <cell r="H97">
            <v>7.08</v>
          </cell>
        </row>
        <row r="98">
          <cell r="H98">
            <v>84.135750000000016</v>
          </cell>
        </row>
        <row r="102">
          <cell r="H102">
            <v>49.847952254559999</v>
          </cell>
        </row>
        <row r="103">
          <cell r="H103">
            <v>35.434574516639998</v>
          </cell>
        </row>
        <row r="104">
          <cell r="H104">
            <v>18.453111804799999</v>
          </cell>
        </row>
        <row r="105">
          <cell r="H105">
            <v>9.2301184272800008</v>
          </cell>
        </row>
        <row r="108">
          <cell r="H108">
            <v>10.494755519999996</v>
          </cell>
        </row>
        <row r="109">
          <cell r="H109">
            <v>0.63777559999999989</v>
          </cell>
        </row>
        <row r="112">
          <cell r="H112">
            <v>9.1327976000000017</v>
          </cell>
        </row>
        <row r="113">
          <cell r="H113">
            <v>0.28650200000000009</v>
          </cell>
        </row>
        <row r="114">
          <cell r="H114">
            <v>5.5925307000000011</v>
          </cell>
        </row>
        <row r="117">
          <cell r="H117">
            <v>45.845777731999988</v>
          </cell>
        </row>
        <row r="118">
          <cell r="H118">
            <v>10.19017575</v>
          </cell>
        </row>
        <row r="119">
          <cell r="H119">
            <v>30</v>
          </cell>
        </row>
        <row r="122">
          <cell r="H122">
            <v>0.44139110000000004</v>
          </cell>
        </row>
        <row r="123">
          <cell r="H123">
            <v>0.21445829999999999</v>
          </cell>
        </row>
        <row r="124">
          <cell r="H124">
            <v>0.56640899999999994</v>
          </cell>
        </row>
        <row r="127">
          <cell r="H127">
            <v>10.795853199999998</v>
          </cell>
        </row>
        <row r="130">
          <cell r="H130">
            <v>0.23883600000000002</v>
          </cell>
        </row>
        <row r="131">
          <cell r="H131">
            <v>0.10648000000000001</v>
          </cell>
        </row>
        <row r="134">
          <cell r="H134">
            <v>0.19964799999999994</v>
          </cell>
        </row>
        <row r="137">
          <cell r="H137">
            <v>1.0603908000000002</v>
          </cell>
        </row>
        <row r="140">
          <cell r="H140">
            <v>0.43581599999999998</v>
          </cell>
        </row>
        <row r="144">
          <cell r="H144">
            <v>934.82120000000009</v>
          </cell>
        </row>
        <row r="145">
          <cell r="H145">
            <v>885.38723000000027</v>
          </cell>
        </row>
        <row r="148">
          <cell r="H148">
            <v>117.57</v>
          </cell>
        </row>
        <row r="149">
          <cell r="H149">
            <v>13.465600000000002</v>
          </cell>
        </row>
        <row r="152">
          <cell r="H152">
            <v>0.47953620000000002</v>
          </cell>
        </row>
        <row r="156">
          <cell r="H156">
            <v>3062.0539999999996</v>
          </cell>
        </row>
        <row r="157">
          <cell r="H157">
            <v>9.27</v>
          </cell>
        </row>
        <row r="158">
          <cell r="H158">
            <v>10.684000000000001</v>
          </cell>
        </row>
        <row r="161">
          <cell r="H161">
            <v>212.12819999999994</v>
          </cell>
        </row>
        <row r="162">
          <cell r="H162">
            <v>307.38240000000002</v>
          </cell>
        </row>
        <row r="165">
          <cell r="H165">
            <v>1.7170699999999999</v>
          </cell>
        </row>
        <row r="168">
          <cell r="H168">
            <v>62.35</v>
          </cell>
        </row>
        <row r="171">
          <cell r="H171">
            <v>94.110000000000014</v>
          </cell>
        </row>
        <row r="172">
          <cell r="H172">
            <v>65.400000000000006</v>
          </cell>
        </row>
        <row r="176">
          <cell r="H176">
            <v>1572.8145499999996</v>
          </cell>
        </row>
        <row r="177">
          <cell r="H177">
            <v>177.46787499999999</v>
          </cell>
        </row>
        <row r="178">
          <cell r="H178">
            <v>457.40500000000003</v>
          </cell>
        </row>
        <row r="179">
          <cell r="H179">
            <v>90.58297499999999</v>
          </cell>
        </row>
        <row r="182">
          <cell r="H182">
            <v>1572.8145499999996</v>
          </cell>
        </row>
        <row r="183">
          <cell r="H183">
            <v>177.46787499999999</v>
          </cell>
        </row>
        <row r="184">
          <cell r="H184">
            <v>457.40500000000003</v>
          </cell>
        </row>
        <row r="185">
          <cell r="H185">
            <v>90.58297499999999</v>
          </cell>
        </row>
        <row r="188">
          <cell r="H188">
            <v>168.56666666666663</v>
          </cell>
        </row>
        <row r="191">
          <cell r="H191">
            <v>1626.3922</v>
          </cell>
        </row>
        <row r="192">
          <cell r="H192">
            <v>278.91840000000002</v>
          </cell>
        </row>
        <row r="193">
          <cell r="H193">
            <v>458.78499999999997</v>
          </cell>
        </row>
        <row r="194">
          <cell r="H194">
            <v>90.58297499999999</v>
          </cell>
        </row>
        <row r="197">
          <cell r="H197">
            <v>168.56666666666663</v>
          </cell>
        </row>
        <row r="200">
          <cell r="H200">
            <v>2.4</v>
          </cell>
        </row>
        <row r="201">
          <cell r="H201">
            <v>21.96</v>
          </cell>
        </row>
        <row r="204">
          <cell r="H204">
            <v>1626.3922</v>
          </cell>
        </row>
        <row r="207">
          <cell r="H207">
            <v>1626.3922</v>
          </cell>
        </row>
        <row r="210">
          <cell r="H210">
            <v>6.8</v>
          </cell>
        </row>
        <row r="213">
          <cell r="H213">
            <v>307.04579999999993</v>
          </cell>
        </row>
        <row r="216">
          <cell r="H216">
            <v>20.715</v>
          </cell>
        </row>
        <row r="219">
          <cell r="H219">
            <v>327.7607999999999</v>
          </cell>
        </row>
        <row r="222">
          <cell r="H222">
            <v>37.5</v>
          </cell>
        </row>
        <row r="225">
          <cell r="H225">
            <v>196.42350000000005</v>
          </cell>
        </row>
        <row r="229">
          <cell r="H229">
            <v>872.38490000000013</v>
          </cell>
        </row>
        <row r="230">
          <cell r="H230">
            <v>1345.78415</v>
          </cell>
        </row>
        <row r="231">
          <cell r="H231">
            <v>311.82480000000004</v>
          </cell>
        </row>
        <row r="234">
          <cell r="H234">
            <v>50.55</v>
          </cell>
        </row>
        <row r="237">
          <cell r="H237">
            <v>687.53207499999996</v>
          </cell>
        </row>
        <row r="238">
          <cell r="H238">
            <v>1519.5894500000004</v>
          </cell>
        </row>
        <row r="241">
          <cell r="H241">
            <v>687.53207499999996</v>
          </cell>
        </row>
        <row r="242">
          <cell r="H242">
            <v>1519.5894500000004</v>
          </cell>
        </row>
        <row r="245">
          <cell r="H245">
            <v>103.95</v>
          </cell>
        </row>
        <row r="248">
          <cell r="H248">
            <v>68</v>
          </cell>
        </row>
        <row r="249">
          <cell r="H249">
            <v>10.9157302</v>
          </cell>
        </row>
        <row r="250">
          <cell r="H250">
            <v>36.791210700000001</v>
          </cell>
        </row>
        <row r="254">
          <cell r="H254">
            <v>40.848500000000001</v>
          </cell>
        </row>
        <row r="255">
          <cell r="H255">
            <v>30.382000000000005</v>
          </cell>
        </row>
        <row r="256">
          <cell r="H256">
            <v>18.09</v>
          </cell>
        </row>
        <row r="259">
          <cell r="H259">
            <v>48.144807500000006</v>
          </cell>
        </row>
        <row r="260">
          <cell r="H260">
            <v>17.396682500000001</v>
          </cell>
        </row>
        <row r="261">
          <cell r="H261">
            <v>4.7523749999999998</v>
          </cell>
        </row>
        <row r="262">
          <cell r="H262">
            <v>5.1175000000000006</v>
          </cell>
        </row>
        <row r="265">
          <cell r="H265">
            <v>69.945599999999999</v>
          </cell>
        </row>
        <row r="266">
          <cell r="H266">
            <v>21.5032</v>
          </cell>
        </row>
        <row r="267">
          <cell r="H267">
            <v>0.42275000000000001</v>
          </cell>
        </row>
        <row r="268">
          <cell r="H268">
            <v>23.129625000000001</v>
          </cell>
        </row>
        <row r="271">
          <cell r="H271">
            <v>76.302275000000009</v>
          </cell>
        </row>
        <row r="272">
          <cell r="H272">
            <v>22.719390000000001</v>
          </cell>
        </row>
        <row r="273">
          <cell r="H273">
            <v>13.2</v>
          </cell>
        </row>
        <row r="276">
          <cell r="H276">
            <v>167.13124999999999</v>
          </cell>
        </row>
        <row r="279">
          <cell r="H279">
            <v>929.71500000000003</v>
          </cell>
        </row>
        <row r="280">
          <cell r="H280">
            <v>204.672</v>
          </cell>
        </row>
        <row r="281">
          <cell r="H281">
            <v>169.8</v>
          </cell>
        </row>
        <row r="284">
          <cell r="H284">
            <v>41.248225960000006</v>
          </cell>
        </row>
        <row r="285">
          <cell r="H285">
            <v>3.9827261999999997</v>
          </cell>
        </row>
        <row r="286">
          <cell r="H286">
            <v>3.2519451999999993</v>
          </cell>
        </row>
        <row r="290">
          <cell r="H290">
            <v>5.04</v>
          </cell>
        </row>
        <row r="293">
          <cell r="H293">
            <v>21.697000000000003</v>
          </cell>
        </row>
        <row r="296">
          <cell r="H296">
            <v>5</v>
          </cell>
        </row>
        <row r="299">
          <cell r="H299">
            <v>49.923612499999997</v>
          </cell>
        </row>
        <row r="300">
          <cell r="H300">
            <v>2.6999999999999997</v>
          </cell>
        </row>
        <row r="303">
          <cell r="H303">
            <v>6.65</v>
          </cell>
        </row>
        <row r="306">
          <cell r="H306">
            <v>14.815999999999999</v>
          </cell>
        </row>
        <row r="309">
          <cell r="H309">
            <v>4.9757499999999997</v>
          </cell>
        </row>
        <row r="321">
          <cell r="H321">
            <v>182</v>
          </cell>
        </row>
        <row r="324">
          <cell r="H324">
            <v>16.45</v>
          </cell>
        </row>
        <row r="327">
          <cell r="H327">
            <v>182</v>
          </cell>
        </row>
        <row r="334">
          <cell r="H334">
            <v>2</v>
          </cell>
        </row>
        <row r="335">
          <cell r="H335">
            <v>1</v>
          </cell>
        </row>
        <row r="338">
          <cell r="H338">
            <v>2</v>
          </cell>
        </row>
        <row r="341">
          <cell r="H341">
            <v>10</v>
          </cell>
        </row>
        <row r="344">
          <cell r="H344">
            <v>20.25</v>
          </cell>
        </row>
        <row r="347">
          <cell r="H347">
            <v>43.4</v>
          </cell>
        </row>
        <row r="348">
          <cell r="H348">
            <v>137.30000000000001</v>
          </cell>
        </row>
        <row r="351">
          <cell r="H351">
            <v>5</v>
          </cell>
        </row>
        <row r="354">
          <cell r="H354">
            <v>843.87137500000006</v>
          </cell>
        </row>
        <row r="355">
          <cell r="H355">
            <v>632.02139999999997</v>
          </cell>
        </row>
        <row r="358">
          <cell r="H358">
            <v>10</v>
          </cell>
        </row>
        <row r="361">
          <cell r="H361">
            <v>1025.43</v>
          </cell>
        </row>
        <row r="362">
          <cell r="H362">
            <v>119</v>
          </cell>
        </row>
        <row r="365">
          <cell r="H365">
            <v>75.61</v>
          </cell>
        </row>
        <row r="366">
          <cell r="H366">
            <v>115.38999999999999</v>
          </cell>
        </row>
        <row r="367">
          <cell r="H367">
            <v>67.5</v>
          </cell>
        </row>
        <row r="370">
          <cell r="H370">
            <v>1515.1999999999996</v>
          </cell>
        </row>
        <row r="373">
          <cell r="H373">
            <v>66</v>
          </cell>
        </row>
        <row r="374">
          <cell r="H374">
            <v>82</v>
          </cell>
        </row>
        <row r="377">
          <cell r="H377">
            <v>33</v>
          </cell>
        </row>
        <row r="378">
          <cell r="H378">
            <v>9</v>
          </cell>
        </row>
        <row r="381">
          <cell r="H381">
            <v>82</v>
          </cell>
        </row>
        <row r="384">
          <cell r="H384">
            <v>27</v>
          </cell>
        </row>
        <row r="385">
          <cell r="H385">
            <v>38</v>
          </cell>
        </row>
        <row r="388">
          <cell r="H388">
            <v>48</v>
          </cell>
        </row>
        <row r="389">
          <cell r="H389">
            <v>206</v>
          </cell>
        </row>
        <row r="392">
          <cell r="H392">
            <v>80</v>
          </cell>
        </row>
        <row r="395">
          <cell r="H395">
            <v>12.705334999999998</v>
          </cell>
        </row>
        <row r="398">
          <cell r="H398">
            <v>74.55</v>
          </cell>
        </row>
        <row r="401">
          <cell r="H401">
            <v>12</v>
          </cell>
        </row>
        <row r="402">
          <cell r="H402">
            <v>61</v>
          </cell>
        </row>
        <row r="405">
          <cell r="H405">
            <v>12</v>
          </cell>
        </row>
        <row r="408">
          <cell r="H408">
            <v>10</v>
          </cell>
        </row>
        <row r="411">
          <cell r="H411">
            <v>239.63159999999999</v>
          </cell>
        </row>
        <row r="412">
          <cell r="H412">
            <v>141.57500000000002</v>
          </cell>
        </row>
        <row r="415">
          <cell r="H415">
            <v>30000</v>
          </cell>
        </row>
        <row r="418">
          <cell r="H418">
            <v>50</v>
          </cell>
        </row>
        <row r="421">
          <cell r="H421">
            <v>50</v>
          </cell>
        </row>
        <row r="424">
          <cell r="H424">
            <v>10000</v>
          </cell>
        </row>
        <row r="427">
          <cell r="H427">
            <v>1</v>
          </cell>
        </row>
        <row r="428">
          <cell r="H428">
            <v>2</v>
          </cell>
        </row>
        <row r="431">
          <cell r="H431">
            <v>24.6</v>
          </cell>
        </row>
        <row r="434">
          <cell r="H434">
            <v>195.18</v>
          </cell>
        </row>
        <row r="437">
          <cell r="H437">
            <v>3.1656499999999999</v>
          </cell>
        </row>
        <row r="440">
          <cell r="H440">
            <v>5</v>
          </cell>
        </row>
        <row r="443">
          <cell r="H443">
            <v>5</v>
          </cell>
        </row>
        <row r="446">
          <cell r="H446">
            <v>68.505750000000006</v>
          </cell>
        </row>
        <row r="449">
          <cell r="H449">
            <v>15.083225000000001</v>
          </cell>
        </row>
        <row r="452">
          <cell r="H452">
            <v>16.32</v>
          </cell>
        </row>
        <row r="455">
          <cell r="J455">
            <v>17430527.433688875</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7"/>
  <sheetViews>
    <sheetView view="pageBreakPreview" zoomScaleNormal="85" zoomScaleSheetLayoutView="100" workbookViewId="0">
      <pane ySplit="3" topLeftCell="A537" activePane="bottomLeft" state="frozen"/>
      <selection pane="bottomLeft" activeCell="A529" sqref="A529:IV553"/>
    </sheetView>
  </sheetViews>
  <sheetFormatPr defaultRowHeight="14.25"/>
  <cols>
    <col min="1" max="1" width="6.85546875" style="2" bestFit="1" customWidth="1"/>
    <col min="2" max="2" width="8" style="2" bestFit="1" customWidth="1"/>
    <col min="3" max="3" width="43" style="2" customWidth="1"/>
    <col min="4" max="4" width="6.7109375" style="2" customWidth="1"/>
    <col min="5" max="5" width="6.140625" style="2" bestFit="1" customWidth="1"/>
    <col min="6" max="6" width="12" style="2" bestFit="1" customWidth="1"/>
    <col min="7" max="7" width="14.140625" style="2" bestFit="1" customWidth="1"/>
    <col min="8" max="8" width="17.5703125" style="2" bestFit="1" customWidth="1"/>
    <col min="9" max="9" width="12.7109375" style="2" bestFit="1" customWidth="1"/>
    <col min="10" max="10" width="16.85546875" style="2" bestFit="1" customWidth="1"/>
    <col min="11" max="11" width="9.140625" style="2" customWidth="1"/>
    <col min="12" max="12" width="11.85546875" style="2" bestFit="1" customWidth="1"/>
    <col min="13" max="16384" width="9.140625" style="2"/>
  </cols>
  <sheetData>
    <row r="1" spans="1:11" ht="18">
      <c r="A1" s="14"/>
      <c r="B1" s="1294" t="s">
        <v>22</v>
      </c>
      <c r="C1" s="1294"/>
      <c r="D1" s="1294"/>
      <c r="E1" s="1294"/>
      <c r="F1" s="1294"/>
      <c r="G1" s="1294"/>
      <c r="H1" s="1294"/>
      <c r="I1" s="1294"/>
      <c r="J1" s="1294"/>
      <c r="K1" s="4"/>
    </row>
    <row r="2" spans="1:11" ht="16.5" thickBot="1">
      <c r="A2" s="1295" t="s">
        <v>265</v>
      </c>
      <c r="B2" s="1295"/>
      <c r="C2" s="1295"/>
      <c r="D2" s="1295"/>
      <c r="E2" s="1295"/>
      <c r="F2" s="1295"/>
      <c r="G2" s="1295"/>
      <c r="H2" s="1295"/>
      <c r="I2" s="1296" t="s">
        <v>296</v>
      </c>
      <c r="J2" s="1296"/>
      <c r="K2" s="5"/>
    </row>
    <row r="3" spans="1:11" ht="30.75" thickBot="1">
      <c r="A3" s="15" t="s">
        <v>23</v>
      </c>
      <c r="B3" s="15" t="s">
        <v>24</v>
      </c>
      <c r="C3" s="16" t="s">
        <v>25</v>
      </c>
      <c r="D3" s="15" t="s">
        <v>26</v>
      </c>
      <c r="E3" s="16" t="s">
        <v>27</v>
      </c>
      <c r="F3" s="15" t="s">
        <v>28</v>
      </c>
      <c r="G3" s="15" t="s">
        <v>29</v>
      </c>
      <c r="H3" s="15" t="s">
        <v>30</v>
      </c>
      <c r="I3" s="16" t="s">
        <v>31</v>
      </c>
      <c r="J3" s="16" t="s">
        <v>32</v>
      </c>
      <c r="K3" s="4"/>
    </row>
    <row r="4" spans="1:11" ht="15">
      <c r="A4" s="17" t="s">
        <v>33</v>
      </c>
      <c r="B4" s="18" t="s">
        <v>34</v>
      </c>
      <c r="C4" s="19" t="s">
        <v>35</v>
      </c>
      <c r="D4" s="20"/>
      <c r="E4" s="21"/>
      <c r="F4" s="22"/>
      <c r="G4" s="22"/>
      <c r="H4" s="22"/>
      <c r="I4" s="13"/>
      <c r="J4" s="23"/>
      <c r="K4" s="4"/>
    </row>
    <row r="5" spans="1:11" ht="15">
      <c r="A5" s="24"/>
      <c r="B5" s="25"/>
      <c r="C5" s="26" t="s">
        <v>36</v>
      </c>
      <c r="D5" s="26"/>
      <c r="E5" s="27" t="s">
        <v>8</v>
      </c>
      <c r="F5" s="7">
        <f>[1]Summary!$H$5</f>
        <v>846.69287500000007</v>
      </c>
      <c r="G5" s="7" t="e">
        <f>#REF!</f>
        <v>#REF!</v>
      </c>
      <c r="H5" s="7" t="e">
        <f>G5+F5</f>
        <v>#REF!</v>
      </c>
      <c r="I5" s="9"/>
      <c r="J5" s="28"/>
      <c r="K5" s="4"/>
    </row>
    <row r="6" spans="1:11" ht="15">
      <c r="A6" s="24"/>
      <c r="B6" s="25"/>
      <c r="C6" s="26" t="s">
        <v>37</v>
      </c>
      <c r="D6" s="26"/>
      <c r="E6" s="27" t="s">
        <v>8</v>
      </c>
      <c r="F6" s="7">
        <f>[1]Summary!$H$6</f>
        <v>608.15977499999997</v>
      </c>
      <c r="G6" s="7"/>
      <c r="H6" s="7">
        <f>G6+F6</f>
        <v>608.15977499999997</v>
      </c>
      <c r="I6" s="9"/>
      <c r="J6" s="28"/>
      <c r="K6" s="4"/>
    </row>
    <row r="7" spans="1:11" ht="15">
      <c r="A7" s="24"/>
      <c r="B7" s="25"/>
      <c r="C7" s="26" t="s">
        <v>150</v>
      </c>
      <c r="D7" s="26"/>
      <c r="E7" s="27" t="s">
        <v>8</v>
      </c>
      <c r="F7" s="7">
        <f>[1]Summary!$H$7</f>
        <v>1143.7416450000001</v>
      </c>
      <c r="G7" s="7" t="e">
        <f>#REF!</f>
        <v>#REF!</v>
      </c>
      <c r="H7" s="7" t="e">
        <f>G7+F7</f>
        <v>#REF!</v>
      </c>
      <c r="I7" s="9"/>
      <c r="J7" s="28"/>
      <c r="K7" s="4"/>
    </row>
    <row r="8" spans="1:11" ht="15">
      <c r="A8" s="24"/>
      <c r="B8" s="25"/>
      <c r="C8" s="26" t="s">
        <v>288</v>
      </c>
      <c r="D8" s="26"/>
      <c r="E8" s="27" t="s">
        <v>8</v>
      </c>
      <c r="F8" s="7"/>
      <c r="G8" s="7" t="e">
        <f>#REF!</f>
        <v>#REF!</v>
      </c>
      <c r="H8" s="7" t="e">
        <f>G8+F8</f>
        <v>#REF!</v>
      </c>
      <c r="I8" s="9"/>
      <c r="J8" s="28"/>
      <c r="K8" s="4"/>
    </row>
    <row r="9" spans="1:11" ht="15">
      <c r="A9" s="24"/>
      <c r="B9" s="25"/>
      <c r="C9" s="26" t="s">
        <v>175</v>
      </c>
      <c r="D9" s="26"/>
      <c r="E9" s="27" t="s">
        <v>8</v>
      </c>
      <c r="F9" s="7">
        <f>[1]Summary!$H$8</f>
        <v>761.34888750000005</v>
      </c>
      <c r="G9" s="7" t="e">
        <f>#REF!</f>
        <v>#REF!</v>
      </c>
      <c r="H9" s="7" t="e">
        <f>G9+F9</f>
        <v>#REF!</v>
      </c>
      <c r="I9" s="9"/>
      <c r="J9" s="28"/>
      <c r="K9" s="4"/>
    </row>
    <row r="10" spans="1:11" ht="15">
      <c r="A10" s="24"/>
      <c r="B10" s="25"/>
      <c r="C10" s="29" t="s">
        <v>7</v>
      </c>
      <c r="D10" s="26" t="s">
        <v>38</v>
      </c>
      <c r="E10" s="27"/>
      <c r="F10" s="30">
        <f>SUM(F5:F9)</f>
        <v>3359.9431825000001</v>
      </c>
      <c r="G10" s="30" t="e">
        <f>SUM(G5:G9)</f>
        <v>#REF!</v>
      </c>
      <c r="H10" s="30" t="e">
        <f>SUM(H5:H9)</f>
        <v>#REF!</v>
      </c>
      <c r="I10" s="12">
        <v>90</v>
      </c>
      <c r="J10" s="31" t="e">
        <f>I10*H10</f>
        <v>#REF!</v>
      </c>
      <c r="K10" s="4"/>
    </row>
    <row r="11" spans="1:11" ht="15">
      <c r="A11" s="24"/>
      <c r="B11" s="25" t="s">
        <v>39</v>
      </c>
      <c r="C11" s="3" t="s">
        <v>40</v>
      </c>
      <c r="D11" s="6"/>
      <c r="E11" s="27"/>
      <c r="F11" s="7"/>
      <c r="G11" s="7"/>
      <c r="H11" s="7"/>
      <c r="I11" s="9"/>
      <c r="J11" s="28"/>
      <c r="K11" s="4"/>
    </row>
    <row r="12" spans="1:11" ht="15">
      <c r="A12" s="24"/>
      <c r="B12" s="25"/>
      <c r="C12" s="26" t="s">
        <v>36</v>
      </c>
      <c r="D12" s="26"/>
      <c r="E12" s="27" t="s">
        <v>8</v>
      </c>
      <c r="F12" s="7">
        <f>[1]Summary!$H$11</f>
        <v>112.90087499999997</v>
      </c>
      <c r="G12" s="7"/>
      <c r="H12" s="7">
        <f>G12+F12</f>
        <v>112.90087499999997</v>
      </c>
      <c r="I12" s="9"/>
      <c r="J12" s="28"/>
      <c r="K12" s="4"/>
    </row>
    <row r="13" spans="1:11" ht="15">
      <c r="A13" s="24"/>
      <c r="B13" s="25"/>
      <c r="C13" s="26" t="s">
        <v>37</v>
      </c>
      <c r="D13" s="26"/>
      <c r="E13" s="27" t="s">
        <v>8</v>
      </c>
      <c r="F13" s="7">
        <f>[1]Summary!$H$12</f>
        <v>113.75377499999999</v>
      </c>
      <c r="G13" s="7"/>
      <c r="H13" s="7">
        <f>G13+F13</f>
        <v>113.75377499999999</v>
      </c>
      <c r="I13" s="9"/>
      <c r="J13" s="28"/>
      <c r="K13" s="4"/>
    </row>
    <row r="14" spans="1:11" ht="15">
      <c r="A14" s="24"/>
      <c r="B14" s="25"/>
      <c r="C14" s="26" t="s">
        <v>150</v>
      </c>
      <c r="D14" s="26"/>
      <c r="E14" s="27" t="s">
        <v>8</v>
      </c>
      <c r="F14" s="7">
        <f>[1]Summary!$H$13</f>
        <v>252.76889</v>
      </c>
      <c r="G14" s="7" t="e">
        <f>#REF!</f>
        <v>#REF!</v>
      </c>
      <c r="H14" s="7" t="e">
        <f>G14+F14</f>
        <v>#REF!</v>
      </c>
      <c r="I14" s="9"/>
      <c r="J14" s="28"/>
      <c r="K14" s="4"/>
    </row>
    <row r="15" spans="1:11" ht="15">
      <c r="A15" s="24"/>
      <c r="B15" s="25"/>
      <c r="C15" s="26" t="s">
        <v>288</v>
      </c>
      <c r="D15" s="26"/>
      <c r="E15" s="27" t="s">
        <v>8</v>
      </c>
      <c r="F15" s="7"/>
      <c r="G15" s="7" t="e">
        <f>#REF!</f>
        <v>#REF!</v>
      </c>
      <c r="H15" s="7" t="e">
        <f>G15+F15</f>
        <v>#REF!</v>
      </c>
      <c r="I15" s="9"/>
      <c r="J15" s="28"/>
      <c r="K15" s="4"/>
    </row>
    <row r="16" spans="1:11" ht="15">
      <c r="A16" s="24"/>
      <c r="B16" s="25"/>
      <c r="C16" s="26" t="s">
        <v>175</v>
      </c>
      <c r="D16" s="26"/>
      <c r="E16" s="27" t="s">
        <v>8</v>
      </c>
      <c r="F16" s="7">
        <f>[1]Summary!$H$14</f>
        <v>327.30731250000002</v>
      </c>
      <c r="G16" s="7"/>
      <c r="H16" s="7">
        <f>G16+F16</f>
        <v>327.30731250000002</v>
      </c>
      <c r="I16" s="9"/>
      <c r="J16" s="28"/>
      <c r="K16" s="4"/>
    </row>
    <row r="17" spans="1:11" ht="15">
      <c r="A17" s="24"/>
      <c r="B17" s="25"/>
      <c r="C17" s="29" t="s">
        <v>7</v>
      </c>
      <c r="D17" s="26" t="s">
        <v>41</v>
      </c>
      <c r="E17" s="27"/>
      <c r="F17" s="30">
        <f>SUM(F12:F16)</f>
        <v>806.73085249999997</v>
      </c>
      <c r="G17" s="30" t="e">
        <f>SUM(G12:G16)</f>
        <v>#REF!</v>
      </c>
      <c r="H17" s="30" t="e">
        <f>SUM(H12:H16)</f>
        <v>#REF!</v>
      </c>
      <c r="I17" s="12">
        <v>35</v>
      </c>
      <c r="J17" s="31" t="e">
        <f>I17*H17</f>
        <v>#REF!</v>
      </c>
      <c r="K17" s="4"/>
    </row>
    <row r="18" spans="1:11" ht="15">
      <c r="A18" s="24"/>
      <c r="B18" s="25" t="s">
        <v>173</v>
      </c>
      <c r="C18" s="10" t="s">
        <v>174</v>
      </c>
      <c r="D18" s="26"/>
      <c r="E18" s="27"/>
      <c r="F18" s="30"/>
      <c r="G18" s="30"/>
      <c r="H18" s="30"/>
      <c r="I18" s="12"/>
      <c r="J18" s="31"/>
      <c r="K18" s="4"/>
    </row>
    <row r="19" spans="1:11" ht="15">
      <c r="A19" s="24"/>
      <c r="B19" s="25"/>
      <c r="C19" s="26" t="s">
        <v>150</v>
      </c>
      <c r="D19" s="26"/>
      <c r="E19" s="27" t="s">
        <v>10</v>
      </c>
      <c r="F19" s="7">
        <f>[1]Summary!$H$17</f>
        <v>457.40500000000003</v>
      </c>
      <c r="G19" s="7" t="e">
        <f>#REF!</f>
        <v>#REF!</v>
      </c>
      <c r="H19" s="7" t="e">
        <f>G19+F19</f>
        <v>#REF!</v>
      </c>
      <c r="I19" s="12"/>
      <c r="J19" s="31"/>
      <c r="K19" s="4"/>
    </row>
    <row r="20" spans="1:11" ht="15">
      <c r="A20" s="24"/>
      <c r="B20" s="25"/>
      <c r="C20" s="29" t="s">
        <v>7</v>
      </c>
      <c r="D20" s="26" t="s">
        <v>44</v>
      </c>
      <c r="E20" s="27"/>
      <c r="F20" s="30">
        <f>SUM(F19:F19)</f>
        <v>457.40500000000003</v>
      </c>
      <c r="G20" s="30" t="e">
        <f>SUM(G19:G19)</f>
        <v>#REF!</v>
      </c>
      <c r="H20" s="30" t="e">
        <f>SUM(H19:H19)</f>
        <v>#REF!</v>
      </c>
      <c r="I20" s="12">
        <v>25</v>
      </c>
      <c r="J20" s="31" t="e">
        <f>I20*H20</f>
        <v>#REF!</v>
      </c>
      <c r="K20" s="4"/>
    </row>
    <row r="21" spans="1:11" ht="15">
      <c r="A21" s="24"/>
      <c r="B21" s="25" t="s">
        <v>164</v>
      </c>
      <c r="C21" s="29" t="s">
        <v>165</v>
      </c>
      <c r="D21" s="26"/>
      <c r="E21" s="27"/>
      <c r="F21" s="30"/>
      <c r="G21" s="30"/>
      <c r="H21" s="30"/>
      <c r="I21" s="12"/>
      <c r="J21" s="31"/>
      <c r="K21" s="4"/>
    </row>
    <row r="22" spans="1:11" ht="15">
      <c r="A22" s="24"/>
      <c r="B22" s="25"/>
      <c r="C22" s="26" t="s">
        <v>150</v>
      </c>
      <c r="D22" s="26"/>
      <c r="E22" s="27" t="s">
        <v>8</v>
      </c>
      <c r="F22" s="7">
        <f>[1]Summary!$H$20</f>
        <v>83.383749999999992</v>
      </c>
      <c r="G22" s="7" t="e">
        <f>#REF!</f>
        <v>#REF!</v>
      </c>
      <c r="H22" s="7" t="e">
        <f>G22+F22</f>
        <v>#REF!</v>
      </c>
      <c r="I22" s="12"/>
      <c r="J22" s="31"/>
      <c r="K22" s="4"/>
    </row>
    <row r="23" spans="1:11" ht="15">
      <c r="A23" s="24"/>
      <c r="B23" s="25"/>
      <c r="C23" s="29" t="s">
        <v>7</v>
      </c>
      <c r="D23" s="26" t="s">
        <v>90</v>
      </c>
      <c r="E23" s="27"/>
      <c r="F23" s="30">
        <f>SUM(F22:F22)</f>
        <v>83.383749999999992</v>
      </c>
      <c r="G23" s="30" t="e">
        <f>SUM(G22:G22)</f>
        <v>#REF!</v>
      </c>
      <c r="H23" s="30" t="e">
        <f>SUM(H22:H22)</f>
        <v>#REF!</v>
      </c>
      <c r="I23" s="12">
        <v>900</v>
      </c>
      <c r="J23" s="31" t="e">
        <f>I23*H23</f>
        <v>#REF!</v>
      </c>
      <c r="K23" s="4"/>
    </row>
    <row r="24" spans="1:11" ht="15">
      <c r="A24" s="24"/>
      <c r="B24" s="27" t="s">
        <v>42</v>
      </c>
      <c r="C24" s="10" t="s">
        <v>43</v>
      </c>
      <c r="D24" s="32"/>
      <c r="E24" s="27"/>
      <c r="F24" s="7"/>
      <c r="G24" s="7"/>
      <c r="H24" s="7"/>
      <c r="I24" s="9"/>
      <c r="J24" s="28"/>
      <c r="K24" s="4"/>
    </row>
    <row r="25" spans="1:11" ht="15">
      <c r="A25" s="24"/>
      <c r="B25" s="27"/>
      <c r="C25" s="26" t="s">
        <v>36</v>
      </c>
      <c r="D25" s="26"/>
      <c r="E25" s="27" t="s">
        <v>8</v>
      </c>
      <c r="F25" s="7">
        <f>[1]Summary!$H$23</f>
        <v>441.84368250000011</v>
      </c>
      <c r="G25" s="7" t="e">
        <f>#REF!</f>
        <v>#REF!</v>
      </c>
      <c r="H25" s="7" t="e">
        <f>G25+F25</f>
        <v>#REF!</v>
      </c>
      <c r="I25" s="9"/>
      <c r="J25" s="28"/>
      <c r="K25" s="4"/>
    </row>
    <row r="26" spans="1:11" ht="15">
      <c r="A26" s="24"/>
      <c r="B26" s="27"/>
      <c r="C26" s="26" t="s">
        <v>37</v>
      </c>
      <c r="D26" s="26"/>
      <c r="E26" s="27" t="s">
        <v>8</v>
      </c>
      <c r="F26" s="7">
        <f>[1]Summary!$H$24</f>
        <v>149.56797249999997</v>
      </c>
      <c r="G26" s="7" t="e">
        <f>#REF!</f>
        <v>#REF!</v>
      </c>
      <c r="H26" s="7" t="e">
        <f>G26+F26</f>
        <v>#REF!</v>
      </c>
      <c r="I26" s="9"/>
      <c r="J26" s="28"/>
      <c r="K26" s="4"/>
    </row>
    <row r="27" spans="1:11" ht="15">
      <c r="A27" s="24"/>
      <c r="B27" s="27"/>
      <c r="C27" s="26" t="s">
        <v>150</v>
      </c>
      <c r="D27" s="26"/>
      <c r="E27" s="27" t="s">
        <v>8</v>
      </c>
      <c r="F27" s="7">
        <f>[1]Summary!$H$25</f>
        <v>59.055454999999995</v>
      </c>
      <c r="G27" s="7" t="e">
        <f>#REF!</f>
        <v>#REF!</v>
      </c>
      <c r="H27" s="7" t="e">
        <f>G27+F27</f>
        <v>#REF!</v>
      </c>
      <c r="I27" s="9"/>
      <c r="J27" s="28"/>
      <c r="K27" s="4"/>
    </row>
    <row r="28" spans="1:11" ht="15">
      <c r="A28" s="24"/>
      <c r="B28" s="27"/>
      <c r="C28" s="26" t="s">
        <v>288</v>
      </c>
      <c r="D28" s="26"/>
      <c r="E28" s="27" t="s">
        <v>8</v>
      </c>
      <c r="F28" s="7"/>
      <c r="G28" s="7" t="e">
        <f>#REF!</f>
        <v>#REF!</v>
      </c>
      <c r="H28" s="7" t="e">
        <f>G28+F28</f>
        <v>#REF!</v>
      </c>
      <c r="I28" s="9"/>
      <c r="J28" s="28"/>
      <c r="K28" s="4"/>
    </row>
    <row r="29" spans="1:11" ht="15">
      <c r="A29" s="24"/>
      <c r="B29" s="27"/>
      <c r="C29" s="26" t="s">
        <v>175</v>
      </c>
      <c r="D29" s="26"/>
      <c r="E29" s="27" t="s">
        <v>8</v>
      </c>
      <c r="F29" s="7">
        <f>[1]Summary!$H$26</f>
        <v>759.88970000000006</v>
      </c>
      <c r="G29" s="7" t="e">
        <f>#REF!</f>
        <v>#REF!</v>
      </c>
      <c r="H29" s="7" t="e">
        <f>G29+F29</f>
        <v>#REF!</v>
      </c>
      <c r="I29" s="9"/>
      <c r="J29" s="28"/>
      <c r="K29" s="4"/>
    </row>
    <row r="30" spans="1:11" ht="15">
      <c r="A30" s="24"/>
      <c r="B30" s="27"/>
      <c r="C30" s="29" t="s">
        <v>7</v>
      </c>
      <c r="D30" s="26" t="s">
        <v>44</v>
      </c>
      <c r="E30" s="27"/>
      <c r="F30" s="30">
        <f>SUM(F25:F29)</f>
        <v>1410.3568100000002</v>
      </c>
      <c r="G30" s="30" t="e">
        <f>SUM(G25:G29)</f>
        <v>#REF!</v>
      </c>
      <c r="H30" s="30" t="e">
        <f>SUM(H25:H29)</f>
        <v>#REF!</v>
      </c>
      <c r="I30" s="12">
        <v>75</v>
      </c>
      <c r="J30" s="31" t="e">
        <f>I30*H30</f>
        <v>#REF!</v>
      </c>
      <c r="K30" s="4"/>
    </row>
    <row r="31" spans="1:11" ht="15">
      <c r="A31" s="24" t="s">
        <v>45</v>
      </c>
      <c r="B31" s="27" t="s">
        <v>46</v>
      </c>
      <c r="C31" s="33" t="s">
        <v>47</v>
      </c>
      <c r="D31" s="33"/>
      <c r="E31" s="27"/>
      <c r="F31" s="7"/>
      <c r="G31" s="7"/>
      <c r="H31" s="7"/>
      <c r="I31" s="9"/>
      <c r="J31" s="28"/>
      <c r="K31" s="4"/>
    </row>
    <row r="32" spans="1:11" ht="30">
      <c r="A32" s="24"/>
      <c r="B32" s="27">
        <v>7</v>
      </c>
      <c r="C32" s="3" t="s">
        <v>9</v>
      </c>
      <c r="D32" s="6"/>
      <c r="E32" s="27"/>
      <c r="F32" s="7"/>
      <c r="G32" s="7"/>
      <c r="H32" s="7"/>
      <c r="I32" s="9"/>
      <c r="J32" s="28"/>
    </row>
    <row r="33" spans="1:10" ht="15">
      <c r="A33" s="24"/>
      <c r="B33" s="27"/>
      <c r="C33" s="26" t="s">
        <v>36</v>
      </c>
      <c r="D33" s="26"/>
      <c r="E33" s="27" t="s">
        <v>8</v>
      </c>
      <c r="F33" s="7">
        <f>[1]Summary!$H$30</f>
        <v>291.36539999999997</v>
      </c>
      <c r="G33" s="7" t="e">
        <f>#REF!</f>
        <v>#REF!</v>
      </c>
      <c r="H33" s="7" t="e">
        <f>G33+F33</f>
        <v>#REF!</v>
      </c>
      <c r="I33" s="9"/>
      <c r="J33" s="28"/>
    </row>
    <row r="34" spans="1:10" ht="15">
      <c r="A34" s="24"/>
      <c r="B34" s="27"/>
      <c r="C34" s="26" t="s">
        <v>37</v>
      </c>
      <c r="D34" s="26"/>
      <c r="E34" s="27" t="s">
        <v>8</v>
      </c>
      <c r="F34" s="7">
        <f>[1]Summary!$H$31</f>
        <v>59.417907000000021</v>
      </c>
      <c r="G34" s="7" t="e">
        <f>#REF!</f>
        <v>#REF!</v>
      </c>
      <c r="H34" s="7" t="e">
        <f>G34+F34</f>
        <v>#REF!</v>
      </c>
      <c r="I34" s="9"/>
      <c r="J34" s="28"/>
    </row>
    <row r="35" spans="1:10" ht="15">
      <c r="A35" s="24"/>
      <c r="B35" s="27"/>
      <c r="C35" s="26" t="s">
        <v>150</v>
      </c>
      <c r="D35" s="26"/>
      <c r="E35" s="27" t="s">
        <v>8</v>
      </c>
      <c r="F35" s="7">
        <f>[1]Summary!$H$32</f>
        <v>104.04497599999998</v>
      </c>
      <c r="G35" s="7" t="e">
        <f>#REF!</f>
        <v>#REF!</v>
      </c>
      <c r="H35" s="7" t="e">
        <f>G35+F35</f>
        <v>#REF!</v>
      </c>
      <c r="I35" s="9"/>
      <c r="J35" s="28"/>
    </row>
    <row r="36" spans="1:10" ht="15">
      <c r="A36" s="24"/>
      <c r="B36" s="27"/>
      <c r="C36" s="26" t="s">
        <v>288</v>
      </c>
      <c r="D36" s="26"/>
      <c r="E36" s="27" t="s">
        <v>8</v>
      </c>
      <c r="F36" s="7"/>
      <c r="G36" s="7" t="e">
        <f>#REF!</f>
        <v>#REF!</v>
      </c>
      <c r="H36" s="7" t="e">
        <f>G36+F36</f>
        <v>#REF!</v>
      </c>
      <c r="I36" s="9"/>
      <c r="J36" s="28"/>
    </row>
    <row r="37" spans="1:10" ht="15">
      <c r="A37" s="24"/>
      <c r="B37" s="27"/>
      <c r="C37" s="26" t="s">
        <v>175</v>
      </c>
      <c r="D37" s="26"/>
      <c r="E37" s="27" t="s">
        <v>8</v>
      </c>
      <c r="F37" s="7">
        <f>[1]Summary!$H$33</f>
        <v>26.076186249999999</v>
      </c>
      <c r="G37" s="7" t="e">
        <f>#REF!</f>
        <v>#REF!</v>
      </c>
      <c r="H37" s="7" t="e">
        <f>G37+F37</f>
        <v>#REF!</v>
      </c>
      <c r="I37" s="9"/>
      <c r="J37" s="28"/>
    </row>
    <row r="38" spans="1:10" ht="15">
      <c r="A38" s="24"/>
      <c r="B38" s="27"/>
      <c r="C38" s="29" t="s">
        <v>7</v>
      </c>
      <c r="D38" s="26" t="s">
        <v>48</v>
      </c>
      <c r="E38" s="27"/>
      <c r="F38" s="30">
        <f>SUM(F33:F37)</f>
        <v>480.90446924999992</v>
      </c>
      <c r="G38" s="30" t="e">
        <f>SUM(G33:G37)</f>
        <v>#REF!</v>
      </c>
      <c r="H38" s="30" t="e">
        <f>SUM(H33:H37)</f>
        <v>#REF!</v>
      </c>
      <c r="I38" s="12">
        <v>2800</v>
      </c>
      <c r="J38" s="31" t="e">
        <f>I38*H38</f>
        <v>#REF!</v>
      </c>
    </row>
    <row r="39" spans="1:10" ht="15">
      <c r="A39" s="24"/>
      <c r="B39" s="27">
        <v>10</v>
      </c>
      <c r="C39" s="10" t="s">
        <v>169</v>
      </c>
      <c r="D39" s="26"/>
      <c r="E39" s="27"/>
      <c r="F39" s="30"/>
      <c r="G39" s="30"/>
      <c r="H39" s="30"/>
      <c r="I39" s="12"/>
      <c r="J39" s="31"/>
    </row>
    <row r="40" spans="1:10" ht="15">
      <c r="A40" s="24"/>
      <c r="B40" s="27"/>
      <c r="C40" s="26" t="s">
        <v>150</v>
      </c>
      <c r="D40" s="26"/>
      <c r="E40" s="27" t="s">
        <v>10</v>
      </c>
      <c r="F40" s="7">
        <f>[1]Summary!$H$36</f>
        <v>14.529399999999999</v>
      </c>
      <c r="G40" s="7" t="e">
        <f>#REF!</f>
        <v>#REF!</v>
      </c>
      <c r="H40" s="7" t="e">
        <f>G40+F40</f>
        <v>#REF!</v>
      </c>
      <c r="I40" s="9"/>
      <c r="J40" s="28"/>
    </row>
    <row r="41" spans="1:10" ht="15">
      <c r="A41" s="24"/>
      <c r="B41" s="27"/>
      <c r="C41" s="29" t="s">
        <v>7</v>
      </c>
      <c r="D41" s="26" t="s">
        <v>90</v>
      </c>
      <c r="E41" s="27"/>
      <c r="F41" s="30">
        <f>SUM(F40:F40)</f>
        <v>14.529399999999999</v>
      </c>
      <c r="G41" s="30" t="e">
        <f>SUM(G40:G40)</f>
        <v>#REF!</v>
      </c>
      <c r="H41" s="30" t="e">
        <f>SUM(H40:H40)</f>
        <v>#REF!</v>
      </c>
      <c r="I41" s="12">
        <v>160</v>
      </c>
      <c r="J41" s="31" t="e">
        <f>I41*H41</f>
        <v>#REF!</v>
      </c>
    </row>
    <row r="42" spans="1:10" ht="15">
      <c r="A42" s="24"/>
      <c r="B42" s="27">
        <v>12</v>
      </c>
      <c r="C42" s="10" t="s">
        <v>200</v>
      </c>
      <c r="D42" s="26"/>
      <c r="E42" s="27"/>
      <c r="F42" s="30"/>
      <c r="G42" s="30"/>
      <c r="H42" s="30"/>
      <c r="I42" s="12"/>
      <c r="J42" s="31"/>
    </row>
    <row r="43" spans="1:10" ht="15">
      <c r="A43" s="24"/>
      <c r="B43" s="27"/>
      <c r="C43" s="26" t="s">
        <v>37</v>
      </c>
      <c r="D43" s="26"/>
      <c r="E43" s="27" t="s">
        <v>10</v>
      </c>
      <c r="F43" s="7">
        <f>[1]Summary!$H$39</f>
        <v>356.1157</v>
      </c>
      <c r="G43" s="7"/>
      <c r="H43" s="7">
        <f>G43+F43</f>
        <v>356.1157</v>
      </c>
      <c r="I43" s="9"/>
      <c r="J43" s="28"/>
    </row>
    <row r="44" spans="1:10" ht="15">
      <c r="A44" s="24"/>
      <c r="B44" s="27"/>
      <c r="C44" s="29" t="s">
        <v>7</v>
      </c>
      <c r="D44" s="26"/>
      <c r="E44" s="27"/>
      <c r="F44" s="30">
        <f>SUM(F43:F43)</f>
        <v>356.1157</v>
      </c>
      <c r="G44" s="30">
        <f>SUM(G43:G43)</f>
        <v>0</v>
      </c>
      <c r="H44" s="30">
        <f>SUM(H43:H43)</f>
        <v>356.1157</v>
      </c>
      <c r="I44" s="12">
        <v>170</v>
      </c>
      <c r="J44" s="31">
        <f>I44*H44</f>
        <v>60539.669000000002</v>
      </c>
    </row>
    <row r="45" spans="1:10" ht="15">
      <c r="A45" s="24" t="s">
        <v>49</v>
      </c>
      <c r="B45" s="27" t="s">
        <v>50</v>
      </c>
      <c r="C45" s="34" t="s">
        <v>51</v>
      </c>
      <c r="D45" s="34"/>
      <c r="E45" s="27"/>
      <c r="F45" s="7"/>
      <c r="G45" s="7"/>
      <c r="H45" s="7"/>
      <c r="I45" s="9"/>
      <c r="J45" s="28"/>
    </row>
    <row r="46" spans="1:10" ht="15">
      <c r="A46" s="24"/>
      <c r="B46" s="27">
        <v>14</v>
      </c>
      <c r="C46" s="35" t="s">
        <v>52</v>
      </c>
      <c r="D46" s="11"/>
      <c r="E46" s="27"/>
      <c r="F46" s="7"/>
      <c r="G46" s="7"/>
      <c r="H46" s="7"/>
      <c r="I46" s="9"/>
      <c r="J46" s="28"/>
    </row>
    <row r="47" spans="1:10" ht="15">
      <c r="A47" s="24"/>
      <c r="B47" s="27"/>
      <c r="C47" s="26" t="s">
        <v>36</v>
      </c>
      <c r="D47" s="26"/>
      <c r="E47" s="27" t="s">
        <v>8</v>
      </c>
      <c r="F47" s="7">
        <f>[1]Summary!$H$43</f>
        <v>33.016764437332505</v>
      </c>
      <c r="G47" s="7" t="e">
        <f>#REF!</f>
        <v>#REF!</v>
      </c>
      <c r="H47" s="7" t="e">
        <f>G47+F47</f>
        <v>#REF!</v>
      </c>
      <c r="I47" s="9"/>
      <c r="J47" s="28"/>
    </row>
    <row r="48" spans="1:10" ht="15">
      <c r="A48" s="24"/>
      <c r="B48" s="27"/>
      <c r="C48" s="26" t="s">
        <v>37</v>
      </c>
      <c r="D48" s="26"/>
      <c r="E48" s="27" t="s">
        <v>8</v>
      </c>
      <c r="F48" s="7">
        <f>[1]Summary!$H$44</f>
        <v>26.183999999999997</v>
      </c>
      <c r="G48" s="7" t="e">
        <f>#REF!</f>
        <v>#REF!</v>
      </c>
      <c r="H48" s="7" t="e">
        <f>G48+F48</f>
        <v>#REF!</v>
      </c>
      <c r="I48" s="9"/>
      <c r="J48" s="28"/>
    </row>
    <row r="49" spans="1:10" ht="15">
      <c r="A49" s="24"/>
      <c r="B49" s="27"/>
      <c r="C49" s="26" t="s">
        <v>150</v>
      </c>
      <c r="D49" s="26"/>
      <c r="E49" s="27" t="s">
        <v>8</v>
      </c>
      <c r="F49" s="7">
        <f>[1]Summary!$H$45</f>
        <v>61.361630000000005</v>
      </c>
      <c r="G49" s="7" t="e">
        <f>#REF!</f>
        <v>#REF!</v>
      </c>
      <c r="H49" s="7" t="e">
        <f>G49+F49</f>
        <v>#REF!</v>
      </c>
      <c r="I49" s="9"/>
      <c r="J49" s="28"/>
    </row>
    <row r="50" spans="1:10" ht="15">
      <c r="A50" s="24"/>
      <c r="B50" s="27"/>
      <c r="C50" s="26" t="s">
        <v>288</v>
      </c>
      <c r="D50" s="26"/>
      <c r="E50" s="27" t="s">
        <v>8</v>
      </c>
      <c r="F50" s="7"/>
      <c r="G50" s="7" t="e">
        <f>#REF!</f>
        <v>#REF!</v>
      </c>
      <c r="H50" s="7" t="e">
        <f>G50+F50</f>
        <v>#REF!</v>
      </c>
      <c r="I50" s="9"/>
      <c r="J50" s="28"/>
    </row>
    <row r="51" spans="1:10" ht="15">
      <c r="A51" s="24"/>
      <c r="B51" s="27"/>
      <c r="C51" s="26" t="s">
        <v>175</v>
      </c>
      <c r="D51" s="26"/>
      <c r="E51" s="27" t="s">
        <v>8</v>
      </c>
      <c r="F51" s="7">
        <f>[1]Summary!$H$46</f>
        <v>26.899829999999998</v>
      </c>
      <c r="G51" s="7" t="e">
        <f>#REF!</f>
        <v>#REF!</v>
      </c>
      <c r="H51" s="7" t="e">
        <f>G51+F51</f>
        <v>#REF!</v>
      </c>
      <c r="I51" s="9"/>
      <c r="J51" s="28"/>
    </row>
    <row r="52" spans="1:10" ht="15">
      <c r="A52" s="24"/>
      <c r="B52" s="27"/>
      <c r="C52" s="29" t="s">
        <v>7</v>
      </c>
      <c r="D52" s="26" t="s">
        <v>53</v>
      </c>
      <c r="E52" s="27"/>
      <c r="F52" s="30">
        <f>SUM(F47:F51)</f>
        <v>147.46222443733251</v>
      </c>
      <c r="G52" s="30" t="e">
        <f>SUM(G47:G51)</f>
        <v>#REF!</v>
      </c>
      <c r="H52" s="30" t="e">
        <f>SUM(H47:H51)</f>
        <v>#REF!</v>
      </c>
      <c r="I52" s="12">
        <v>2800</v>
      </c>
      <c r="J52" s="31" t="e">
        <f>I52*H52</f>
        <v>#REF!</v>
      </c>
    </row>
    <row r="53" spans="1:10" ht="15">
      <c r="A53" s="24"/>
      <c r="B53" s="27">
        <v>15</v>
      </c>
      <c r="C53" s="35" t="s">
        <v>54</v>
      </c>
      <c r="D53" s="11"/>
      <c r="E53" s="27"/>
      <c r="F53" s="7"/>
      <c r="G53" s="7"/>
      <c r="H53" s="7"/>
      <c r="I53" s="9"/>
      <c r="J53" s="28"/>
    </row>
    <row r="54" spans="1:10" ht="15">
      <c r="A54" s="24"/>
      <c r="B54" s="27"/>
      <c r="C54" s="26" t="s">
        <v>36</v>
      </c>
      <c r="D54" s="26"/>
      <c r="E54" s="27" t="s">
        <v>8</v>
      </c>
      <c r="F54" s="7">
        <f>[1]Summary!$H$49</f>
        <v>73.838842499999998</v>
      </c>
      <c r="G54" s="7" t="e">
        <f>#REF!</f>
        <v>#REF!</v>
      </c>
      <c r="H54" s="7" t="e">
        <f>G54+F54</f>
        <v>#REF!</v>
      </c>
      <c r="I54" s="9"/>
      <c r="J54" s="28"/>
    </row>
    <row r="55" spans="1:10" ht="15">
      <c r="A55" s="24"/>
      <c r="B55" s="27"/>
      <c r="C55" s="26" t="s">
        <v>37</v>
      </c>
      <c r="D55" s="26"/>
      <c r="E55" s="27" t="s">
        <v>8</v>
      </c>
      <c r="F55" s="7">
        <f>[1]Summary!$H$50</f>
        <v>39.6190395</v>
      </c>
      <c r="G55" s="7"/>
      <c r="H55" s="7">
        <f>G55+F55</f>
        <v>39.6190395</v>
      </c>
      <c r="I55" s="9"/>
      <c r="J55" s="28"/>
    </row>
    <row r="56" spans="1:10" ht="15">
      <c r="A56" s="24"/>
      <c r="B56" s="27"/>
      <c r="C56" s="26" t="s">
        <v>150</v>
      </c>
      <c r="D56" s="26"/>
      <c r="E56" s="27" t="s">
        <v>8</v>
      </c>
      <c r="F56" s="7">
        <f>[1]Summary!$H$51</f>
        <v>104.84670400000002</v>
      </c>
      <c r="G56" s="7" t="e">
        <f>#REF!</f>
        <v>#REF!</v>
      </c>
      <c r="H56" s="7" t="e">
        <f>G56+F56</f>
        <v>#REF!</v>
      </c>
      <c r="I56" s="9"/>
      <c r="J56" s="28"/>
    </row>
    <row r="57" spans="1:10" ht="15">
      <c r="A57" s="24"/>
      <c r="B57" s="27"/>
      <c r="C57" s="26" t="s">
        <v>288</v>
      </c>
      <c r="D57" s="26"/>
      <c r="E57" s="27" t="s">
        <v>8</v>
      </c>
      <c r="F57" s="7"/>
      <c r="G57" s="7" t="e">
        <f>#REF!</f>
        <v>#REF!</v>
      </c>
      <c r="H57" s="7" t="e">
        <f>G57+F57</f>
        <v>#REF!</v>
      </c>
      <c r="I57" s="9"/>
      <c r="J57" s="28"/>
    </row>
    <row r="58" spans="1:10" ht="15">
      <c r="A58" s="24"/>
      <c r="B58" s="27"/>
      <c r="C58" s="26" t="s">
        <v>175</v>
      </c>
      <c r="D58" s="26"/>
      <c r="E58" s="27" t="s">
        <v>8</v>
      </c>
      <c r="F58" s="7">
        <f>[1]Summary!$H$52</f>
        <v>48.673864999999992</v>
      </c>
      <c r="G58" s="7"/>
      <c r="H58" s="7">
        <f>G58+F58</f>
        <v>48.673864999999992</v>
      </c>
      <c r="I58" s="9"/>
      <c r="J58" s="28"/>
    </row>
    <row r="59" spans="1:10" ht="15">
      <c r="A59" s="24"/>
      <c r="B59" s="27"/>
      <c r="C59" s="29" t="s">
        <v>7</v>
      </c>
      <c r="D59" s="26" t="s">
        <v>55</v>
      </c>
      <c r="E59" s="27"/>
      <c r="F59" s="30">
        <f>SUM(F54:F58)</f>
        <v>266.97845100000001</v>
      </c>
      <c r="G59" s="30" t="e">
        <f>SUM(G54:G58)</f>
        <v>#REF!</v>
      </c>
      <c r="H59" s="30" t="e">
        <f>SUM(H54:H58)</f>
        <v>#REF!</v>
      </c>
      <c r="I59" s="12">
        <v>2900</v>
      </c>
      <c r="J59" s="31" t="e">
        <f>I59*H59</f>
        <v>#REF!</v>
      </c>
    </row>
    <row r="60" spans="1:10" ht="15">
      <c r="A60" s="24"/>
      <c r="B60" s="27">
        <v>16</v>
      </c>
      <c r="C60" s="35" t="s">
        <v>147</v>
      </c>
      <c r="D60" s="11"/>
      <c r="E60" s="27"/>
      <c r="F60" s="7"/>
      <c r="G60" s="7"/>
      <c r="H60" s="7"/>
      <c r="I60" s="9"/>
      <c r="J60" s="28"/>
    </row>
    <row r="61" spans="1:10" ht="15">
      <c r="A61" s="24"/>
      <c r="B61" s="27"/>
      <c r="C61" s="26" t="s">
        <v>37</v>
      </c>
      <c r="D61" s="26"/>
      <c r="E61" s="27" t="s">
        <v>8</v>
      </c>
      <c r="F61" s="7">
        <f>[1]Summary!$H$55</f>
        <v>16.634519999999995</v>
      </c>
      <c r="G61" s="7" t="e">
        <f>#REF!</f>
        <v>#REF!</v>
      </c>
      <c r="H61" s="7" t="e">
        <f>G61+F61</f>
        <v>#REF!</v>
      </c>
      <c r="I61" s="9"/>
      <c r="J61" s="28"/>
    </row>
    <row r="62" spans="1:10" ht="15">
      <c r="A62" s="24"/>
      <c r="B62" s="27"/>
      <c r="C62" s="29" t="s">
        <v>7</v>
      </c>
      <c r="D62" s="26" t="s">
        <v>105</v>
      </c>
      <c r="E62" s="27"/>
      <c r="F62" s="30">
        <f>SUM(F61:F61)</f>
        <v>16.634519999999995</v>
      </c>
      <c r="G62" s="30" t="e">
        <f>SUM(G61:G61)</f>
        <v>#REF!</v>
      </c>
      <c r="H62" s="30" t="e">
        <f>SUM(H61:H61)</f>
        <v>#REF!</v>
      </c>
      <c r="I62" s="12">
        <v>2800</v>
      </c>
      <c r="J62" s="31" t="e">
        <f>I62*H62</f>
        <v>#REF!</v>
      </c>
    </row>
    <row r="63" spans="1:10" ht="15">
      <c r="A63" s="24"/>
      <c r="B63" s="27">
        <v>18</v>
      </c>
      <c r="C63" s="35" t="s">
        <v>12</v>
      </c>
      <c r="D63" s="11"/>
      <c r="E63" s="27"/>
      <c r="F63" s="7"/>
      <c r="G63" s="7"/>
      <c r="H63" s="7"/>
      <c r="I63" s="9"/>
      <c r="J63" s="28"/>
    </row>
    <row r="64" spans="1:10" ht="15">
      <c r="A64" s="24"/>
      <c r="B64" s="27"/>
      <c r="C64" s="26" t="s">
        <v>37</v>
      </c>
      <c r="D64" s="26"/>
      <c r="E64" s="27" t="s">
        <v>8</v>
      </c>
      <c r="F64" s="7">
        <f>[1]Summary!$H$58</f>
        <v>1.4520000000000002</v>
      </c>
      <c r="G64" s="7"/>
      <c r="H64" s="7">
        <f>G64+F64</f>
        <v>1.4520000000000002</v>
      </c>
      <c r="I64" s="9"/>
      <c r="J64" s="28"/>
    </row>
    <row r="65" spans="1:10" ht="15">
      <c r="A65" s="24"/>
      <c r="B65" s="27"/>
      <c r="C65" s="29" t="s">
        <v>7</v>
      </c>
      <c r="D65" s="26" t="s">
        <v>158</v>
      </c>
      <c r="E65" s="27"/>
      <c r="F65" s="30">
        <f>SUM(F64:F64)</f>
        <v>1.4520000000000002</v>
      </c>
      <c r="G65" s="30">
        <f>SUM(G64:G64)</f>
        <v>0</v>
      </c>
      <c r="H65" s="30">
        <f>SUM(H64:H64)</f>
        <v>1.4520000000000002</v>
      </c>
      <c r="I65" s="12">
        <v>7000</v>
      </c>
      <c r="J65" s="31">
        <f>I65*H65</f>
        <v>10164.000000000002</v>
      </c>
    </row>
    <row r="66" spans="1:10" ht="30">
      <c r="A66" s="24" t="s">
        <v>56</v>
      </c>
      <c r="B66" s="27" t="s">
        <v>57</v>
      </c>
      <c r="C66" s="36" t="s">
        <v>58</v>
      </c>
      <c r="D66" s="36"/>
      <c r="E66" s="27"/>
      <c r="F66" s="7"/>
      <c r="G66" s="7"/>
      <c r="H66" s="7"/>
      <c r="I66" s="9"/>
      <c r="J66" s="28"/>
    </row>
    <row r="67" spans="1:10" ht="15">
      <c r="A67" s="1"/>
      <c r="B67" s="27" t="s">
        <v>59</v>
      </c>
      <c r="C67" s="36" t="s">
        <v>60</v>
      </c>
      <c r="D67" s="37"/>
      <c r="E67" s="27"/>
      <c r="F67" s="7"/>
      <c r="G67" s="7"/>
      <c r="H67" s="7"/>
      <c r="I67" s="9"/>
      <c r="J67" s="28"/>
    </row>
    <row r="68" spans="1:10" ht="15">
      <c r="A68" s="1"/>
      <c r="B68" s="27"/>
      <c r="C68" s="26" t="s">
        <v>36</v>
      </c>
      <c r="D68" s="26"/>
      <c r="E68" s="27" t="s">
        <v>10</v>
      </c>
      <c r="F68" s="7">
        <f>[1]Summary!$H$62</f>
        <v>55.800000000000004</v>
      </c>
      <c r="G68" s="7" t="e">
        <f>#REF!</f>
        <v>#REF!</v>
      </c>
      <c r="H68" s="7" t="e">
        <f>G68+F68</f>
        <v>#REF!</v>
      </c>
      <c r="I68" s="9"/>
      <c r="J68" s="28"/>
    </row>
    <row r="69" spans="1:10" ht="15">
      <c r="A69" s="1"/>
      <c r="B69" s="27"/>
      <c r="C69" s="26" t="s">
        <v>37</v>
      </c>
      <c r="D69" s="26"/>
      <c r="E69" s="27" t="s">
        <v>10</v>
      </c>
      <c r="F69" s="7">
        <f>[1]Summary!$H$63</f>
        <v>114.806</v>
      </c>
      <c r="G69" s="7"/>
      <c r="H69" s="7">
        <f>G69+F69</f>
        <v>114.806</v>
      </c>
      <c r="I69" s="9"/>
      <c r="J69" s="28"/>
    </row>
    <row r="70" spans="1:10" ht="15">
      <c r="A70" s="1"/>
      <c r="B70" s="27"/>
      <c r="C70" s="26" t="s">
        <v>150</v>
      </c>
      <c r="D70" s="26"/>
      <c r="E70" s="27" t="s">
        <v>10</v>
      </c>
      <c r="F70" s="7">
        <f>[1]Summary!$H$64</f>
        <v>47.383499999999998</v>
      </c>
      <c r="G70" s="7" t="e">
        <f>#REF!</f>
        <v>#REF!</v>
      </c>
      <c r="H70" s="7" t="e">
        <f>G70+F70</f>
        <v>#REF!</v>
      </c>
      <c r="I70" s="9"/>
      <c r="J70" s="28"/>
    </row>
    <row r="71" spans="1:10" ht="15">
      <c r="A71" s="1"/>
      <c r="B71" s="27"/>
      <c r="C71" s="26" t="s">
        <v>288</v>
      </c>
      <c r="D71" s="26"/>
      <c r="E71" s="27" t="s">
        <v>10</v>
      </c>
      <c r="F71" s="7"/>
      <c r="G71" s="7" t="e">
        <f>#REF!</f>
        <v>#REF!</v>
      </c>
      <c r="H71" s="7" t="e">
        <f>G71+F71</f>
        <v>#REF!</v>
      </c>
      <c r="I71" s="9"/>
      <c r="J71" s="28"/>
    </row>
    <row r="72" spans="1:10" ht="15">
      <c r="A72" s="1"/>
      <c r="B72" s="27"/>
      <c r="C72" s="26" t="s">
        <v>175</v>
      </c>
      <c r="D72" s="26"/>
      <c r="E72" s="27" t="s">
        <v>10</v>
      </c>
      <c r="F72" s="7">
        <f>[1]Summary!$H$65</f>
        <v>47.676000000000009</v>
      </c>
      <c r="G72" s="7"/>
      <c r="H72" s="7">
        <f>G72+F72</f>
        <v>47.676000000000009</v>
      </c>
      <c r="I72" s="9"/>
      <c r="J72" s="28"/>
    </row>
    <row r="73" spans="1:10" ht="15">
      <c r="A73" s="1"/>
      <c r="B73" s="27"/>
      <c r="C73" s="29" t="s">
        <v>7</v>
      </c>
      <c r="D73" s="26" t="s">
        <v>48</v>
      </c>
      <c r="E73" s="27"/>
      <c r="F73" s="30">
        <f>SUM(F68:F72)</f>
        <v>265.66550000000001</v>
      </c>
      <c r="G73" s="30" t="e">
        <f>SUM(G68:G72)</f>
        <v>#REF!</v>
      </c>
      <c r="H73" s="30" t="e">
        <f>SUM(H68:H72)</f>
        <v>#REF!</v>
      </c>
      <c r="I73" s="12">
        <v>250</v>
      </c>
      <c r="J73" s="31" t="e">
        <f>I73*H73</f>
        <v>#REF!</v>
      </c>
    </row>
    <row r="74" spans="1:10" ht="45">
      <c r="A74" s="1"/>
      <c r="B74" s="27" t="s">
        <v>61</v>
      </c>
      <c r="C74" s="38" t="s">
        <v>62</v>
      </c>
      <c r="D74" s="39"/>
      <c r="E74" s="27"/>
      <c r="F74" s="7"/>
      <c r="G74" s="7"/>
      <c r="H74" s="7"/>
      <c r="I74" s="9"/>
      <c r="J74" s="28"/>
    </row>
    <row r="75" spans="1:10" ht="15">
      <c r="A75" s="1"/>
      <c r="B75" s="27"/>
      <c r="C75" s="26" t="s">
        <v>36</v>
      </c>
      <c r="D75" s="26"/>
      <c r="E75" s="27" t="s">
        <v>10</v>
      </c>
      <c r="F75" s="7">
        <f>[1]Summary!$H$68</f>
        <v>976.08044999999993</v>
      </c>
      <c r="G75" s="7" t="e">
        <f>#REF!</f>
        <v>#REF!</v>
      </c>
      <c r="H75" s="7" t="e">
        <f>G75+F75</f>
        <v>#REF!</v>
      </c>
      <c r="I75" s="9"/>
      <c r="J75" s="28"/>
    </row>
    <row r="76" spans="1:10" ht="15">
      <c r="A76" s="1"/>
      <c r="B76" s="27"/>
      <c r="C76" s="26" t="s">
        <v>37</v>
      </c>
      <c r="D76" s="26"/>
      <c r="E76" s="27" t="s">
        <v>10</v>
      </c>
      <c r="F76" s="7">
        <f>[1]Summary!$H$69</f>
        <v>1397.1949</v>
      </c>
      <c r="G76" s="7" t="e">
        <f>#REF!</f>
        <v>#REF!</v>
      </c>
      <c r="H76" s="7" t="e">
        <f>G76+F76</f>
        <v>#REF!</v>
      </c>
      <c r="I76" s="9"/>
      <c r="J76" s="28"/>
    </row>
    <row r="77" spans="1:10" ht="15">
      <c r="A77" s="1"/>
      <c r="B77" s="27"/>
      <c r="C77" s="26" t="s">
        <v>150</v>
      </c>
      <c r="D77" s="26"/>
      <c r="E77" s="27" t="s">
        <v>10</v>
      </c>
      <c r="F77" s="7">
        <f>[1]Summary!$H$70</f>
        <v>756.40418</v>
      </c>
      <c r="G77" s="7" t="e">
        <f>#REF!</f>
        <v>#REF!</v>
      </c>
      <c r="H77" s="7" t="e">
        <f>G77+F77</f>
        <v>#REF!</v>
      </c>
      <c r="I77" s="9"/>
      <c r="J77" s="28"/>
    </row>
    <row r="78" spans="1:10" ht="15">
      <c r="A78" s="1"/>
      <c r="B78" s="27"/>
      <c r="C78" s="26" t="s">
        <v>288</v>
      </c>
      <c r="D78" s="26"/>
      <c r="E78" s="27" t="s">
        <v>10</v>
      </c>
      <c r="F78" s="7"/>
      <c r="G78" s="7" t="e">
        <f>#REF!</f>
        <v>#REF!</v>
      </c>
      <c r="H78" s="7" t="e">
        <f>G78+F78</f>
        <v>#REF!</v>
      </c>
      <c r="I78" s="9"/>
      <c r="J78" s="28"/>
    </row>
    <row r="79" spans="1:10" ht="15">
      <c r="A79" s="1"/>
      <c r="B79" s="27"/>
      <c r="C79" s="26" t="s">
        <v>175</v>
      </c>
      <c r="D79" s="26"/>
      <c r="E79" s="27" t="s">
        <v>10</v>
      </c>
      <c r="F79" s="7">
        <f>[1]Summary!$H$71</f>
        <v>433.65100000000007</v>
      </c>
      <c r="G79" s="7" t="e">
        <f>#REF!</f>
        <v>#REF!</v>
      </c>
      <c r="H79" s="7" t="e">
        <f>G79+F79</f>
        <v>#REF!</v>
      </c>
      <c r="I79" s="9"/>
      <c r="J79" s="28"/>
    </row>
    <row r="80" spans="1:10" ht="15">
      <c r="A80" s="1"/>
      <c r="B80" s="27"/>
      <c r="C80" s="29" t="s">
        <v>7</v>
      </c>
      <c r="D80" s="26" t="s">
        <v>63</v>
      </c>
      <c r="E80" s="27"/>
      <c r="F80" s="30">
        <f>SUM(F75:F79)</f>
        <v>3563.3305300000002</v>
      </c>
      <c r="G80" s="30" t="e">
        <f>SUM(G75:G79)</f>
        <v>#REF!</v>
      </c>
      <c r="H80" s="30" t="e">
        <f>SUM(H75:H79)</f>
        <v>#REF!</v>
      </c>
      <c r="I80" s="12">
        <v>350</v>
      </c>
      <c r="J80" s="31" t="e">
        <f>I80*H80</f>
        <v>#REF!</v>
      </c>
    </row>
    <row r="81" spans="1:10" ht="15">
      <c r="A81" s="1"/>
      <c r="B81" s="27" t="s">
        <v>146</v>
      </c>
      <c r="C81" s="10" t="s">
        <v>21</v>
      </c>
      <c r="D81" s="39"/>
      <c r="E81" s="27"/>
      <c r="F81" s="7"/>
      <c r="G81" s="7"/>
      <c r="H81" s="7"/>
      <c r="I81" s="9"/>
      <c r="J81" s="28"/>
    </row>
    <row r="82" spans="1:10" ht="15">
      <c r="A82" s="1"/>
      <c r="B82" s="27"/>
      <c r="C82" s="32" t="s">
        <v>36</v>
      </c>
      <c r="D82" s="39"/>
      <c r="E82" s="27" t="s">
        <v>10</v>
      </c>
      <c r="F82" s="7">
        <f>[1]Summary!$H$74</f>
        <v>231.97374999999994</v>
      </c>
      <c r="G82" s="7"/>
      <c r="H82" s="7">
        <f>G82+F82</f>
        <v>231.97374999999994</v>
      </c>
      <c r="I82" s="9"/>
      <c r="J82" s="28"/>
    </row>
    <row r="83" spans="1:10" ht="15">
      <c r="A83" s="1"/>
      <c r="B83" s="27"/>
      <c r="C83" s="26" t="s">
        <v>37</v>
      </c>
      <c r="D83" s="26"/>
      <c r="E83" s="27" t="s">
        <v>10</v>
      </c>
      <c r="F83" s="7">
        <f>[1]Summary!$H$75</f>
        <v>711.5838</v>
      </c>
      <c r="G83" s="7"/>
      <c r="H83" s="7">
        <f>G83+F83</f>
        <v>711.5838</v>
      </c>
      <c r="I83" s="9"/>
      <c r="J83" s="28"/>
    </row>
    <row r="84" spans="1:10" ht="15">
      <c r="A84" s="1"/>
      <c r="B84" s="27"/>
      <c r="C84" s="29" t="s">
        <v>7</v>
      </c>
      <c r="D84" s="26" t="s">
        <v>48</v>
      </c>
      <c r="E84" s="27"/>
      <c r="F84" s="30">
        <f>SUM(F82:F83)</f>
        <v>943.55754999999999</v>
      </c>
      <c r="G84" s="30">
        <f>SUM(G82:G83)</f>
        <v>0</v>
      </c>
      <c r="H84" s="30">
        <f>SUM(H82:H83)</f>
        <v>943.55754999999999</v>
      </c>
      <c r="I84" s="12">
        <v>85</v>
      </c>
      <c r="J84" s="31">
        <f>I84*H84</f>
        <v>80202.391749999995</v>
      </c>
    </row>
    <row r="85" spans="1:10" ht="15">
      <c r="A85" s="1"/>
      <c r="B85" s="27" t="s">
        <v>64</v>
      </c>
      <c r="C85" s="8" t="s">
        <v>65</v>
      </c>
      <c r="D85" s="6"/>
      <c r="E85" s="27"/>
      <c r="F85" s="7"/>
      <c r="G85" s="7"/>
      <c r="H85" s="7"/>
      <c r="I85" s="9"/>
      <c r="J85" s="28"/>
    </row>
    <row r="86" spans="1:10" ht="15">
      <c r="A86" s="1"/>
      <c r="B86" s="27"/>
      <c r="C86" s="26" t="s">
        <v>36</v>
      </c>
      <c r="D86" s="26"/>
      <c r="E86" s="27" t="s">
        <v>8</v>
      </c>
      <c r="F86" s="7">
        <f>[1]Summary!$H$78</f>
        <v>106.50020000000001</v>
      </c>
      <c r="G86" s="7"/>
      <c r="H86" s="7">
        <f>G86+F86</f>
        <v>106.50020000000001</v>
      </c>
      <c r="I86" s="9"/>
      <c r="J86" s="28"/>
    </row>
    <row r="87" spans="1:10" ht="15">
      <c r="A87" s="1"/>
      <c r="B87" s="27"/>
      <c r="C87" s="26" t="s">
        <v>37</v>
      </c>
      <c r="D87" s="26"/>
      <c r="E87" s="27" t="s">
        <v>8</v>
      </c>
      <c r="F87" s="7">
        <f>[1]Summary!$H$79</f>
        <v>169.46899999999999</v>
      </c>
      <c r="G87" s="7"/>
      <c r="H87" s="7">
        <f>G87+F87</f>
        <v>169.46899999999999</v>
      </c>
      <c r="I87" s="9"/>
      <c r="J87" s="28"/>
    </row>
    <row r="88" spans="1:10" ht="15">
      <c r="A88" s="1"/>
      <c r="B88" s="27"/>
      <c r="C88" s="26" t="s">
        <v>175</v>
      </c>
      <c r="D88" s="26"/>
      <c r="E88" s="27" t="s">
        <v>8</v>
      </c>
      <c r="F88" s="7">
        <f>[1]Summary!$H$80</f>
        <v>9.7679999999999989</v>
      </c>
      <c r="G88" s="7"/>
      <c r="H88" s="7">
        <f>G88+F88</f>
        <v>9.7679999999999989</v>
      </c>
      <c r="I88" s="9"/>
      <c r="J88" s="28"/>
    </row>
    <row r="89" spans="1:10" ht="15">
      <c r="A89" s="1"/>
      <c r="B89" s="27"/>
      <c r="C89" s="29" t="s">
        <v>7</v>
      </c>
      <c r="D89" s="26" t="s">
        <v>66</v>
      </c>
      <c r="E89" s="27"/>
      <c r="F89" s="30">
        <f>SUM(F86:F88)</f>
        <v>285.73719999999997</v>
      </c>
      <c r="G89" s="30">
        <f>SUM(G86:G88)</f>
        <v>0</v>
      </c>
      <c r="H89" s="30">
        <f>SUM(H86:H88)</f>
        <v>285.73719999999997</v>
      </c>
      <c r="I89" s="12">
        <v>575</v>
      </c>
      <c r="J89" s="31">
        <f>I89*H89</f>
        <v>164298.88999999998</v>
      </c>
    </row>
    <row r="90" spans="1:10" ht="15">
      <c r="A90" s="1">
        <v>5</v>
      </c>
      <c r="B90" s="27" t="s">
        <v>67</v>
      </c>
      <c r="C90" s="8" t="s">
        <v>68</v>
      </c>
      <c r="D90" s="6"/>
      <c r="E90" s="27"/>
      <c r="F90" s="7"/>
      <c r="G90" s="7"/>
      <c r="H90" s="7"/>
      <c r="I90" s="9"/>
      <c r="J90" s="28"/>
    </row>
    <row r="91" spans="1:10" ht="15">
      <c r="A91" s="1"/>
      <c r="B91" s="27">
        <v>22</v>
      </c>
      <c r="C91" s="8" t="s">
        <v>69</v>
      </c>
      <c r="D91" s="6"/>
      <c r="E91" s="27"/>
      <c r="F91" s="7"/>
      <c r="G91" s="7"/>
      <c r="H91" s="7"/>
      <c r="I91" s="9"/>
      <c r="J91" s="28"/>
    </row>
    <row r="92" spans="1:10" ht="15">
      <c r="A92" s="1"/>
      <c r="B92" s="27"/>
      <c r="C92" s="26" t="s">
        <v>36</v>
      </c>
      <c r="D92" s="26"/>
      <c r="E92" s="27" t="s">
        <v>8</v>
      </c>
      <c r="F92" s="7">
        <f>[1]Summary!$H$84</f>
        <v>10.8215</v>
      </c>
      <c r="G92" s="7"/>
      <c r="H92" s="7">
        <f>G92+F92</f>
        <v>10.8215</v>
      </c>
      <c r="I92" s="9"/>
      <c r="J92" s="28"/>
    </row>
    <row r="93" spans="1:10" ht="15">
      <c r="A93" s="1"/>
      <c r="B93" s="27"/>
      <c r="C93" s="26" t="s">
        <v>150</v>
      </c>
      <c r="D93" s="26"/>
      <c r="E93" s="27" t="s">
        <v>8</v>
      </c>
      <c r="F93" s="7">
        <f>[1]Summary!$H$85</f>
        <v>119.76820585</v>
      </c>
      <c r="G93" s="7" t="e">
        <f>#REF!</f>
        <v>#REF!</v>
      </c>
      <c r="H93" s="7" t="e">
        <f>G93+F93</f>
        <v>#REF!</v>
      </c>
      <c r="I93" s="9"/>
      <c r="J93" s="28"/>
    </row>
    <row r="94" spans="1:10" ht="15">
      <c r="A94" s="1"/>
      <c r="B94" s="27"/>
      <c r="C94" s="26" t="s">
        <v>175</v>
      </c>
      <c r="D94" s="26"/>
      <c r="E94" s="27" t="s">
        <v>8</v>
      </c>
      <c r="F94" s="7">
        <f>[1]Summary!$H$86</f>
        <v>2.7910500000000003</v>
      </c>
      <c r="G94" s="7" t="e">
        <f>#REF!</f>
        <v>#REF!</v>
      </c>
      <c r="H94" s="7" t="e">
        <f>G94+F94</f>
        <v>#REF!</v>
      </c>
      <c r="I94" s="9"/>
      <c r="J94" s="28"/>
    </row>
    <row r="95" spans="1:10" ht="15">
      <c r="A95" s="1"/>
      <c r="B95" s="27"/>
      <c r="C95" s="29" t="s">
        <v>7</v>
      </c>
      <c r="D95" s="26" t="s">
        <v>70</v>
      </c>
      <c r="E95" s="27"/>
      <c r="F95" s="30">
        <f>SUM(F92:F94)</f>
        <v>133.38075585000001</v>
      </c>
      <c r="G95" s="30" t="e">
        <f>SUM(G92:G94)</f>
        <v>#REF!</v>
      </c>
      <c r="H95" s="30" t="e">
        <f>SUM(H92:H94)</f>
        <v>#REF!</v>
      </c>
      <c r="I95" s="12">
        <v>4350</v>
      </c>
      <c r="J95" s="31" t="e">
        <f>I95*H95</f>
        <v>#REF!</v>
      </c>
    </row>
    <row r="96" spans="1:10" ht="15">
      <c r="A96" s="1"/>
      <c r="B96" s="27">
        <v>23</v>
      </c>
      <c r="C96" s="8" t="s">
        <v>71</v>
      </c>
      <c r="D96" s="6"/>
      <c r="E96" s="27"/>
      <c r="F96" s="7"/>
      <c r="G96" s="7"/>
      <c r="H96" s="7"/>
      <c r="I96" s="9"/>
      <c r="J96" s="28"/>
    </row>
    <row r="97" spans="1:10" ht="15">
      <c r="A97" s="1"/>
      <c r="B97" s="27"/>
      <c r="C97" s="26" t="s">
        <v>36</v>
      </c>
      <c r="D97" s="26"/>
      <c r="E97" s="27" t="s">
        <v>8</v>
      </c>
      <c r="F97" s="7">
        <f>[1]Summary!$H$89</f>
        <v>106.17042000000001</v>
      </c>
      <c r="G97" s="7"/>
      <c r="H97" s="7">
        <f>G97+F97</f>
        <v>106.17042000000001</v>
      </c>
      <c r="I97" s="9"/>
      <c r="J97" s="28"/>
    </row>
    <row r="98" spans="1:10" ht="15">
      <c r="A98" s="1"/>
      <c r="B98" s="27"/>
      <c r="C98" s="26" t="s">
        <v>37</v>
      </c>
      <c r="D98" s="26"/>
      <c r="E98" s="27" t="s">
        <v>8</v>
      </c>
      <c r="F98" s="7">
        <f>[1]Summary!$H$90</f>
        <v>106.590141</v>
      </c>
      <c r="G98" s="7" t="e">
        <f>#REF!</f>
        <v>#REF!</v>
      </c>
      <c r="H98" s="7" t="e">
        <f>G98+F98</f>
        <v>#REF!</v>
      </c>
      <c r="I98" s="9"/>
      <c r="J98" s="28"/>
    </row>
    <row r="99" spans="1:10" ht="15">
      <c r="A99" s="1"/>
      <c r="B99" s="27"/>
      <c r="C99" s="26" t="s">
        <v>150</v>
      </c>
      <c r="D99" s="26"/>
      <c r="E99" s="27" t="s">
        <v>8</v>
      </c>
      <c r="F99" s="7">
        <f>[1]Summary!$H$91</f>
        <v>26.204469999999997</v>
      </c>
      <c r="G99" s="7" t="e">
        <f>#REF!</f>
        <v>#REF!</v>
      </c>
      <c r="H99" s="7" t="e">
        <f>G99+F99</f>
        <v>#REF!</v>
      </c>
      <c r="I99" s="9"/>
      <c r="J99" s="28"/>
    </row>
    <row r="100" spans="1:10" ht="15">
      <c r="A100" s="1"/>
      <c r="B100" s="27"/>
      <c r="C100" s="26" t="s">
        <v>288</v>
      </c>
      <c r="D100" s="26"/>
      <c r="E100" s="27" t="s">
        <v>8</v>
      </c>
      <c r="F100" s="7"/>
      <c r="G100" s="7" t="e">
        <f>#REF!</f>
        <v>#REF!</v>
      </c>
      <c r="H100" s="7" t="e">
        <f>G100+F100</f>
        <v>#REF!</v>
      </c>
      <c r="I100" s="9"/>
      <c r="J100" s="28"/>
    </row>
    <row r="101" spans="1:10" ht="15">
      <c r="A101" s="1"/>
      <c r="B101" s="27"/>
      <c r="C101" s="29" t="s">
        <v>7</v>
      </c>
      <c r="D101" s="26" t="s">
        <v>107</v>
      </c>
      <c r="E101" s="27"/>
      <c r="F101" s="30">
        <f>SUM(F97:F100)</f>
        <v>238.96503099999998</v>
      </c>
      <c r="G101" s="30" t="e">
        <f>SUM(G97:G100)</f>
        <v>#REF!</v>
      </c>
      <c r="H101" s="30" t="e">
        <f>SUM(H97:H100)</f>
        <v>#REF!</v>
      </c>
      <c r="I101" s="12">
        <v>4450</v>
      </c>
      <c r="J101" s="31" t="e">
        <f>I101*H101</f>
        <v>#REF!</v>
      </c>
    </row>
    <row r="102" spans="1:10" ht="15">
      <c r="A102" s="1"/>
      <c r="B102" s="27">
        <v>24</v>
      </c>
      <c r="C102" s="8" t="s">
        <v>178</v>
      </c>
      <c r="D102" s="6"/>
      <c r="E102" s="27"/>
      <c r="F102" s="7"/>
      <c r="G102" s="7"/>
      <c r="H102" s="7"/>
      <c r="I102" s="9"/>
      <c r="J102" s="28"/>
    </row>
    <row r="103" spans="1:10" ht="15">
      <c r="A103" s="1"/>
      <c r="B103" s="27"/>
      <c r="C103" s="26" t="s">
        <v>37</v>
      </c>
      <c r="D103" s="26"/>
      <c r="E103" s="27" t="s">
        <v>8</v>
      </c>
      <c r="F103" s="7">
        <f>[1]Summary!$H$94</f>
        <v>0.55545000000000011</v>
      </c>
      <c r="G103" s="7"/>
      <c r="H103" s="7">
        <f>G103+F103</f>
        <v>0.55545000000000011</v>
      </c>
      <c r="I103" s="9"/>
      <c r="J103" s="28"/>
    </row>
    <row r="104" spans="1:10" ht="15">
      <c r="A104" s="1"/>
      <c r="B104" s="27"/>
      <c r="C104" s="29" t="s">
        <v>7</v>
      </c>
      <c r="D104" s="26" t="s">
        <v>159</v>
      </c>
      <c r="E104" s="27"/>
      <c r="F104" s="30">
        <f>SUM(F103:F103)</f>
        <v>0.55545000000000011</v>
      </c>
      <c r="G104" s="30">
        <f>SUM(G103:G103)</f>
        <v>0</v>
      </c>
      <c r="H104" s="30">
        <f>SUM(H103:H103)</f>
        <v>0.55545000000000011</v>
      </c>
      <c r="I104" s="12">
        <v>4500</v>
      </c>
      <c r="J104" s="31">
        <f>I104*H104</f>
        <v>2499.5250000000005</v>
      </c>
    </row>
    <row r="105" spans="1:10" ht="15">
      <c r="A105" s="1"/>
      <c r="B105" s="27">
        <v>25</v>
      </c>
      <c r="C105" s="8" t="s">
        <v>72</v>
      </c>
      <c r="D105" s="6"/>
      <c r="E105" s="27"/>
      <c r="F105" s="7"/>
      <c r="G105" s="7"/>
      <c r="H105" s="7"/>
      <c r="I105" s="9"/>
      <c r="J105" s="28"/>
    </row>
    <row r="106" spans="1:10" ht="15">
      <c r="A106" s="1"/>
      <c r="B106" s="27"/>
      <c r="C106" s="26" t="s">
        <v>36</v>
      </c>
      <c r="D106" s="26"/>
      <c r="E106" s="27" t="s">
        <v>10</v>
      </c>
      <c r="F106" s="7">
        <f>[1]Summary!$H$97</f>
        <v>7.08</v>
      </c>
      <c r="G106" s="7"/>
      <c r="H106" s="7">
        <f>G106+F106</f>
        <v>7.08</v>
      </c>
      <c r="I106" s="9"/>
      <c r="J106" s="28"/>
    </row>
    <row r="107" spans="1:10" ht="15">
      <c r="A107" s="1"/>
      <c r="B107" s="27"/>
      <c r="C107" s="26" t="s">
        <v>37</v>
      </c>
      <c r="D107" s="26"/>
      <c r="E107" s="27" t="s">
        <v>10</v>
      </c>
      <c r="F107" s="7">
        <f>[1]Summary!$H$98</f>
        <v>84.135750000000016</v>
      </c>
      <c r="G107" s="7" t="e">
        <f>#REF!</f>
        <v>#REF!</v>
      </c>
      <c r="H107" s="7" t="e">
        <f>G107+F107</f>
        <v>#REF!</v>
      </c>
      <c r="I107" s="9"/>
      <c r="J107" s="28"/>
    </row>
    <row r="108" spans="1:10" ht="15">
      <c r="A108" s="1"/>
      <c r="B108" s="27"/>
      <c r="C108" s="26" t="s">
        <v>288</v>
      </c>
      <c r="D108" s="26"/>
      <c r="E108" s="27" t="s">
        <v>10</v>
      </c>
      <c r="F108" s="7"/>
      <c r="G108" s="7" t="e">
        <f>#REF!</f>
        <v>#REF!</v>
      </c>
      <c r="H108" s="7" t="e">
        <f>G108+F108</f>
        <v>#REF!</v>
      </c>
      <c r="I108" s="9"/>
      <c r="J108" s="28"/>
    </row>
    <row r="109" spans="1:10" ht="15">
      <c r="A109" s="1"/>
      <c r="B109" s="27"/>
      <c r="C109" s="29" t="s">
        <v>7</v>
      </c>
      <c r="D109" s="26" t="s">
        <v>48</v>
      </c>
      <c r="E109" s="27"/>
      <c r="F109" s="30">
        <f>SUM(F106:F108)</f>
        <v>91.215750000000014</v>
      </c>
      <c r="G109" s="30" t="e">
        <f>SUM(G106:G108)</f>
        <v>#REF!</v>
      </c>
      <c r="H109" s="30" t="e">
        <f>SUM(H106:H108)</f>
        <v>#REF!</v>
      </c>
      <c r="I109" s="12">
        <v>500</v>
      </c>
      <c r="J109" s="31" t="e">
        <f>I109*H109</f>
        <v>#REF!</v>
      </c>
    </row>
    <row r="110" spans="1:10" ht="15">
      <c r="A110" s="1">
        <v>6</v>
      </c>
      <c r="B110" s="27" t="s">
        <v>73</v>
      </c>
      <c r="C110" s="34" t="s">
        <v>74</v>
      </c>
      <c r="D110" s="40"/>
      <c r="E110" s="27"/>
      <c r="F110" s="7"/>
      <c r="G110" s="7"/>
      <c r="H110" s="7"/>
      <c r="I110" s="9"/>
      <c r="J110" s="28"/>
    </row>
    <row r="111" spans="1:10" ht="45">
      <c r="A111" s="1"/>
      <c r="B111" s="27">
        <v>26</v>
      </c>
      <c r="C111" s="8" t="s">
        <v>75</v>
      </c>
      <c r="D111" s="6"/>
      <c r="E111" s="27"/>
      <c r="F111" s="7"/>
      <c r="G111" s="7"/>
      <c r="H111" s="7"/>
      <c r="I111" s="9"/>
      <c r="J111" s="28"/>
    </row>
    <row r="112" spans="1:10" ht="15">
      <c r="A112" s="1"/>
      <c r="B112" s="27"/>
      <c r="C112" s="26" t="s">
        <v>36</v>
      </c>
      <c r="D112" s="26"/>
      <c r="E112" s="27" t="s">
        <v>76</v>
      </c>
      <c r="F112" s="7">
        <f>[1]Summary!$H$102</f>
        <v>49.847952254559999</v>
      </c>
      <c r="G112" s="7" t="e">
        <f>#REF!</f>
        <v>#REF!</v>
      </c>
      <c r="H112" s="7" t="e">
        <f>G112+F112</f>
        <v>#REF!</v>
      </c>
      <c r="I112" s="9"/>
      <c r="J112" s="28"/>
    </row>
    <row r="113" spans="1:10" ht="15">
      <c r="A113" s="1"/>
      <c r="B113" s="27"/>
      <c r="C113" s="26" t="s">
        <v>37</v>
      </c>
      <c r="D113" s="26"/>
      <c r="E113" s="27" t="s">
        <v>76</v>
      </c>
      <c r="F113" s="7">
        <f>[1]Summary!$H$103</f>
        <v>35.434574516639998</v>
      </c>
      <c r="G113" s="7"/>
      <c r="H113" s="7">
        <f>G113+F113</f>
        <v>35.434574516639998</v>
      </c>
      <c r="I113" s="9"/>
      <c r="J113" s="28"/>
    </row>
    <row r="114" spans="1:10" ht="15">
      <c r="A114" s="1"/>
      <c r="B114" s="27"/>
      <c r="C114" s="26" t="s">
        <v>150</v>
      </c>
      <c r="D114" s="26"/>
      <c r="E114" s="27" t="s">
        <v>76</v>
      </c>
      <c r="F114" s="7">
        <f>[1]Summary!$H$104</f>
        <v>18.453111804799999</v>
      </c>
      <c r="G114" s="7" t="e">
        <f>#REF!</f>
        <v>#REF!</v>
      </c>
      <c r="H114" s="7" t="e">
        <f>G114+F114</f>
        <v>#REF!</v>
      </c>
      <c r="I114" s="9"/>
      <c r="J114" s="28"/>
    </row>
    <row r="115" spans="1:10" ht="15">
      <c r="A115" s="1"/>
      <c r="B115" s="27"/>
      <c r="C115" s="26" t="s">
        <v>288</v>
      </c>
      <c r="D115" s="26"/>
      <c r="E115" s="27" t="s">
        <v>76</v>
      </c>
      <c r="F115" s="7"/>
      <c r="G115" s="7" t="e">
        <f>#REF!</f>
        <v>#REF!</v>
      </c>
      <c r="H115" s="7" t="e">
        <f>G115+F115</f>
        <v>#REF!</v>
      </c>
      <c r="I115" s="9"/>
      <c r="J115" s="28"/>
    </row>
    <row r="116" spans="1:10" ht="15">
      <c r="A116" s="1"/>
      <c r="B116" s="27"/>
      <c r="C116" s="26" t="s">
        <v>175</v>
      </c>
      <c r="D116" s="26"/>
      <c r="E116" s="27" t="s">
        <v>76</v>
      </c>
      <c r="F116" s="7">
        <f>[1]Summary!$H$105</f>
        <v>9.2301184272800008</v>
      </c>
      <c r="G116" s="7" t="e">
        <f>#REF!</f>
        <v>#REF!</v>
      </c>
      <c r="H116" s="7" t="e">
        <f>G116+F116</f>
        <v>#REF!</v>
      </c>
      <c r="I116" s="9"/>
      <c r="J116" s="28"/>
    </row>
    <row r="117" spans="1:10" ht="15">
      <c r="A117" s="1"/>
      <c r="B117" s="27"/>
      <c r="C117" s="29" t="s">
        <v>7</v>
      </c>
      <c r="D117" s="26" t="s">
        <v>77</v>
      </c>
      <c r="E117" s="27"/>
      <c r="F117" s="30">
        <f>SUM(F112:F116)</f>
        <v>112.96575700328</v>
      </c>
      <c r="G117" s="30" t="e">
        <f>SUM(G112:G116)</f>
        <v>#REF!</v>
      </c>
      <c r="H117" s="30" t="e">
        <f>SUM(H112:H116)</f>
        <v>#REF!</v>
      </c>
      <c r="I117" s="12">
        <v>6000</v>
      </c>
      <c r="J117" s="31" t="e">
        <f>I117*H117</f>
        <v>#REF!</v>
      </c>
    </row>
    <row r="118" spans="1:10" ht="15">
      <c r="A118" s="1"/>
      <c r="B118" s="27" t="s">
        <v>144</v>
      </c>
      <c r="C118" s="10" t="s">
        <v>141</v>
      </c>
      <c r="D118" s="6"/>
      <c r="E118" s="27"/>
      <c r="F118" s="7"/>
      <c r="G118" s="7"/>
      <c r="H118" s="7"/>
      <c r="I118" s="9"/>
      <c r="J118" s="28"/>
    </row>
    <row r="119" spans="1:10" ht="15">
      <c r="A119" s="1"/>
      <c r="B119" s="27"/>
      <c r="C119" s="26" t="s">
        <v>36</v>
      </c>
      <c r="D119" s="26"/>
      <c r="E119" s="27" t="s">
        <v>76</v>
      </c>
      <c r="F119" s="7">
        <f>[1]Summary!$H$108</f>
        <v>10.494755519999996</v>
      </c>
      <c r="G119" s="7"/>
      <c r="H119" s="7">
        <f>G119+F119</f>
        <v>10.494755519999996</v>
      </c>
      <c r="I119" s="9"/>
      <c r="J119" s="28"/>
    </row>
    <row r="120" spans="1:10" ht="15">
      <c r="A120" s="1"/>
      <c r="B120" s="27"/>
      <c r="C120" s="26" t="s">
        <v>37</v>
      </c>
      <c r="D120" s="26"/>
      <c r="E120" s="27" t="s">
        <v>76</v>
      </c>
      <c r="F120" s="7"/>
      <c r="G120" s="7" t="e">
        <f>#REF!</f>
        <v>#REF!</v>
      </c>
      <c r="H120" s="7" t="e">
        <f>G120+F120</f>
        <v>#REF!</v>
      </c>
      <c r="I120" s="9"/>
      <c r="J120" s="28"/>
    </row>
    <row r="121" spans="1:10" ht="15">
      <c r="A121" s="1"/>
      <c r="B121" s="27"/>
      <c r="C121" s="26" t="s">
        <v>150</v>
      </c>
      <c r="D121" s="26"/>
      <c r="E121" s="27" t="s">
        <v>76</v>
      </c>
      <c r="F121" s="7">
        <f>[1]Summary!$H$109</f>
        <v>0.63777559999999989</v>
      </c>
      <c r="G121" s="7" t="e">
        <f>#REF!</f>
        <v>#REF!</v>
      </c>
      <c r="H121" s="7" t="e">
        <f>G121+F121</f>
        <v>#REF!</v>
      </c>
      <c r="I121" s="9"/>
      <c r="J121" s="28"/>
    </row>
    <row r="122" spans="1:10" ht="15">
      <c r="A122" s="1"/>
      <c r="B122" s="27"/>
      <c r="C122" s="29" t="s">
        <v>7</v>
      </c>
      <c r="D122" s="26" t="s">
        <v>158</v>
      </c>
      <c r="E122" s="27"/>
      <c r="F122" s="30">
        <f>SUM(F119:F121)</f>
        <v>11.132531119999996</v>
      </c>
      <c r="G122" s="30" t="e">
        <f>SUM(G119:G121)</f>
        <v>#REF!</v>
      </c>
      <c r="H122" s="30" t="e">
        <f>SUM(H119:H121)</f>
        <v>#REF!</v>
      </c>
      <c r="I122" s="12">
        <v>16000</v>
      </c>
      <c r="J122" s="31" t="e">
        <f>I122*H122</f>
        <v>#REF!</v>
      </c>
    </row>
    <row r="123" spans="1:10" ht="30">
      <c r="A123" s="1"/>
      <c r="B123" s="27" t="s">
        <v>78</v>
      </c>
      <c r="C123" s="10" t="s">
        <v>79</v>
      </c>
      <c r="D123" s="6"/>
      <c r="E123" s="27"/>
      <c r="F123" s="7"/>
      <c r="G123" s="7"/>
      <c r="H123" s="7"/>
      <c r="I123" s="9"/>
      <c r="J123" s="28"/>
    </row>
    <row r="124" spans="1:10" ht="15">
      <c r="A124" s="1"/>
      <c r="B124" s="27"/>
      <c r="C124" s="26" t="s">
        <v>36</v>
      </c>
      <c r="D124" s="26"/>
      <c r="E124" s="27" t="s">
        <v>76</v>
      </c>
      <c r="F124" s="7">
        <f>[1]Summary!$H$112</f>
        <v>9.1327976000000017</v>
      </c>
      <c r="G124" s="7" t="e">
        <f>#REF!</f>
        <v>#REF!</v>
      </c>
      <c r="H124" s="7" t="e">
        <f>G124+F124</f>
        <v>#REF!</v>
      </c>
      <c r="I124" s="9"/>
      <c r="J124" s="28"/>
    </row>
    <row r="125" spans="1:10" ht="15">
      <c r="A125" s="1"/>
      <c r="B125" s="27"/>
      <c r="C125" s="26" t="s">
        <v>37</v>
      </c>
      <c r="D125" s="26"/>
      <c r="E125" s="27" t="s">
        <v>76</v>
      </c>
      <c r="F125" s="7">
        <f>[1]Summary!$H$113</f>
        <v>0.28650200000000009</v>
      </c>
      <c r="G125" s="7" t="e">
        <f>#REF!</f>
        <v>#REF!</v>
      </c>
      <c r="H125" s="7" t="e">
        <f>G125+F125</f>
        <v>#REF!</v>
      </c>
      <c r="I125" s="9"/>
      <c r="J125" s="28"/>
    </row>
    <row r="126" spans="1:10" ht="15">
      <c r="A126" s="1"/>
      <c r="B126" s="27"/>
      <c r="C126" s="26" t="s">
        <v>150</v>
      </c>
      <c r="D126" s="26"/>
      <c r="E126" s="27" t="s">
        <v>76</v>
      </c>
      <c r="F126" s="7">
        <f>[1]Summary!$H$114</f>
        <v>5.5925307000000011</v>
      </c>
      <c r="G126" s="7" t="e">
        <f>#REF!</f>
        <v>#REF!</v>
      </c>
      <c r="H126" s="7" t="e">
        <f>G126+F126</f>
        <v>#REF!</v>
      </c>
      <c r="I126" s="9"/>
      <c r="J126" s="28"/>
    </row>
    <row r="127" spans="1:10" ht="15">
      <c r="A127" s="1"/>
      <c r="B127" s="27"/>
      <c r="C127" s="26" t="s">
        <v>175</v>
      </c>
      <c r="D127" s="26"/>
      <c r="E127" s="27" t="s">
        <v>76</v>
      </c>
      <c r="F127" s="7"/>
      <c r="G127" s="7" t="e">
        <f>#REF!</f>
        <v>#REF!</v>
      </c>
      <c r="H127" s="7" t="e">
        <f>G127+F127</f>
        <v>#REF!</v>
      </c>
      <c r="I127" s="9"/>
      <c r="J127" s="28"/>
    </row>
    <row r="128" spans="1:10" ht="15">
      <c r="A128" s="1"/>
      <c r="B128" s="27"/>
      <c r="C128" s="29" t="s">
        <v>7</v>
      </c>
      <c r="D128" s="26" t="s">
        <v>80</v>
      </c>
      <c r="E128" s="27"/>
      <c r="F128" s="30">
        <f>SUM(F124:F127)</f>
        <v>15.011830300000003</v>
      </c>
      <c r="G128" s="30" t="e">
        <f>SUM(G124:G127)</f>
        <v>#REF!</v>
      </c>
      <c r="H128" s="30" t="e">
        <f>SUM(H124:H127)</f>
        <v>#REF!</v>
      </c>
      <c r="I128" s="12">
        <v>15000</v>
      </c>
      <c r="J128" s="31" t="e">
        <f>I128*H128</f>
        <v>#REF!</v>
      </c>
    </row>
    <row r="129" spans="1:10" ht="30">
      <c r="A129" s="1"/>
      <c r="B129" s="27" t="s">
        <v>81</v>
      </c>
      <c r="C129" s="10" t="s">
        <v>82</v>
      </c>
      <c r="D129" s="6"/>
      <c r="E129" s="27"/>
      <c r="F129" s="7"/>
      <c r="G129" s="7"/>
      <c r="H129" s="7"/>
      <c r="I129" s="9"/>
      <c r="J129" s="28"/>
    </row>
    <row r="130" spans="1:10" ht="15">
      <c r="A130" s="1"/>
      <c r="B130" s="27"/>
      <c r="C130" s="26" t="s">
        <v>36</v>
      </c>
      <c r="D130" s="26"/>
      <c r="E130" s="27" t="s">
        <v>76</v>
      </c>
      <c r="F130" s="7">
        <f>[1]Summary!$H$117</f>
        <v>45.845777731999988</v>
      </c>
      <c r="G130" s="7"/>
      <c r="H130" s="7">
        <f>G130+F130</f>
        <v>45.845777731999988</v>
      </c>
      <c r="I130" s="9"/>
      <c r="J130" s="28"/>
    </row>
    <row r="131" spans="1:10" ht="15">
      <c r="A131" s="1"/>
      <c r="B131" s="27"/>
      <c r="C131" s="26" t="s">
        <v>37</v>
      </c>
      <c r="D131" s="26"/>
      <c r="E131" s="27" t="s">
        <v>76</v>
      </c>
      <c r="F131" s="7">
        <f>[1]Summary!$H$118</f>
        <v>10.19017575</v>
      </c>
      <c r="G131" s="7"/>
      <c r="H131" s="7">
        <f>G131+F131</f>
        <v>10.19017575</v>
      </c>
      <c r="I131" s="9"/>
      <c r="J131" s="28"/>
    </row>
    <row r="132" spans="1:10" ht="15">
      <c r="A132" s="1"/>
      <c r="B132" s="27"/>
      <c r="C132" s="26" t="s">
        <v>235</v>
      </c>
      <c r="D132" s="26"/>
      <c r="E132" s="27" t="s">
        <v>76</v>
      </c>
      <c r="F132" s="7">
        <f>[1]Summary!$H$119</f>
        <v>30</v>
      </c>
      <c r="G132" s="7" t="e">
        <f>#REF!</f>
        <v>#REF!</v>
      </c>
      <c r="H132" s="7" t="e">
        <f>G132+F132</f>
        <v>#REF!</v>
      </c>
      <c r="I132" s="9"/>
      <c r="J132" s="28"/>
    </row>
    <row r="133" spans="1:10" ht="15">
      <c r="A133" s="1"/>
      <c r="B133" s="27"/>
      <c r="C133" s="26" t="s">
        <v>288</v>
      </c>
      <c r="D133" s="26"/>
      <c r="E133" s="27" t="s">
        <v>76</v>
      </c>
      <c r="F133" s="7"/>
      <c r="G133" s="7" t="e">
        <f>#REF!</f>
        <v>#REF!</v>
      </c>
      <c r="H133" s="7" t="e">
        <f>G133+F133</f>
        <v>#REF!</v>
      </c>
      <c r="I133" s="9"/>
      <c r="J133" s="28"/>
    </row>
    <row r="134" spans="1:10" ht="15">
      <c r="A134" s="1"/>
      <c r="B134" s="27"/>
      <c r="C134" s="29" t="s">
        <v>7</v>
      </c>
      <c r="D134" s="26" t="s">
        <v>83</v>
      </c>
      <c r="E134" s="27"/>
      <c r="F134" s="30">
        <f>SUM(F130:F133)</f>
        <v>86.035953481999996</v>
      </c>
      <c r="G134" s="30" t="e">
        <f>SUM(G130:G133)</f>
        <v>#REF!</v>
      </c>
      <c r="H134" s="30" t="e">
        <f>SUM(H130:H133)</f>
        <v>#REF!</v>
      </c>
      <c r="I134" s="12">
        <v>15500</v>
      </c>
      <c r="J134" s="31" t="e">
        <f>I134*H134</f>
        <v>#REF!</v>
      </c>
    </row>
    <row r="135" spans="1:10" ht="15">
      <c r="A135" s="1"/>
      <c r="B135" s="27" t="s">
        <v>151</v>
      </c>
      <c r="C135" s="10" t="s">
        <v>142</v>
      </c>
      <c r="D135" s="6"/>
      <c r="E135" s="27"/>
      <c r="F135" s="7"/>
      <c r="G135" s="7"/>
      <c r="H135" s="7"/>
      <c r="I135" s="9"/>
      <c r="J135" s="28"/>
    </row>
    <row r="136" spans="1:10" ht="15">
      <c r="A136" s="1"/>
      <c r="B136" s="27"/>
      <c r="C136" s="32" t="s">
        <v>36</v>
      </c>
      <c r="D136" s="6"/>
      <c r="E136" s="27" t="s">
        <v>76</v>
      </c>
      <c r="F136" s="7">
        <f>[1]Summary!$H$122</f>
        <v>0.44139110000000004</v>
      </c>
      <c r="G136" s="7" t="e">
        <f>#REF!</f>
        <v>#REF!</v>
      </c>
      <c r="H136" s="7" t="e">
        <f>G136+F136</f>
        <v>#REF!</v>
      </c>
      <c r="I136" s="9"/>
      <c r="J136" s="28"/>
    </row>
    <row r="137" spans="1:10" ht="15">
      <c r="A137" s="1"/>
      <c r="B137" s="27"/>
      <c r="C137" s="26" t="s">
        <v>37</v>
      </c>
      <c r="D137" s="26"/>
      <c r="E137" s="27" t="s">
        <v>76</v>
      </c>
      <c r="F137" s="7">
        <f>[1]Summary!$H$123</f>
        <v>0.21445829999999999</v>
      </c>
      <c r="G137" s="7"/>
      <c r="H137" s="7">
        <f>G137+F137</f>
        <v>0.21445829999999999</v>
      </c>
      <c r="I137" s="9"/>
      <c r="J137" s="28"/>
    </row>
    <row r="138" spans="1:10" ht="15">
      <c r="A138" s="1"/>
      <c r="B138" s="27"/>
      <c r="C138" s="26" t="s">
        <v>150</v>
      </c>
      <c r="D138" s="26"/>
      <c r="E138" s="27" t="s">
        <v>76</v>
      </c>
      <c r="F138" s="7">
        <f>[1]Summary!$H$124</f>
        <v>0.56640899999999994</v>
      </c>
      <c r="G138" s="7" t="e">
        <f>#REF!</f>
        <v>#REF!</v>
      </c>
      <c r="H138" s="7" t="e">
        <f>G138+F138</f>
        <v>#REF!</v>
      </c>
      <c r="I138" s="9"/>
      <c r="J138" s="28"/>
    </row>
    <row r="139" spans="1:10" ht="15">
      <c r="A139" s="1"/>
      <c r="B139" s="27"/>
      <c r="C139" s="26" t="s">
        <v>288</v>
      </c>
      <c r="D139" s="26"/>
      <c r="E139" s="27" t="s">
        <v>76</v>
      </c>
      <c r="F139" s="7"/>
      <c r="G139" s="7" t="e">
        <f>#REF!</f>
        <v>#REF!</v>
      </c>
      <c r="H139" s="7" t="e">
        <f>G139+F139</f>
        <v>#REF!</v>
      </c>
      <c r="I139" s="9"/>
      <c r="J139" s="28"/>
    </row>
    <row r="140" spans="1:10" ht="15">
      <c r="A140" s="1"/>
      <c r="B140" s="27"/>
      <c r="C140" s="29" t="s">
        <v>7</v>
      </c>
      <c r="D140" s="26" t="s">
        <v>83</v>
      </c>
      <c r="E140" s="27"/>
      <c r="F140" s="30">
        <f>SUM(F136:F139)</f>
        <v>1.2222583999999999</v>
      </c>
      <c r="G140" s="30" t="e">
        <f>SUM(G136:G139)</f>
        <v>#REF!</v>
      </c>
      <c r="H140" s="30" t="e">
        <f>SUM(H136:H139)</f>
        <v>#REF!</v>
      </c>
      <c r="I140" s="12">
        <v>15500</v>
      </c>
      <c r="J140" s="31" t="e">
        <f>I140*H140</f>
        <v>#REF!</v>
      </c>
    </row>
    <row r="141" spans="1:10" ht="15">
      <c r="A141" s="1"/>
      <c r="B141" s="27">
        <v>28</v>
      </c>
      <c r="C141" s="10" t="s">
        <v>152</v>
      </c>
      <c r="D141" s="6"/>
      <c r="E141" s="27"/>
      <c r="F141" s="7"/>
      <c r="G141" s="7"/>
      <c r="H141" s="7"/>
      <c r="I141" s="9"/>
      <c r="J141" s="28"/>
    </row>
    <row r="142" spans="1:10" ht="15">
      <c r="A142" s="1"/>
      <c r="B142" s="27"/>
      <c r="C142" s="26" t="s">
        <v>36</v>
      </c>
      <c r="D142" s="26"/>
      <c r="E142" s="27" t="s">
        <v>76</v>
      </c>
      <c r="F142" s="7">
        <f>[1]Summary!$H$127</f>
        <v>10.795853199999998</v>
      </c>
      <c r="G142" s="7"/>
      <c r="H142" s="7">
        <f>G142+F142</f>
        <v>10.795853199999998</v>
      </c>
      <c r="I142" s="9"/>
      <c r="J142" s="28"/>
    </row>
    <row r="143" spans="1:10" ht="15">
      <c r="A143" s="1"/>
      <c r="B143" s="27"/>
      <c r="C143" s="26" t="s">
        <v>37</v>
      </c>
      <c r="D143" s="26"/>
      <c r="E143" s="27" t="s">
        <v>76</v>
      </c>
      <c r="F143" s="7"/>
      <c r="G143" s="7" t="e">
        <f>#REF!</f>
        <v>#REF!</v>
      </c>
      <c r="H143" s="7" t="e">
        <f>G143+F143</f>
        <v>#REF!</v>
      </c>
      <c r="I143" s="9"/>
      <c r="J143" s="28"/>
    </row>
    <row r="144" spans="1:10" ht="15">
      <c r="A144" s="1"/>
      <c r="B144" s="27"/>
      <c r="C144" s="29" t="s">
        <v>7</v>
      </c>
      <c r="D144" s="26" t="s">
        <v>159</v>
      </c>
      <c r="E144" s="27"/>
      <c r="F144" s="30">
        <f>SUM(F142:F143)</f>
        <v>10.795853199999998</v>
      </c>
      <c r="G144" s="30" t="e">
        <f>SUM(G142:G143)</f>
        <v>#REF!</v>
      </c>
      <c r="H144" s="30" t="e">
        <f>SUM(H142:H143)</f>
        <v>#REF!</v>
      </c>
      <c r="I144" s="12">
        <v>10000</v>
      </c>
      <c r="J144" s="31" t="e">
        <f>I144*H144</f>
        <v>#REF!</v>
      </c>
    </row>
    <row r="145" spans="1:10" ht="15">
      <c r="A145" s="1"/>
      <c r="B145" s="27">
        <v>29</v>
      </c>
      <c r="C145" s="8" t="s">
        <v>84</v>
      </c>
      <c r="D145" s="6"/>
      <c r="E145" s="27"/>
      <c r="F145" s="7"/>
      <c r="G145" s="7"/>
      <c r="H145" s="7"/>
      <c r="I145" s="9"/>
      <c r="J145" s="28"/>
    </row>
    <row r="146" spans="1:10" ht="15">
      <c r="A146" s="1"/>
      <c r="B146" s="27"/>
      <c r="C146" s="26" t="s">
        <v>36</v>
      </c>
      <c r="D146" s="26"/>
      <c r="E146" s="27" t="s">
        <v>76</v>
      </c>
      <c r="F146" s="7">
        <f>[1]Summary!$H$130</f>
        <v>0.23883600000000002</v>
      </c>
      <c r="G146" s="7"/>
      <c r="H146" s="7">
        <f>G146+F146</f>
        <v>0.23883600000000002</v>
      </c>
      <c r="I146" s="9"/>
      <c r="J146" s="28"/>
    </row>
    <row r="147" spans="1:10" ht="15">
      <c r="A147" s="1"/>
      <c r="B147" s="27"/>
      <c r="C147" s="26" t="s">
        <v>150</v>
      </c>
      <c r="D147" s="26"/>
      <c r="E147" s="27" t="s">
        <v>76</v>
      </c>
      <c r="F147" s="7">
        <f>[1]Summary!$H$131</f>
        <v>0.10648000000000001</v>
      </c>
      <c r="G147" s="7" t="e">
        <f>#REF!</f>
        <v>#REF!</v>
      </c>
      <c r="H147" s="7" t="e">
        <f>G147+F147</f>
        <v>#REF!</v>
      </c>
      <c r="I147" s="9"/>
      <c r="J147" s="28"/>
    </row>
    <row r="148" spans="1:10" ht="15">
      <c r="A148" s="1"/>
      <c r="B148" s="27"/>
      <c r="C148" s="26" t="s">
        <v>288</v>
      </c>
      <c r="D148" s="26"/>
      <c r="E148" s="27" t="s">
        <v>76</v>
      </c>
      <c r="F148" s="7"/>
      <c r="G148" s="7" t="e">
        <f>#REF!</f>
        <v>#REF!</v>
      </c>
      <c r="H148" s="7" t="e">
        <f>G148+F148</f>
        <v>#REF!</v>
      </c>
      <c r="I148" s="9"/>
      <c r="J148" s="28"/>
    </row>
    <row r="149" spans="1:10" ht="15">
      <c r="A149" s="1"/>
      <c r="B149" s="27"/>
      <c r="C149" s="29" t="s">
        <v>7</v>
      </c>
      <c r="D149" s="26" t="s">
        <v>33</v>
      </c>
      <c r="E149" s="27"/>
      <c r="F149" s="30">
        <f>SUM(F146:F148)</f>
        <v>0.34531600000000001</v>
      </c>
      <c r="G149" s="30" t="e">
        <f>SUM(G146:G148)</f>
        <v>#REF!</v>
      </c>
      <c r="H149" s="30" t="e">
        <f>SUM(H146:H148)</f>
        <v>#REF!</v>
      </c>
      <c r="I149" s="12">
        <v>74000</v>
      </c>
      <c r="J149" s="31" t="e">
        <f>I149*H149</f>
        <v>#REF!</v>
      </c>
    </row>
    <row r="150" spans="1:10" ht="15">
      <c r="A150" s="1"/>
      <c r="B150" s="27">
        <v>30</v>
      </c>
      <c r="C150" s="44" t="s">
        <v>153</v>
      </c>
      <c r="D150" s="6"/>
      <c r="E150" s="27"/>
      <c r="F150" s="7"/>
      <c r="G150" s="7"/>
      <c r="H150" s="7"/>
      <c r="I150" s="9"/>
      <c r="J150" s="28"/>
    </row>
    <row r="151" spans="1:10" ht="15">
      <c r="A151" s="1"/>
      <c r="B151" s="27"/>
      <c r="C151" s="26" t="s">
        <v>36</v>
      </c>
      <c r="D151" s="26"/>
      <c r="E151" s="27" t="s">
        <v>76</v>
      </c>
      <c r="F151" s="7">
        <f>[1]Summary!$H$134</f>
        <v>0.19964799999999994</v>
      </c>
      <c r="G151" s="7"/>
      <c r="H151" s="7">
        <f>G151+F151</f>
        <v>0.19964799999999994</v>
      </c>
      <c r="I151" s="9"/>
      <c r="J151" s="28"/>
    </row>
    <row r="152" spans="1:10" ht="15">
      <c r="A152" s="1"/>
      <c r="B152" s="27"/>
      <c r="C152" s="26" t="s">
        <v>37</v>
      </c>
      <c r="D152" s="26"/>
      <c r="E152" s="27" t="s">
        <v>76</v>
      </c>
      <c r="F152" s="7"/>
      <c r="G152" s="7" t="e">
        <f>#REF!</f>
        <v>#REF!</v>
      </c>
      <c r="H152" s="7" t="e">
        <f>G152+F152</f>
        <v>#REF!</v>
      </c>
      <c r="I152" s="9"/>
      <c r="J152" s="28"/>
    </row>
    <row r="153" spans="1:10" ht="15">
      <c r="A153" s="1"/>
      <c r="B153" s="27"/>
      <c r="C153" s="29" t="s">
        <v>7</v>
      </c>
      <c r="D153" s="26" t="s">
        <v>33</v>
      </c>
      <c r="E153" s="27"/>
      <c r="F153" s="30">
        <f>SUM(F151:F152)</f>
        <v>0.19964799999999994</v>
      </c>
      <c r="G153" s="30" t="e">
        <f>SUM(G151:G152)</f>
        <v>#REF!</v>
      </c>
      <c r="H153" s="30" t="e">
        <f>SUM(H151:H152)</f>
        <v>#REF!</v>
      </c>
      <c r="I153" s="12">
        <v>74000</v>
      </c>
      <c r="J153" s="31" t="e">
        <f>I153*H153</f>
        <v>#REF!</v>
      </c>
    </row>
    <row r="154" spans="1:10" ht="15">
      <c r="A154" s="1"/>
      <c r="B154" s="27">
        <v>31</v>
      </c>
      <c r="C154" s="44" t="s">
        <v>154</v>
      </c>
      <c r="D154" s="6"/>
      <c r="E154" s="27"/>
      <c r="F154" s="7"/>
      <c r="G154" s="7"/>
      <c r="H154" s="7"/>
      <c r="I154" s="9"/>
      <c r="J154" s="28"/>
    </row>
    <row r="155" spans="1:10" ht="15">
      <c r="A155" s="1"/>
      <c r="B155" s="27"/>
      <c r="C155" s="26" t="s">
        <v>36</v>
      </c>
      <c r="D155" s="26"/>
      <c r="E155" s="27" t="s">
        <v>76</v>
      </c>
      <c r="F155" s="7">
        <f>[1]Summary!$H$137</f>
        <v>1.0603908000000002</v>
      </c>
      <c r="G155" s="7"/>
      <c r="H155" s="7">
        <f>G155+F155</f>
        <v>1.0603908000000002</v>
      </c>
      <c r="I155" s="9"/>
      <c r="J155" s="28"/>
    </row>
    <row r="156" spans="1:10" ht="15">
      <c r="A156" s="1"/>
      <c r="B156" s="27"/>
      <c r="C156" s="26" t="s">
        <v>37</v>
      </c>
      <c r="D156" s="26"/>
      <c r="E156" s="27" t="s">
        <v>76</v>
      </c>
      <c r="F156" s="7"/>
      <c r="G156" s="7" t="e">
        <f>#REF!</f>
        <v>#REF!</v>
      </c>
      <c r="H156" s="7" t="e">
        <f>G156+F156</f>
        <v>#REF!</v>
      </c>
      <c r="I156" s="9"/>
      <c r="J156" s="28"/>
    </row>
    <row r="157" spans="1:10" ht="15">
      <c r="A157" s="1"/>
      <c r="B157" s="27"/>
      <c r="C157" s="29" t="s">
        <v>7</v>
      </c>
      <c r="D157" s="26" t="s">
        <v>33</v>
      </c>
      <c r="E157" s="27"/>
      <c r="F157" s="30">
        <f>SUM(F155:F156)</f>
        <v>1.0603908000000002</v>
      </c>
      <c r="G157" s="30" t="e">
        <f>SUM(G155:G156)</f>
        <v>#REF!</v>
      </c>
      <c r="H157" s="30" t="e">
        <f>SUM(H155:H156)</f>
        <v>#REF!</v>
      </c>
      <c r="I157" s="12">
        <v>80000</v>
      </c>
      <c r="J157" s="31" t="e">
        <f>I157*H157</f>
        <v>#REF!</v>
      </c>
    </row>
    <row r="158" spans="1:10" ht="30">
      <c r="A158" s="1"/>
      <c r="B158" s="27">
        <v>32</v>
      </c>
      <c r="C158" s="10" t="s">
        <v>155</v>
      </c>
      <c r="D158" s="6"/>
      <c r="E158" s="27"/>
      <c r="F158" s="7"/>
      <c r="G158" s="7"/>
      <c r="H158" s="7"/>
      <c r="I158" s="9"/>
      <c r="J158" s="28"/>
    </row>
    <row r="159" spans="1:10" ht="15">
      <c r="A159" s="1"/>
      <c r="B159" s="27"/>
      <c r="C159" s="26" t="s">
        <v>36</v>
      </c>
      <c r="D159" s="26"/>
      <c r="E159" s="27" t="s">
        <v>76</v>
      </c>
      <c r="F159" s="7">
        <f>[1]Summary!$H$140</f>
        <v>0.43581599999999998</v>
      </c>
      <c r="G159" s="7"/>
      <c r="H159" s="7">
        <f>G159+F159</f>
        <v>0.43581599999999998</v>
      </c>
      <c r="I159" s="9"/>
      <c r="J159" s="28"/>
    </row>
    <row r="160" spans="1:10" ht="15">
      <c r="A160" s="1"/>
      <c r="B160" s="27"/>
      <c r="C160" s="26" t="s">
        <v>37</v>
      </c>
      <c r="D160" s="26"/>
      <c r="E160" s="27" t="s">
        <v>76</v>
      </c>
      <c r="F160" s="7"/>
      <c r="G160" s="7" t="e">
        <f>#REF!</f>
        <v>#REF!</v>
      </c>
      <c r="H160" s="7" t="e">
        <f>G160+F160</f>
        <v>#REF!</v>
      </c>
      <c r="I160" s="9"/>
      <c r="J160" s="28"/>
    </row>
    <row r="161" spans="1:10" ht="15">
      <c r="A161" s="1"/>
      <c r="B161" s="27"/>
      <c r="C161" s="29" t="s">
        <v>7</v>
      </c>
      <c r="D161" s="26" t="s">
        <v>33</v>
      </c>
      <c r="E161" s="27"/>
      <c r="F161" s="30">
        <f>SUM(F159:F160)</f>
        <v>0.43581599999999998</v>
      </c>
      <c r="G161" s="30" t="e">
        <f>SUM(G159:G160)</f>
        <v>#REF!</v>
      </c>
      <c r="H161" s="30" t="e">
        <f>SUM(H159:H160)</f>
        <v>#REF!</v>
      </c>
      <c r="I161" s="12">
        <v>6000</v>
      </c>
      <c r="J161" s="31" t="e">
        <f>I161*H161</f>
        <v>#REF!</v>
      </c>
    </row>
    <row r="162" spans="1:10" ht="15">
      <c r="A162" s="1">
        <v>7</v>
      </c>
      <c r="B162" s="27" t="s">
        <v>213</v>
      </c>
      <c r="C162" s="29" t="s">
        <v>214</v>
      </c>
      <c r="D162" s="26"/>
      <c r="E162" s="27"/>
      <c r="F162" s="30"/>
      <c r="G162" s="30"/>
      <c r="H162" s="30"/>
      <c r="I162" s="12"/>
      <c r="J162" s="31"/>
    </row>
    <row r="163" spans="1:10" ht="15">
      <c r="A163" s="1"/>
      <c r="B163" s="27" t="s">
        <v>215</v>
      </c>
      <c r="C163" s="10" t="s">
        <v>197</v>
      </c>
      <c r="D163" s="26"/>
      <c r="E163" s="27"/>
      <c r="F163" s="30"/>
      <c r="G163" s="30"/>
      <c r="H163" s="30"/>
      <c r="I163" s="12"/>
      <c r="J163" s="31"/>
    </row>
    <row r="164" spans="1:10" ht="15">
      <c r="A164" s="1"/>
      <c r="B164" s="27"/>
      <c r="C164" s="32" t="s">
        <v>36</v>
      </c>
      <c r="D164" s="26"/>
      <c r="E164" s="27"/>
      <c r="F164" s="7">
        <f>[1]Summary!$H$144</f>
        <v>934.82120000000009</v>
      </c>
      <c r="G164" s="7" t="e">
        <f>#REF!</f>
        <v>#REF!</v>
      </c>
      <c r="H164" s="7" t="e">
        <f>G164+F164</f>
        <v>#REF!</v>
      </c>
      <c r="I164" s="12"/>
      <c r="J164" s="31"/>
    </row>
    <row r="165" spans="1:10" ht="15">
      <c r="A165" s="1"/>
      <c r="B165" s="27"/>
      <c r="C165" s="26" t="s">
        <v>37</v>
      </c>
      <c r="D165" s="26"/>
      <c r="E165" s="27"/>
      <c r="F165" s="7">
        <f>[1]Summary!$H$145</f>
        <v>885.38723000000027</v>
      </c>
      <c r="G165" s="7"/>
      <c r="H165" s="7">
        <f>G165+F165</f>
        <v>885.38723000000027</v>
      </c>
      <c r="I165" s="12"/>
      <c r="J165" s="31"/>
    </row>
    <row r="166" spans="1:10" ht="15">
      <c r="A166" s="1"/>
      <c r="B166" s="27"/>
      <c r="C166" s="29" t="s">
        <v>156</v>
      </c>
      <c r="D166" s="26"/>
      <c r="E166" s="27" t="s">
        <v>140</v>
      </c>
      <c r="F166" s="30">
        <f>SUM(F164:F165)</f>
        <v>1820.2084300000004</v>
      </c>
      <c r="G166" s="30" t="e">
        <f>SUM(G164:G165)</f>
        <v>#REF!</v>
      </c>
      <c r="H166" s="30" t="e">
        <f>SUM(H164:H165)</f>
        <v>#REF!</v>
      </c>
      <c r="I166" s="12">
        <v>415</v>
      </c>
      <c r="J166" s="31" t="e">
        <f>I166*H166</f>
        <v>#REF!</v>
      </c>
    </row>
    <row r="167" spans="1:10" ht="15">
      <c r="A167" s="1"/>
      <c r="B167" s="27" t="s">
        <v>259</v>
      </c>
      <c r="C167" s="10" t="s">
        <v>238</v>
      </c>
      <c r="D167" s="26"/>
      <c r="E167" s="27"/>
      <c r="F167" s="30"/>
      <c r="G167" s="30"/>
      <c r="H167" s="30"/>
      <c r="I167" s="12"/>
      <c r="J167" s="31"/>
    </row>
    <row r="168" spans="1:10" ht="15">
      <c r="A168" s="1"/>
      <c r="B168" s="27"/>
      <c r="C168" s="32" t="s">
        <v>36</v>
      </c>
      <c r="D168" s="26"/>
      <c r="E168" s="27"/>
      <c r="F168" s="7">
        <f>[1]Summary!$H$148</f>
        <v>117.57</v>
      </c>
      <c r="G168" s="7" t="e">
        <f>#REF!</f>
        <v>#REF!</v>
      </c>
      <c r="H168" s="7" t="e">
        <f>G168+F168</f>
        <v>#REF!</v>
      </c>
      <c r="I168" s="12"/>
      <c r="J168" s="31"/>
    </row>
    <row r="169" spans="1:10" ht="15">
      <c r="A169" s="1"/>
      <c r="B169" s="27"/>
      <c r="C169" s="26" t="s">
        <v>37</v>
      </c>
      <c r="D169" s="26"/>
      <c r="E169" s="27"/>
      <c r="F169" s="7">
        <f>[1]Summary!$H$149</f>
        <v>13.465600000000002</v>
      </c>
      <c r="G169" s="7"/>
      <c r="H169" s="7">
        <f>G169+F169</f>
        <v>13.465600000000002</v>
      </c>
      <c r="I169" s="12"/>
      <c r="J169" s="31"/>
    </row>
    <row r="170" spans="1:10" ht="15">
      <c r="A170" s="1"/>
      <c r="B170" s="27"/>
      <c r="C170" s="29" t="s">
        <v>156</v>
      </c>
      <c r="D170" s="26"/>
      <c r="E170" s="27" t="s">
        <v>10</v>
      </c>
      <c r="F170" s="30">
        <f>SUM(F168:F169)</f>
        <v>131.03559999999999</v>
      </c>
      <c r="G170" s="30" t="e">
        <f>SUM(G168:G169)</f>
        <v>#REF!</v>
      </c>
      <c r="H170" s="30" t="e">
        <f>SUM(H168:H169)</f>
        <v>#REF!</v>
      </c>
      <c r="I170" s="12">
        <v>650</v>
      </c>
      <c r="J170" s="31" t="e">
        <f>I170*H170</f>
        <v>#REF!</v>
      </c>
    </row>
    <row r="171" spans="1:10" ht="15">
      <c r="A171" s="1"/>
      <c r="B171" s="27">
        <v>36</v>
      </c>
      <c r="C171" s="10" t="s">
        <v>266</v>
      </c>
      <c r="D171" s="52"/>
      <c r="E171" s="53"/>
      <c r="F171" s="54"/>
      <c r="G171" s="54"/>
      <c r="H171" s="54"/>
      <c r="I171" s="54"/>
      <c r="J171" s="55"/>
    </row>
    <row r="172" spans="1:10" ht="15">
      <c r="A172" s="1"/>
      <c r="B172" s="51"/>
      <c r="C172" s="26" t="s">
        <v>36</v>
      </c>
      <c r="D172" s="52"/>
      <c r="E172" s="53" t="s">
        <v>10</v>
      </c>
      <c r="F172" s="7"/>
      <c r="G172" s="56" t="e">
        <f>#REF!</f>
        <v>#REF!</v>
      </c>
      <c r="H172" s="54" t="e">
        <f>F172+G172</f>
        <v>#REF!</v>
      </c>
      <c r="I172" s="54"/>
      <c r="J172" s="55"/>
    </row>
    <row r="173" spans="1:10" ht="15">
      <c r="A173" s="1"/>
      <c r="B173" s="53"/>
      <c r="C173" s="57" t="s">
        <v>7</v>
      </c>
      <c r="D173" s="53"/>
      <c r="E173" s="53"/>
      <c r="F173" s="53">
        <f>SUM(F172:F172)</f>
        <v>0</v>
      </c>
      <c r="G173" s="53" t="e">
        <f>SUM(G172:G172)</f>
        <v>#REF!</v>
      </c>
      <c r="H173" s="53" t="e">
        <f>SUM(H172:H172)</f>
        <v>#REF!</v>
      </c>
      <c r="I173" s="53">
        <v>2200</v>
      </c>
      <c r="J173" s="58" t="e">
        <f>I173*H173</f>
        <v>#REF!</v>
      </c>
    </row>
    <row r="174" spans="1:10" s="45" customFormat="1" ht="15">
      <c r="A174" s="50"/>
      <c r="B174" s="27">
        <v>37</v>
      </c>
      <c r="C174" s="10" t="s">
        <v>249</v>
      </c>
      <c r="D174" s="52"/>
      <c r="E174" s="53"/>
      <c r="F174" s="54"/>
      <c r="G174" s="54"/>
      <c r="H174" s="54"/>
      <c r="I174" s="54"/>
      <c r="J174" s="55"/>
    </row>
    <row r="175" spans="1:10" s="45" customFormat="1" ht="15">
      <c r="A175" s="50"/>
      <c r="B175" s="51"/>
      <c r="C175" s="26" t="s">
        <v>37</v>
      </c>
      <c r="D175" s="52"/>
      <c r="E175" s="53" t="s">
        <v>76</v>
      </c>
      <c r="F175" s="7">
        <f>[1]Summary!$H$152</f>
        <v>0.47953620000000002</v>
      </c>
      <c r="G175" s="56" t="e">
        <f>#REF!</f>
        <v>#REF!</v>
      </c>
      <c r="H175" s="54" t="e">
        <f>F175+G175</f>
        <v>#REF!</v>
      </c>
      <c r="I175" s="54"/>
      <c r="J175" s="55"/>
    </row>
    <row r="176" spans="1:10" s="45" customFormat="1" ht="15">
      <c r="A176" s="50"/>
      <c r="B176" s="53"/>
      <c r="C176" s="57" t="s">
        <v>7</v>
      </c>
      <c r="D176" s="53">
        <v>6</v>
      </c>
      <c r="E176" s="53"/>
      <c r="F176" s="53">
        <f>SUM(F175:F175)</f>
        <v>0.47953620000000002</v>
      </c>
      <c r="G176" s="53" t="e">
        <f>SUM(G175:G175)</f>
        <v>#REF!</v>
      </c>
      <c r="H176" s="53" t="e">
        <f>SUM(H175:H175)</f>
        <v>#REF!</v>
      </c>
      <c r="I176" s="53">
        <v>74000</v>
      </c>
      <c r="J176" s="58" t="e">
        <f>I176*H176</f>
        <v>#REF!</v>
      </c>
    </row>
    <row r="177" spans="1:10" ht="15">
      <c r="A177" s="1">
        <v>8</v>
      </c>
      <c r="B177" s="27" t="s">
        <v>162</v>
      </c>
      <c r="C177" s="10" t="s">
        <v>163</v>
      </c>
      <c r="D177" s="26"/>
      <c r="E177" s="27"/>
      <c r="F177" s="30"/>
      <c r="G177" s="30"/>
      <c r="H177" s="30"/>
      <c r="I177" s="12"/>
      <c r="J177" s="31"/>
    </row>
    <row r="178" spans="1:10" ht="15">
      <c r="A178" s="1"/>
      <c r="B178" s="27">
        <v>40</v>
      </c>
      <c r="C178" s="10" t="s">
        <v>172</v>
      </c>
      <c r="D178" s="6"/>
      <c r="E178" s="27"/>
      <c r="F178" s="7"/>
      <c r="G178" s="7"/>
      <c r="H178" s="7"/>
      <c r="I178" s="9"/>
      <c r="J178" s="28"/>
    </row>
    <row r="179" spans="1:10" ht="15">
      <c r="A179" s="1"/>
      <c r="B179" s="27"/>
      <c r="C179" s="26" t="s">
        <v>36</v>
      </c>
      <c r="D179" s="26"/>
      <c r="E179" s="27" t="s">
        <v>10</v>
      </c>
      <c r="F179" s="7">
        <f>[1]Summary!$H$156</f>
        <v>3062.0539999999996</v>
      </c>
      <c r="G179" s="7"/>
      <c r="H179" s="7">
        <f>G179+F179</f>
        <v>3062.0539999999996</v>
      </c>
      <c r="I179" s="9"/>
      <c r="J179" s="28"/>
    </row>
    <row r="180" spans="1:10" ht="15">
      <c r="A180" s="1"/>
      <c r="B180" s="27"/>
      <c r="C180" s="26" t="s">
        <v>37</v>
      </c>
      <c r="D180" s="26"/>
      <c r="E180" s="27" t="s">
        <v>10</v>
      </c>
      <c r="F180" s="7">
        <f>[1]Summary!$H$157</f>
        <v>9.27</v>
      </c>
      <c r="G180" s="7" t="e">
        <f>#REF!</f>
        <v>#REF!</v>
      </c>
      <c r="H180" s="7" t="e">
        <f>G180+F180</f>
        <v>#REF!</v>
      </c>
      <c r="I180" s="9"/>
      <c r="J180" s="28"/>
    </row>
    <row r="181" spans="1:10" ht="15">
      <c r="A181" s="1"/>
      <c r="B181" s="27"/>
      <c r="C181" s="26" t="s">
        <v>150</v>
      </c>
      <c r="D181" s="26"/>
      <c r="E181" s="27" t="s">
        <v>10</v>
      </c>
      <c r="F181" s="7">
        <f>[1]Summary!$H$158</f>
        <v>10.684000000000001</v>
      </c>
      <c r="G181" s="7" t="e">
        <f>#REF!</f>
        <v>#REF!</v>
      </c>
      <c r="H181" s="7" t="e">
        <f>G181+F181</f>
        <v>#REF!</v>
      </c>
      <c r="I181" s="9"/>
      <c r="J181" s="28"/>
    </row>
    <row r="182" spans="1:10" ht="15">
      <c r="A182" s="1"/>
      <c r="B182" s="27"/>
      <c r="C182" s="29" t="s">
        <v>7</v>
      </c>
      <c r="D182" s="26" t="s">
        <v>92</v>
      </c>
      <c r="E182" s="27"/>
      <c r="F182" s="30">
        <f>SUM(F179:F181)</f>
        <v>3082.0079999999998</v>
      </c>
      <c r="G182" s="30" t="e">
        <f>SUM(G179:G181)</f>
        <v>#REF!</v>
      </c>
      <c r="H182" s="30" t="e">
        <f>SUM(H179:H181)</f>
        <v>#REF!</v>
      </c>
      <c r="I182" s="12">
        <v>95</v>
      </c>
      <c r="J182" s="31" t="e">
        <f>I182*H182</f>
        <v>#REF!</v>
      </c>
    </row>
    <row r="183" spans="1:10" ht="15">
      <c r="A183" s="1"/>
      <c r="B183" s="27">
        <v>41</v>
      </c>
      <c r="C183" s="10" t="s">
        <v>190</v>
      </c>
      <c r="D183" s="6"/>
      <c r="E183" s="27"/>
      <c r="F183" s="7"/>
      <c r="G183" s="7"/>
      <c r="H183" s="7"/>
      <c r="I183" s="9"/>
      <c r="J183" s="28"/>
    </row>
    <row r="184" spans="1:10" ht="15">
      <c r="A184" s="1"/>
      <c r="B184" s="27"/>
      <c r="C184" s="26" t="s">
        <v>36</v>
      </c>
      <c r="D184" s="26"/>
      <c r="E184" s="27"/>
      <c r="F184" s="7">
        <f>[1]Summary!$H$161</f>
        <v>212.12819999999994</v>
      </c>
      <c r="G184" s="7"/>
      <c r="H184" s="7">
        <f>G184+F184</f>
        <v>212.12819999999994</v>
      </c>
      <c r="I184" s="9"/>
      <c r="J184" s="28"/>
    </row>
    <row r="185" spans="1:10" ht="15">
      <c r="A185" s="1"/>
      <c r="B185" s="27"/>
      <c r="C185" s="26" t="s">
        <v>37</v>
      </c>
      <c r="D185" s="26"/>
      <c r="E185" s="27"/>
      <c r="F185" s="7">
        <f>[1]Summary!$H$162</f>
        <v>307.38240000000002</v>
      </c>
      <c r="G185" s="7"/>
      <c r="H185" s="7">
        <f>G185+F185</f>
        <v>307.38240000000002</v>
      </c>
      <c r="I185" s="9"/>
      <c r="J185" s="28"/>
    </row>
    <row r="186" spans="1:10" ht="15">
      <c r="A186" s="1"/>
      <c r="B186" s="27"/>
      <c r="C186" s="26" t="s">
        <v>175</v>
      </c>
      <c r="D186" s="26"/>
      <c r="E186" s="27"/>
      <c r="F186" s="7"/>
      <c r="G186" s="7" t="e">
        <f>#REF!</f>
        <v>#REF!</v>
      </c>
      <c r="H186" s="7" t="e">
        <f>G186+F186</f>
        <v>#REF!</v>
      </c>
      <c r="I186" s="9"/>
      <c r="J186" s="28"/>
    </row>
    <row r="187" spans="1:10" ht="15">
      <c r="A187" s="1"/>
      <c r="B187" s="27"/>
      <c r="C187" s="29" t="s">
        <v>7</v>
      </c>
      <c r="D187" s="26"/>
      <c r="E187" s="27" t="s">
        <v>10</v>
      </c>
      <c r="F187" s="30">
        <f>SUM(F184:F186)</f>
        <v>519.51059999999995</v>
      </c>
      <c r="G187" s="30" t="e">
        <f>SUM(G184:G186)</f>
        <v>#REF!</v>
      </c>
      <c r="H187" s="30" t="e">
        <f>SUM(H184:H186)</f>
        <v>#REF!</v>
      </c>
      <c r="I187" s="12">
        <v>500</v>
      </c>
      <c r="J187" s="31" t="e">
        <f>I187*H187</f>
        <v>#REF!</v>
      </c>
    </row>
    <row r="188" spans="1:10" ht="15">
      <c r="A188" s="1"/>
      <c r="B188" s="27">
        <v>42</v>
      </c>
      <c r="C188" s="10" t="s">
        <v>161</v>
      </c>
      <c r="D188" s="6"/>
      <c r="E188" s="27"/>
      <c r="F188" s="7"/>
      <c r="G188" s="7"/>
      <c r="H188" s="7"/>
      <c r="I188" s="9"/>
      <c r="J188" s="28"/>
    </row>
    <row r="189" spans="1:10" ht="15">
      <c r="A189" s="1"/>
      <c r="B189" s="27"/>
      <c r="C189" s="26" t="s">
        <v>36</v>
      </c>
      <c r="D189" s="26"/>
      <c r="E189" s="27" t="s">
        <v>76</v>
      </c>
      <c r="F189" s="7">
        <f>[1]Summary!$H$165</f>
        <v>1.7170699999999999</v>
      </c>
      <c r="G189" s="7"/>
      <c r="H189" s="7">
        <f>G189+F189</f>
        <v>1.7170699999999999</v>
      </c>
      <c r="I189" s="9"/>
      <c r="J189" s="28"/>
    </row>
    <row r="190" spans="1:10" ht="15">
      <c r="A190" s="1"/>
      <c r="B190" s="27"/>
      <c r="C190" s="29" t="s">
        <v>7</v>
      </c>
      <c r="D190" s="26" t="s">
        <v>33</v>
      </c>
      <c r="E190" s="27"/>
      <c r="F190" s="30">
        <f>SUM(F189:F189)</f>
        <v>1.7170699999999999</v>
      </c>
      <c r="G190" s="30">
        <f>SUM(G189:G189)</f>
        <v>0</v>
      </c>
      <c r="H190" s="30">
        <f>SUM(H189:H189)</f>
        <v>1.7170699999999999</v>
      </c>
      <c r="I190" s="12">
        <v>74000</v>
      </c>
      <c r="J190" s="31">
        <f>I190*H190</f>
        <v>127063.18</v>
      </c>
    </row>
    <row r="191" spans="1:10" ht="15">
      <c r="A191" s="1"/>
      <c r="B191" s="27" t="s">
        <v>216</v>
      </c>
      <c r="C191" s="10" t="s">
        <v>206</v>
      </c>
      <c r="D191" s="6"/>
      <c r="E191" s="27"/>
      <c r="F191" s="7"/>
      <c r="G191" s="7"/>
      <c r="H191" s="7"/>
      <c r="I191" s="9"/>
      <c r="J191" s="28"/>
    </row>
    <row r="192" spans="1:10" ht="15">
      <c r="A192" s="1"/>
      <c r="B192" s="27"/>
      <c r="C192" s="26" t="s">
        <v>37</v>
      </c>
      <c r="D192" s="26"/>
      <c r="E192" s="27" t="s">
        <v>89</v>
      </c>
      <c r="F192" s="7">
        <f>[1]Summary!$H$168</f>
        <v>62.35</v>
      </c>
      <c r="G192" s="7" t="e">
        <f>#REF!</f>
        <v>#REF!</v>
      </c>
      <c r="H192" s="7" t="e">
        <f>G192+F192</f>
        <v>#REF!</v>
      </c>
      <c r="I192" s="9"/>
      <c r="J192" s="28"/>
    </row>
    <row r="193" spans="1:10" ht="15">
      <c r="A193" s="1"/>
      <c r="B193" s="27"/>
      <c r="C193" s="26" t="s">
        <v>288</v>
      </c>
      <c r="D193" s="26"/>
      <c r="E193" s="27" t="s">
        <v>89</v>
      </c>
      <c r="F193" s="7"/>
      <c r="G193" s="7" t="e">
        <f>#REF!</f>
        <v>#REF!</v>
      </c>
      <c r="H193" s="7" t="e">
        <f>G193+F193</f>
        <v>#REF!</v>
      </c>
      <c r="I193" s="9"/>
      <c r="J193" s="28"/>
    </row>
    <row r="194" spans="1:10" ht="15">
      <c r="A194" s="1"/>
      <c r="B194" s="27"/>
      <c r="C194" s="29" t="s">
        <v>7</v>
      </c>
      <c r="D194" s="26"/>
      <c r="E194" s="27"/>
      <c r="F194" s="30">
        <f>SUM(F192:F193)</f>
        <v>62.35</v>
      </c>
      <c r="G194" s="30" t="e">
        <f>SUM(G192:G193)</f>
        <v>#REF!</v>
      </c>
      <c r="H194" s="30" t="e">
        <f>SUM(H192:H193)</f>
        <v>#REF!</v>
      </c>
      <c r="I194" s="12">
        <v>300</v>
      </c>
      <c r="J194" s="31" t="e">
        <f>I194*H194</f>
        <v>#REF!</v>
      </c>
    </row>
    <row r="195" spans="1:10" ht="15">
      <c r="A195" s="1"/>
      <c r="B195" s="27" t="s">
        <v>87</v>
      </c>
      <c r="C195" s="10" t="s">
        <v>88</v>
      </c>
      <c r="D195" s="6"/>
      <c r="E195" s="27"/>
      <c r="F195" s="7"/>
      <c r="G195" s="7"/>
      <c r="H195" s="7"/>
      <c r="I195" s="9"/>
      <c r="J195" s="28"/>
    </row>
    <row r="196" spans="1:10" ht="15">
      <c r="A196" s="1"/>
      <c r="B196" s="27"/>
      <c r="C196" s="26" t="s">
        <v>36</v>
      </c>
      <c r="D196" s="26"/>
      <c r="E196" s="27" t="s">
        <v>89</v>
      </c>
      <c r="F196" s="7">
        <f>[1]Summary!$H$171</f>
        <v>94.110000000000014</v>
      </c>
      <c r="G196" s="7"/>
      <c r="H196" s="7">
        <f>G196+F196</f>
        <v>94.110000000000014</v>
      </c>
      <c r="I196" s="9"/>
      <c r="J196" s="28"/>
    </row>
    <row r="197" spans="1:10" ht="15">
      <c r="A197" s="1"/>
      <c r="B197" s="27"/>
      <c r="C197" s="26" t="s">
        <v>37</v>
      </c>
      <c r="D197" s="26"/>
      <c r="E197" s="27"/>
      <c r="F197" s="7">
        <f>[1]Summary!$H$172</f>
        <v>65.400000000000006</v>
      </c>
      <c r="G197" s="7"/>
      <c r="H197" s="7">
        <f>G197+F197</f>
        <v>65.400000000000006</v>
      </c>
      <c r="I197" s="9"/>
      <c r="J197" s="28"/>
    </row>
    <row r="198" spans="1:10" ht="15">
      <c r="A198" s="1"/>
      <c r="B198" s="27"/>
      <c r="C198" s="26" t="s">
        <v>175</v>
      </c>
      <c r="D198" s="26"/>
      <c r="E198" s="27"/>
      <c r="F198" s="7"/>
      <c r="G198" s="7" t="e">
        <f>#REF!</f>
        <v>#REF!</v>
      </c>
      <c r="H198" s="7" t="e">
        <f>G198+F198</f>
        <v>#REF!</v>
      </c>
      <c r="I198" s="9"/>
      <c r="J198" s="28"/>
    </row>
    <row r="199" spans="1:10" ht="15">
      <c r="A199" s="1"/>
      <c r="B199" s="27"/>
      <c r="C199" s="29" t="s">
        <v>7</v>
      </c>
      <c r="D199" s="26" t="s">
        <v>90</v>
      </c>
      <c r="E199" s="27"/>
      <c r="F199" s="30">
        <f>SUM(F196:F198)</f>
        <v>159.51000000000002</v>
      </c>
      <c r="G199" s="30" t="e">
        <f>SUM(G196:G198)</f>
        <v>#REF!</v>
      </c>
      <c r="H199" s="30" t="e">
        <f>SUM(H196:H198)</f>
        <v>#REF!</v>
      </c>
      <c r="I199" s="12">
        <v>875</v>
      </c>
      <c r="J199" s="31" t="e">
        <f>I199*H199</f>
        <v>#REF!</v>
      </c>
    </row>
    <row r="200" spans="1:10" ht="15">
      <c r="A200" s="1">
        <v>9</v>
      </c>
      <c r="B200" s="27" t="s">
        <v>85</v>
      </c>
      <c r="C200" s="29" t="s">
        <v>86</v>
      </c>
      <c r="D200" s="26"/>
      <c r="E200" s="27"/>
      <c r="F200" s="30"/>
      <c r="G200" s="30"/>
      <c r="H200" s="30"/>
      <c r="I200" s="12"/>
      <c r="J200" s="31"/>
    </row>
    <row r="201" spans="1:10" ht="15">
      <c r="A201" s="1"/>
      <c r="B201" s="27">
        <v>46</v>
      </c>
      <c r="C201" s="8" t="s">
        <v>91</v>
      </c>
      <c r="D201" s="6"/>
      <c r="E201" s="27"/>
      <c r="F201" s="7"/>
      <c r="G201" s="7"/>
      <c r="H201" s="7"/>
      <c r="I201" s="9"/>
      <c r="J201" s="28"/>
    </row>
    <row r="202" spans="1:10" ht="15">
      <c r="A202" s="1"/>
      <c r="B202" s="27"/>
      <c r="C202" s="26" t="s">
        <v>36</v>
      </c>
      <c r="D202" s="26"/>
      <c r="E202" s="27" t="s">
        <v>10</v>
      </c>
      <c r="F202" s="7">
        <f>[1]Summary!$H$176</f>
        <v>1572.8145499999996</v>
      </c>
      <c r="G202" s="7"/>
      <c r="H202" s="7">
        <f>G202+F202</f>
        <v>1572.8145499999996</v>
      </c>
      <c r="I202" s="9"/>
      <c r="J202" s="28"/>
    </row>
    <row r="203" spans="1:10" ht="15">
      <c r="A203" s="1"/>
      <c r="B203" s="27"/>
      <c r="C203" s="26" t="s">
        <v>37</v>
      </c>
      <c r="D203" s="26"/>
      <c r="E203" s="27" t="s">
        <v>10</v>
      </c>
      <c r="F203" s="7">
        <f>[1]Summary!$H$177</f>
        <v>177.46787499999999</v>
      </c>
      <c r="G203" s="7"/>
      <c r="H203" s="7">
        <f>G203+F203</f>
        <v>177.46787499999999</v>
      </c>
      <c r="I203" s="9"/>
      <c r="J203" s="28"/>
    </row>
    <row r="204" spans="1:10" ht="15">
      <c r="A204" s="1"/>
      <c r="B204" s="27"/>
      <c r="C204" s="26" t="s">
        <v>150</v>
      </c>
      <c r="D204" s="26"/>
      <c r="E204" s="27" t="s">
        <v>10</v>
      </c>
      <c r="F204" s="7">
        <f>[1]Summary!$H$178</f>
        <v>457.40500000000003</v>
      </c>
      <c r="G204" s="7" t="e">
        <f>#REF!</f>
        <v>#REF!</v>
      </c>
      <c r="H204" s="7" t="e">
        <f>G204+F204</f>
        <v>#REF!</v>
      </c>
      <c r="I204" s="9"/>
      <c r="J204" s="28"/>
    </row>
    <row r="205" spans="1:10" ht="15">
      <c r="A205" s="1"/>
      <c r="B205" s="27"/>
      <c r="C205" s="26" t="s">
        <v>175</v>
      </c>
      <c r="D205" s="26"/>
      <c r="E205" s="27" t="s">
        <v>10</v>
      </c>
      <c r="F205" s="7">
        <f>[1]Summary!$H$179</f>
        <v>90.58297499999999</v>
      </c>
      <c r="G205" s="7" t="e">
        <f>#REF!</f>
        <v>#REF!</v>
      </c>
      <c r="H205" s="7" t="e">
        <f>G205+F205</f>
        <v>#REF!</v>
      </c>
      <c r="I205" s="9"/>
      <c r="J205" s="28"/>
    </row>
    <row r="206" spans="1:10" ht="15">
      <c r="A206" s="1"/>
      <c r="B206" s="27"/>
      <c r="C206" s="29" t="s">
        <v>7</v>
      </c>
      <c r="D206" s="26" t="s">
        <v>92</v>
      </c>
      <c r="E206" s="27"/>
      <c r="F206" s="30">
        <f>SUM(F202:F205)</f>
        <v>2298.2703999999994</v>
      </c>
      <c r="G206" s="30" t="e">
        <f>SUM(G202:G205)</f>
        <v>#REF!</v>
      </c>
      <c r="H206" s="30" t="e">
        <f>SUM(H202:H205)</f>
        <v>#REF!</v>
      </c>
      <c r="I206" s="12">
        <v>150</v>
      </c>
      <c r="J206" s="31" t="e">
        <f>I206*H206</f>
        <v>#REF!</v>
      </c>
    </row>
    <row r="207" spans="1:10" ht="15">
      <c r="A207" s="1"/>
      <c r="B207" s="27">
        <v>47</v>
      </c>
      <c r="C207" s="8" t="s">
        <v>93</v>
      </c>
      <c r="D207" s="6"/>
      <c r="E207" s="27"/>
      <c r="F207" s="7"/>
      <c r="G207" s="7"/>
      <c r="H207" s="7"/>
      <c r="I207" s="9"/>
      <c r="J207" s="28"/>
    </row>
    <row r="208" spans="1:10" ht="15">
      <c r="A208" s="1"/>
      <c r="B208" s="27"/>
      <c r="C208" s="26" t="s">
        <v>36</v>
      </c>
      <c r="D208" s="26"/>
      <c r="E208" s="27" t="s">
        <v>10</v>
      </c>
      <c r="F208" s="7">
        <f>[1]Summary!$H$182</f>
        <v>1572.8145499999996</v>
      </c>
      <c r="G208" s="7"/>
      <c r="H208" s="7">
        <f>G208+F208</f>
        <v>1572.8145499999996</v>
      </c>
      <c r="I208" s="9"/>
      <c r="J208" s="28"/>
    </row>
    <row r="209" spans="1:10" ht="15">
      <c r="A209" s="1"/>
      <c r="B209" s="27"/>
      <c r="C209" s="26" t="s">
        <v>37</v>
      </c>
      <c r="D209" s="26"/>
      <c r="E209" s="27" t="s">
        <v>10</v>
      </c>
      <c r="F209" s="7">
        <f>[1]Summary!$H$183</f>
        <v>177.46787499999999</v>
      </c>
      <c r="G209" s="7"/>
      <c r="H209" s="7">
        <f>G209+F209</f>
        <v>177.46787499999999</v>
      </c>
      <c r="I209" s="9"/>
      <c r="J209" s="28"/>
    </row>
    <row r="210" spans="1:10" ht="15">
      <c r="A210" s="1"/>
      <c r="B210" s="27"/>
      <c r="C210" s="26" t="s">
        <v>150</v>
      </c>
      <c r="D210" s="26"/>
      <c r="E210" s="27" t="s">
        <v>10</v>
      </c>
      <c r="F210" s="7">
        <f>[1]Summary!$H$184</f>
        <v>457.40500000000003</v>
      </c>
      <c r="G210" s="7" t="e">
        <f>#REF!</f>
        <v>#REF!</v>
      </c>
      <c r="H210" s="7" t="e">
        <f>G210+F210</f>
        <v>#REF!</v>
      </c>
      <c r="I210" s="9"/>
      <c r="J210" s="28"/>
    </row>
    <row r="211" spans="1:10" ht="15">
      <c r="A211" s="1"/>
      <c r="B211" s="27"/>
      <c r="C211" s="26" t="s">
        <v>175</v>
      </c>
      <c r="D211" s="26"/>
      <c r="E211" s="27" t="s">
        <v>10</v>
      </c>
      <c r="F211" s="7">
        <f>[1]Summary!$H$185</f>
        <v>90.58297499999999</v>
      </c>
      <c r="G211" s="7" t="e">
        <f>#REF!</f>
        <v>#REF!</v>
      </c>
      <c r="H211" s="7" t="e">
        <f>G211+F211</f>
        <v>#REF!</v>
      </c>
      <c r="I211" s="9"/>
      <c r="J211" s="28"/>
    </row>
    <row r="212" spans="1:10" ht="15">
      <c r="A212" s="1"/>
      <c r="B212" s="27"/>
      <c r="C212" s="29" t="s">
        <v>7</v>
      </c>
      <c r="D212" s="26" t="s">
        <v>92</v>
      </c>
      <c r="E212" s="27"/>
      <c r="F212" s="30">
        <f>SUM(F208:F211)</f>
        <v>2298.2703999999994</v>
      </c>
      <c r="G212" s="30" t="e">
        <f>SUM(G208:G211)</f>
        <v>#REF!</v>
      </c>
      <c r="H212" s="30" t="e">
        <f>SUM(H208:H211)</f>
        <v>#REF!</v>
      </c>
      <c r="I212" s="12">
        <v>290</v>
      </c>
      <c r="J212" s="31" t="e">
        <f>I212*H212</f>
        <v>#REF!</v>
      </c>
    </row>
    <row r="213" spans="1:10" ht="15">
      <c r="A213" s="1"/>
      <c r="B213" s="27">
        <v>48</v>
      </c>
      <c r="C213" s="8" t="s">
        <v>94</v>
      </c>
      <c r="D213" s="6"/>
      <c r="E213" s="27"/>
      <c r="F213" s="7"/>
      <c r="G213" s="7"/>
      <c r="H213" s="7"/>
      <c r="I213" s="9"/>
      <c r="J213" s="28"/>
    </row>
    <row r="214" spans="1:10" ht="15">
      <c r="A214" s="1"/>
      <c r="B214" s="27"/>
      <c r="C214" s="26" t="s">
        <v>36</v>
      </c>
      <c r="D214" s="26"/>
      <c r="E214" s="27" t="s">
        <v>10</v>
      </c>
      <c r="F214" s="7">
        <f>[1]Summary!$H$188</f>
        <v>168.56666666666663</v>
      </c>
      <c r="G214" s="7"/>
      <c r="H214" s="7">
        <f>G214+F214</f>
        <v>168.56666666666663</v>
      </c>
      <c r="I214" s="9"/>
      <c r="J214" s="28"/>
    </row>
    <row r="215" spans="1:10" ht="15">
      <c r="A215" s="1"/>
      <c r="B215" s="27"/>
      <c r="C215" s="29" t="s">
        <v>7</v>
      </c>
      <c r="D215" s="26" t="s">
        <v>95</v>
      </c>
      <c r="E215" s="27"/>
      <c r="F215" s="30">
        <f>SUM(F214:F214)</f>
        <v>168.56666666666663</v>
      </c>
      <c r="G215" s="30">
        <f>SUM(G214:G214)</f>
        <v>0</v>
      </c>
      <c r="H215" s="30">
        <f>SUM(H214:H214)</f>
        <v>168.56666666666663</v>
      </c>
      <c r="I215" s="12">
        <v>215</v>
      </c>
      <c r="J215" s="31">
        <f>I215*H215</f>
        <v>36241.833333333328</v>
      </c>
    </row>
    <row r="216" spans="1:10" ht="15">
      <c r="A216" s="1"/>
      <c r="B216" s="27" t="s">
        <v>189</v>
      </c>
      <c r="C216" s="8" t="s">
        <v>227</v>
      </c>
      <c r="D216" s="6"/>
      <c r="E216" s="27"/>
      <c r="F216" s="7"/>
      <c r="G216" s="7"/>
      <c r="H216" s="7"/>
      <c r="I216" s="9"/>
      <c r="J216" s="28"/>
    </row>
    <row r="217" spans="1:10" ht="15">
      <c r="A217" s="1"/>
      <c r="B217" s="27"/>
      <c r="C217" s="40" t="s">
        <v>36</v>
      </c>
      <c r="D217" s="6"/>
      <c r="E217" s="27" t="s">
        <v>10</v>
      </c>
      <c r="F217" s="7">
        <f>[1]Summary!$H$191</f>
        <v>1626.3922</v>
      </c>
      <c r="G217" s="7"/>
      <c r="H217" s="7">
        <f>G217+F217</f>
        <v>1626.3922</v>
      </c>
      <c r="I217" s="9"/>
      <c r="J217" s="28"/>
    </row>
    <row r="218" spans="1:10" ht="15">
      <c r="A218" s="1"/>
      <c r="B218" s="27"/>
      <c r="C218" s="26" t="s">
        <v>37</v>
      </c>
      <c r="D218" s="26"/>
      <c r="E218" s="27" t="s">
        <v>10</v>
      </c>
      <c r="F218" s="7">
        <f>[1]Summary!$H$192</f>
        <v>278.91840000000002</v>
      </c>
      <c r="G218" s="7"/>
      <c r="H218" s="7">
        <f>G218+F218</f>
        <v>278.91840000000002</v>
      </c>
      <c r="I218" s="9"/>
      <c r="J218" s="28"/>
    </row>
    <row r="219" spans="1:10" ht="15">
      <c r="A219" s="1"/>
      <c r="B219" s="27"/>
      <c r="C219" s="26" t="s">
        <v>150</v>
      </c>
      <c r="D219" s="26"/>
      <c r="E219" s="27" t="s">
        <v>10</v>
      </c>
      <c r="F219" s="7">
        <f>[1]Summary!$H$193</f>
        <v>458.78499999999997</v>
      </c>
      <c r="G219" s="7" t="e">
        <f>#REF!</f>
        <v>#REF!</v>
      </c>
      <c r="H219" s="7" t="e">
        <f>G219+F219</f>
        <v>#REF!</v>
      </c>
      <c r="I219" s="9"/>
      <c r="J219" s="28"/>
    </row>
    <row r="220" spans="1:10" ht="15">
      <c r="A220" s="1"/>
      <c r="B220" s="27"/>
      <c r="C220" s="26" t="s">
        <v>175</v>
      </c>
      <c r="D220" s="26"/>
      <c r="E220" s="27" t="s">
        <v>10</v>
      </c>
      <c r="F220" s="7">
        <f>[1]Summary!$H$194</f>
        <v>90.58297499999999</v>
      </c>
      <c r="G220" s="7" t="e">
        <f>#REF!</f>
        <v>#REF!</v>
      </c>
      <c r="H220" s="7" t="e">
        <f>G220+F220</f>
        <v>#REF!</v>
      </c>
      <c r="I220" s="9"/>
      <c r="J220" s="28"/>
    </row>
    <row r="221" spans="1:10" ht="15">
      <c r="A221" s="1"/>
      <c r="B221" s="27"/>
      <c r="C221" s="29" t="s">
        <v>7</v>
      </c>
      <c r="D221" s="26" t="s">
        <v>185</v>
      </c>
      <c r="E221" s="27"/>
      <c r="F221" s="30">
        <f>SUM(F217:F220)</f>
        <v>2454.6785749999999</v>
      </c>
      <c r="G221" s="30" t="e">
        <f>SUM(G217:G220)</f>
        <v>#REF!</v>
      </c>
      <c r="H221" s="30" t="e">
        <f>SUM(H217:H220)</f>
        <v>#REF!</v>
      </c>
      <c r="I221" s="12">
        <v>475</v>
      </c>
      <c r="J221" s="31" t="e">
        <f>I221*H221</f>
        <v>#REF!</v>
      </c>
    </row>
    <row r="222" spans="1:10" ht="15">
      <c r="A222" s="1"/>
      <c r="B222" s="27">
        <v>50</v>
      </c>
      <c r="C222" s="8" t="s">
        <v>96</v>
      </c>
      <c r="D222" s="6"/>
      <c r="E222" s="27"/>
      <c r="F222" s="7"/>
      <c r="G222" s="7"/>
      <c r="H222" s="7"/>
      <c r="I222" s="9"/>
      <c r="J222" s="28"/>
    </row>
    <row r="223" spans="1:10" ht="15">
      <c r="A223" s="1"/>
      <c r="B223" s="27"/>
      <c r="C223" s="26" t="s">
        <v>36</v>
      </c>
      <c r="D223" s="26"/>
      <c r="E223" s="27" t="s">
        <v>10</v>
      </c>
      <c r="F223" s="7">
        <f>[1]Summary!$H$197</f>
        <v>168.56666666666663</v>
      </c>
      <c r="G223" s="7"/>
      <c r="H223" s="7">
        <f>G223+F223</f>
        <v>168.56666666666663</v>
      </c>
      <c r="I223" s="9"/>
      <c r="J223" s="28"/>
    </row>
    <row r="224" spans="1:10" ht="15">
      <c r="A224" s="1"/>
      <c r="B224" s="27"/>
      <c r="C224" s="29" t="s">
        <v>7</v>
      </c>
      <c r="D224" s="26" t="s">
        <v>95</v>
      </c>
      <c r="E224" s="27"/>
      <c r="F224" s="30">
        <f>SUM(F223:F223)</f>
        <v>168.56666666666663</v>
      </c>
      <c r="G224" s="30">
        <f>SUM(G223:G223)</f>
        <v>0</v>
      </c>
      <c r="H224" s="30">
        <f>SUM(H223:H223)</f>
        <v>168.56666666666663</v>
      </c>
      <c r="I224" s="12">
        <v>125</v>
      </c>
      <c r="J224" s="31">
        <f>I224*H224</f>
        <v>21070.833333333328</v>
      </c>
    </row>
    <row r="225" spans="1:10" ht="15">
      <c r="A225" s="1"/>
      <c r="B225" s="27" t="s">
        <v>97</v>
      </c>
      <c r="C225" s="8" t="s">
        <v>98</v>
      </c>
      <c r="D225" s="6"/>
      <c r="E225" s="27"/>
      <c r="F225" s="7"/>
      <c r="G225" s="7"/>
      <c r="H225" s="7"/>
      <c r="I225" s="9"/>
      <c r="J225" s="28"/>
    </row>
    <row r="226" spans="1:10" ht="15">
      <c r="A226" s="1"/>
      <c r="B226" s="27"/>
      <c r="C226" s="26" t="s">
        <v>36</v>
      </c>
      <c r="D226" s="26"/>
      <c r="E226" s="27" t="s">
        <v>10</v>
      </c>
      <c r="F226" s="7">
        <f>[1]Summary!$H$200</f>
        <v>2.4</v>
      </c>
      <c r="G226" s="7"/>
      <c r="H226" s="7">
        <f>G226+F226</f>
        <v>2.4</v>
      </c>
      <c r="I226" s="9"/>
      <c r="J226" s="28"/>
    </row>
    <row r="227" spans="1:10" ht="15">
      <c r="A227" s="1"/>
      <c r="B227" s="27"/>
      <c r="C227" s="26" t="s">
        <v>175</v>
      </c>
      <c r="D227" s="26"/>
      <c r="E227" s="27" t="s">
        <v>10</v>
      </c>
      <c r="F227" s="7">
        <f>[1]Summary!$H$201</f>
        <v>21.96</v>
      </c>
      <c r="G227" s="7"/>
      <c r="H227" s="7">
        <f>G227+F227</f>
        <v>21.96</v>
      </c>
      <c r="I227" s="9"/>
      <c r="J227" s="28"/>
    </row>
    <row r="228" spans="1:10" ht="15">
      <c r="A228" s="1"/>
      <c r="B228" s="27"/>
      <c r="C228" s="29" t="s">
        <v>7</v>
      </c>
      <c r="D228" s="26" t="s">
        <v>53</v>
      </c>
      <c r="E228" s="27"/>
      <c r="F228" s="30">
        <f>SUM(F226:F227)</f>
        <v>24.36</v>
      </c>
      <c r="G228" s="30">
        <f>SUM(G226:G227)</f>
        <v>0</v>
      </c>
      <c r="H228" s="30">
        <f>SUM(H226:H227)</f>
        <v>24.36</v>
      </c>
      <c r="I228" s="12">
        <v>250</v>
      </c>
      <c r="J228" s="31">
        <f>I228*H228</f>
        <v>6090</v>
      </c>
    </row>
    <row r="229" spans="1:10" ht="15">
      <c r="A229" s="1"/>
      <c r="B229" s="27">
        <v>52</v>
      </c>
      <c r="C229" s="10" t="s">
        <v>187</v>
      </c>
      <c r="D229" s="6"/>
      <c r="E229" s="27"/>
      <c r="F229" s="7"/>
      <c r="G229" s="7"/>
      <c r="H229" s="7"/>
      <c r="I229" s="9"/>
      <c r="J229" s="28"/>
    </row>
    <row r="230" spans="1:10" ht="15">
      <c r="A230" s="1"/>
      <c r="B230" s="27"/>
      <c r="C230" s="26" t="s">
        <v>36</v>
      </c>
      <c r="D230" s="26"/>
      <c r="E230" s="27" t="s">
        <v>10</v>
      </c>
      <c r="F230" s="7">
        <f>[1]Summary!$H$204</f>
        <v>1626.3922</v>
      </c>
      <c r="G230" s="7"/>
      <c r="H230" s="7">
        <f>G230+F230</f>
        <v>1626.3922</v>
      </c>
      <c r="I230" s="9"/>
      <c r="J230" s="28"/>
    </row>
    <row r="231" spans="1:10" ht="15">
      <c r="A231" s="1"/>
      <c r="B231" s="27"/>
      <c r="C231" s="29" t="s">
        <v>7</v>
      </c>
      <c r="D231" s="26"/>
      <c r="E231" s="27"/>
      <c r="F231" s="30">
        <f>SUM(F230:F230)</f>
        <v>1626.3922</v>
      </c>
      <c r="G231" s="30">
        <f>SUM(G230:G230)</f>
        <v>0</v>
      </c>
      <c r="H231" s="30">
        <f>SUM(H230:H230)</f>
        <v>1626.3922</v>
      </c>
      <c r="I231" s="12">
        <v>120</v>
      </c>
      <c r="J231" s="31">
        <f>I231*H231</f>
        <v>195167.06400000001</v>
      </c>
    </row>
    <row r="232" spans="1:10" ht="45">
      <c r="A232" s="1"/>
      <c r="B232" s="27">
        <v>53</v>
      </c>
      <c r="C232" s="10" t="s">
        <v>188</v>
      </c>
      <c r="D232" s="6"/>
      <c r="E232" s="27"/>
      <c r="F232" s="7"/>
      <c r="G232" s="7"/>
      <c r="H232" s="7"/>
      <c r="I232" s="9"/>
      <c r="J232" s="28"/>
    </row>
    <row r="233" spans="1:10" ht="15">
      <c r="A233" s="1"/>
      <c r="B233" s="27"/>
      <c r="C233" s="26" t="s">
        <v>36</v>
      </c>
      <c r="D233" s="26"/>
      <c r="E233" s="27" t="s">
        <v>10</v>
      </c>
      <c r="F233" s="7">
        <f>[1]Summary!$H$207</f>
        <v>1626.3922</v>
      </c>
      <c r="G233" s="7"/>
      <c r="H233" s="7">
        <f>G233+F233</f>
        <v>1626.3922</v>
      </c>
      <c r="I233" s="9"/>
      <c r="J233" s="28"/>
    </row>
    <row r="234" spans="1:10" ht="15">
      <c r="A234" s="1"/>
      <c r="B234" s="27"/>
      <c r="C234" s="29" t="s">
        <v>7</v>
      </c>
      <c r="D234" s="26"/>
      <c r="E234" s="27"/>
      <c r="F234" s="30">
        <f>SUM(F233:F233)</f>
        <v>1626.3922</v>
      </c>
      <c r="G234" s="30">
        <f>SUM(G233:G233)</f>
        <v>0</v>
      </c>
      <c r="H234" s="30">
        <f>SUM(H233:H233)</f>
        <v>1626.3922</v>
      </c>
      <c r="I234" s="12">
        <v>60</v>
      </c>
      <c r="J234" s="31">
        <f>I234*H234</f>
        <v>97583.532000000007</v>
      </c>
    </row>
    <row r="235" spans="1:10" ht="15">
      <c r="A235" s="1"/>
      <c r="B235" s="27">
        <v>55</v>
      </c>
      <c r="C235" s="10" t="s">
        <v>241</v>
      </c>
      <c r="D235" s="6"/>
      <c r="E235" s="27"/>
      <c r="F235" s="7"/>
      <c r="G235" s="7"/>
      <c r="H235" s="7"/>
      <c r="I235" s="9"/>
      <c r="J235" s="28"/>
    </row>
    <row r="236" spans="1:10" ht="15">
      <c r="A236" s="1"/>
      <c r="B236" s="27"/>
      <c r="C236" s="26" t="s">
        <v>36</v>
      </c>
      <c r="D236" s="26"/>
      <c r="E236" s="27" t="s">
        <v>89</v>
      </c>
      <c r="F236" s="7">
        <f>[1]Summary!$H$210</f>
        <v>6.8</v>
      </c>
      <c r="G236" s="7" t="e">
        <f>#REF!</f>
        <v>#REF!</v>
      </c>
      <c r="H236" s="7" t="e">
        <f>G236+F236</f>
        <v>#REF!</v>
      </c>
      <c r="I236" s="9"/>
      <c r="J236" s="28"/>
    </row>
    <row r="237" spans="1:10" ht="15">
      <c r="A237" s="1"/>
      <c r="B237" s="27"/>
      <c r="C237" s="29" t="s">
        <v>7</v>
      </c>
      <c r="D237" s="26"/>
      <c r="E237" s="27"/>
      <c r="F237" s="30">
        <f>SUM(F236:F236)</f>
        <v>6.8</v>
      </c>
      <c r="G237" s="30" t="e">
        <f>SUM(G236:G236)</f>
        <v>#REF!</v>
      </c>
      <c r="H237" s="30" t="e">
        <f>SUM(H236:H236)</f>
        <v>#REF!</v>
      </c>
      <c r="I237" s="12">
        <v>140</v>
      </c>
      <c r="J237" s="31" t="e">
        <f>I237*H237</f>
        <v>#REF!</v>
      </c>
    </row>
    <row r="238" spans="1:10" ht="15">
      <c r="A238" s="1"/>
      <c r="B238" s="27">
        <v>58</v>
      </c>
      <c r="C238" s="10" t="s">
        <v>195</v>
      </c>
      <c r="D238" s="6"/>
      <c r="E238" s="27"/>
      <c r="F238" s="7"/>
      <c r="G238" s="7"/>
      <c r="H238" s="7"/>
      <c r="I238" s="9"/>
      <c r="J238" s="28"/>
    </row>
    <row r="239" spans="1:10" ht="15">
      <c r="A239" s="1"/>
      <c r="B239" s="27"/>
      <c r="C239" s="26" t="s">
        <v>37</v>
      </c>
      <c r="D239" s="26"/>
      <c r="E239" s="27" t="s">
        <v>10</v>
      </c>
      <c r="F239" s="7">
        <f>[1]Summary!$H$213</f>
        <v>307.04579999999993</v>
      </c>
      <c r="G239" s="7"/>
      <c r="H239" s="7">
        <f>G239+F239</f>
        <v>307.04579999999993</v>
      </c>
      <c r="I239" s="9"/>
      <c r="J239" s="28"/>
    </row>
    <row r="240" spans="1:10" ht="15">
      <c r="A240" s="1"/>
      <c r="B240" s="27"/>
      <c r="C240" s="29" t="s">
        <v>156</v>
      </c>
      <c r="D240" s="26"/>
      <c r="E240" s="27"/>
      <c r="F240" s="30">
        <f>SUM(F239:F239)</f>
        <v>307.04579999999993</v>
      </c>
      <c r="G240" s="30">
        <f>SUM(G239:G239)</f>
        <v>0</v>
      </c>
      <c r="H240" s="30">
        <f>SUM(H239:H239)</f>
        <v>307.04579999999993</v>
      </c>
      <c r="I240" s="12">
        <v>800</v>
      </c>
      <c r="J240" s="31">
        <f>I240*H240</f>
        <v>245636.63999999996</v>
      </c>
    </row>
    <row r="241" spans="1:10" s="45" customFormat="1" ht="15">
      <c r="A241" s="50"/>
      <c r="B241" s="27">
        <v>59</v>
      </c>
      <c r="C241" s="10" t="s">
        <v>263</v>
      </c>
      <c r="D241" s="52"/>
      <c r="E241" s="53"/>
      <c r="F241" s="54"/>
      <c r="G241" s="54"/>
      <c r="H241" s="54"/>
      <c r="I241" s="54"/>
      <c r="J241" s="55"/>
    </row>
    <row r="242" spans="1:10" s="45" customFormat="1" ht="15">
      <c r="A242" s="50"/>
      <c r="B242" s="53"/>
      <c r="C242" s="59" t="s">
        <v>37</v>
      </c>
      <c r="D242" s="52"/>
      <c r="E242" s="53" t="s">
        <v>10</v>
      </c>
      <c r="F242" s="7">
        <f>[1]Summary!$H$216</f>
        <v>20.715</v>
      </c>
      <c r="G242" s="54" t="e">
        <f>#REF!</f>
        <v>#REF!</v>
      </c>
      <c r="H242" s="54" t="e">
        <f>F242+G242</f>
        <v>#REF!</v>
      </c>
      <c r="I242" s="54"/>
      <c r="J242" s="55"/>
    </row>
    <row r="243" spans="1:10" s="45" customFormat="1" ht="15">
      <c r="A243" s="50"/>
      <c r="B243" s="53"/>
      <c r="C243" s="57" t="s">
        <v>7</v>
      </c>
      <c r="D243" s="53"/>
      <c r="E243" s="53"/>
      <c r="F243" s="53">
        <f>SUM(F242:F242)</f>
        <v>20.715</v>
      </c>
      <c r="G243" s="53" t="e">
        <f>SUM(G242:G242)</f>
        <v>#REF!</v>
      </c>
      <c r="H243" s="53" t="e">
        <f>SUM(H242:H242)</f>
        <v>#REF!</v>
      </c>
      <c r="I243" s="53">
        <v>975</v>
      </c>
      <c r="J243" s="58" t="e">
        <f>I243*H243</f>
        <v>#REF!</v>
      </c>
    </row>
    <row r="244" spans="1:10" s="45" customFormat="1" ht="15">
      <c r="A244" s="50"/>
      <c r="B244" s="27">
        <v>60</v>
      </c>
      <c r="C244" s="10" t="s">
        <v>247</v>
      </c>
      <c r="D244" s="52"/>
      <c r="E244" s="53"/>
      <c r="F244" s="54"/>
      <c r="G244" s="54"/>
      <c r="H244" s="54"/>
      <c r="I244" s="54"/>
      <c r="J244" s="55"/>
    </row>
    <row r="245" spans="1:10" s="45" customFormat="1" ht="15">
      <c r="A245" s="50"/>
      <c r="B245" s="53"/>
      <c r="C245" s="59" t="s">
        <v>37</v>
      </c>
      <c r="D245" s="52"/>
      <c r="E245" s="53" t="s">
        <v>10</v>
      </c>
      <c r="F245" s="7">
        <f>[1]Summary!$H$219</f>
        <v>327.7607999999999</v>
      </c>
      <c r="G245" s="54" t="e">
        <f>#REF!</f>
        <v>#REF!</v>
      </c>
      <c r="H245" s="54" t="e">
        <f>F245+G245</f>
        <v>#REF!</v>
      </c>
      <c r="I245" s="54"/>
      <c r="J245" s="55"/>
    </row>
    <row r="246" spans="1:10" s="45" customFormat="1" ht="15">
      <c r="A246" s="50"/>
      <c r="B246" s="53"/>
      <c r="C246" s="57" t="s">
        <v>7</v>
      </c>
      <c r="D246" s="53"/>
      <c r="E246" s="53"/>
      <c r="F246" s="53">
        <f>SUM(F245:F245)</f>
        <v>327.7607999999999</v>
      </c>
      <c r="G246" s="53" t="e">
        <f>SUM(G245:G245)</f>
        <v>#REF!</v>
      </c>
      <c r="H246" s="53" t="e">
        <f>SUM(H245:H245)</f>
        <v>#REF!</v>
      </c>
      <c r="I246" s="53">
        <v>85</v>
      </c>
      <c r="J246" s="58" t="e">
        <f>I246*H246</f>
        <v>#REF!</v>
      </c>
    </row>
    <row r="247" spans="1:10" s="45" customFormat="1" ht="30">
      <c r="A247" s="50"/>
      <c r="B247" s="27">
        <v>61</v>
      </c>
      <c r="C247" s="47" t="s">
        <v>248</v>
      </c>
      <c r="D247" s="52"/>
      <c r="E247" s="53"/>
      <c r="F247" s="54"/>
      <c r="G247" s="54"/>
      <c r="H247" s="54"/>
      <c r="I247" s="54"/>
      <c r="J247" s="55"/>
    </row>
    <row r="248" spans="1:10" s="45" customFormat="1" ht="15">
      <c r="A248" s="50"/>
      <c r="B248" s="53"/>
      <c r="C248" s="59" t="s">
        <v>37</v>
      </c>
      <c r="D248" s="52"/>
      <c r="E248" s="53" t="s">
        <v>89</v>
      </c>
      <c r="F248" s="7">
        <f>[1]Summary!$H$222</f>
        <v>37.5</v>
      </c>
      <c r="G248" s="54" t="e">
        <f>#REF!</f>
        <v>#REF!</v>
      </c>
      <c r="H248" s="54" t="e">
        <f>F248+G248</f>
        <v>#REF!</v>
      </c>
      <c r="I248" s="54"/>
      <c r="J248" s="55"/>
    </row>
    <row r="249" spans="1:10" s="45" customFormat="1" ht="15">
      <c r="A249" s="50"/>
      <c r="B249" s="53"/>
      <c r="C249" s="57" t="s">
        <v>7</v>
      </c>
      <c r="D249" s="53"/>
      <c r="E249" s="53"/>
      <c r="F249" s="53">
        <f>SUM(F248:F248)</f>
        <v>37.5</v>
      </c>
      <c r="G249" s="53" t="e">
        <f>SUM(G248:G248)</f>
        <v>#REF!</v>
      </c>
      <c r="H249" s="53" t="e">
        <f>SUM(H248:H248)</f>
        <v>#REF!</v>
      </c>
      <c r="I249" s="53">
        <v>175</v>
      </c>
      <c r="J249" s="58" t="e">
        <f>I249*H249</f>
        <v>#REF!</v>
      </c>
    </row>
    <row r="250" spans="1:10" ht="15">
      <c r="A250" s="1"/>
      <c r="B250" s="27">
        <v>62</v>
      </c>
      <c r="C250" s="10" t="s">
        <v>196</v>
      </c>
      <c r="D250" s="6"/>
      <c r="E250" s="27"/>
      <c r="F250" s="7"/>
      <c r="G250" s="7"/>
      <c r="H250" s="7"/>
      <c r="I250" s="9"/>
      <c r="J250" s="28"/>
    </row>
    <row r="251" spans="1:10" ht="15">
      <c r="A251" s="1"/>
      <c r="B251" s="27"/>
      <c r="C251" s="26" t="s">
        <v>37</v>
      </c>
      <c r="D251" s="26"/>
      <c r="E251" s="27" t="s">
        <v>10</v>
      </c>
      <c r="F251" s="7">
        <f>[1]Summary!$H$225</f>
        <v>196.42350000000005</v>
      </c>
      <c r="G251" s="7" t="e">
        <f>#REF!</f>
        <v>#REF!</v>
      </c>
      <c r="H251" s="7" t="e">
        <f>G251+F251</f>
        <v>#REF!</v>
      </c>
      <c r="I251" s="9"/>
      <c r="J251" s="28"/>
    </row>
    <row r="252" spans="1:10" ht="15">
      <c r="A252" s="1"/>
      <c r="B252" s="27"/>
      <c r="C252" s="26" t="s">
        <v>288</v>
      </c>
      <c r="D252" s="26"/>
      <c r="E252" s="27" t="s">
        <v>10</v>
      </c>
      <c r="F252" s="7"/>
      <c r="G252" s="7" t="e">
        <f>#REF!</f>
        <v>#REF!</v>
      </c>
      <c r="H252" s="7" t="e">
        <f>G252+F252</f>
        <v>#REF!</v>
      </c>
      <c r="I252" s="9"/>
      <c r="J252" s="28"/>
    </row>
    <row r="253" spans="1:10" ht="15">
      <c r="A253" s="1"/>
      <c r="B253" s="27"/>
      <c r="C253" s="29" t="s">
        <v>156</v>
      </c>
      <c r="D253" s="26"/>
      <c r="E253" s="27"/>
      <c r="F253" s="30">
        <f>SUM(F251:F252)</f>
        <v>196.42350000000005</v>
      </c>
      <c r="G253" s="30" t="e">
        <f>SUM(G251:G252)</f>
        <v>#REF!</v>
      </c>
      <c r="H253" s="30" t="e">
        <f>SUM(H251:H252)</f>
        <v>#REF!</v>
      </c>
      <c r="I253" s="12">
        <v>790</v>
      </c>
      <c r="J253" s="31" t="e">
        <f>I253*H253</f>
        <v>#REF!</v>
      </c>
    </row>
    <row r="254" spans="1:10" ht="15">
      <c r="A254" s="1">
        <v>10</v>
      </c>
      <c r="B254" s="27" t="s">
        <v>99</v>
      </c>
      <c r="C254" s="29" t="s">
        <v>100</v>
      </c>
      <c r="D254" s="26"/>
      <c r="E254" s="27"/>
      <c r="F254" s="30"/>
      <c r="G254" s="30"/>
      <c r="H254" s="30"/>
      <c r="I254" s="12"/>
      <c r="J254" s="31"/>
    </row>
    <row r="255" spans="1:10" ht="15">
      <c r="A255" s="1"/>
      <c r="B255" s="27">
        <v>64</v>
      </c>
      <c r="C255" s="8" t="s">
        <v>101</v>
      </c>
      <c r="D255" s="6"/>
      <c r="E255" s="27"/>
      <c r="F255" s="7"/>
      <c r="G255" s="7"/>
      <c r="H255" s="7"/>
      <c r="I255" s="9"/>
      <c r="J255" s="28"/>
    </row>
    <row r="256" spans="1:10" ht="15">
      <c r="A256" s="1"/>
      <c r="B256" s="27"/>
      <c r="C256" s="26" t="s">
        <v>36</v>
      </c>
      <c r="D256" s="26"/>
      <c r="E256" s="27" t="s">
        <v>10</v>
      </c>
      <c r="F256" s="7">
        <f>[1]Summary!$H$229</f>
        <v>872.38490000000013</v>
      </c>
      <c r="G256" s="7" t="e">
        <f>#REF!</f>
        <v>#REF!</v>
      </c>
      <c r="H256" s="7" t="e">
        <f>G256+F256</f>
        <v>#REF!</v>
      </c>
      <c r="I256" s="9"/>
      <c r="J256" s="28"/>
    </row>
    <row r="257" spans="1:10" ht="15">
      <c r="A257" s="1"/>
      <c r="B257" s="27"/>
      <c r="C257" s="26" t="s">
        <v>37</v>
      </c>
      <c r="D257" s="26"/>
      <c r="E257" s="27" t="s">
        <v>10</v>
      </c>
      <c r="F257" s="7">
        <f>[1]Summary!$H$230</f>
        <v>1345.78415</v>
      </c>
      <c r="G257" s="7" t="e">
        <f>#REF!</f>
        <v>#REF!</v>
      </c>
      <c r="H257" s="7" t="e">
        <f>G257+F257</f>
        <v>#REF!</v>
      </c>
      <c r="I257" s="9"/>
      <c r="J257" s="28"/>
    </row>
    <row r="258" spans="1:10" ht="15">
      <c r="A258" s="1"/>
      <c r="B258" s="27"/>
      <c r="C258" s="26" t="s">
        <v>150</v>
      </c>
      <c r="D258" s="26"/>
      <c r="E258" s="27" t="s">
        <v>10</v>
      </c>
      <c r="F258" s="7">
        <f>[1]Summary!$H$231</f>
        <v>311.82480000000004</v>
      </c>
      <c r="G258" s="7" t="e">
        <f>#REF!</f>
        <v>#REF!</v>
      </c>
      <c r="H258" s="7" t="e">
        <f>G258+F258</f>
        <v>#REF!</v>
      </c>
      <c r="I258" s="9"/>
      <c r="J258" s="28"/>
    </row>
    <row r="259" spans="1:10" ht="15">
      <c r="A259" s="1"/>
      <c r="B259" s="27"/>
      <c r="C259" s="26" t="s">
        <v>288</v>
      </c>
      <c r="D259" s="26"/>
      <c r="E259" s="27" t="s">
        <v>10</v>
      </c>
      <c r="F259" s="7"/>
      <c r="G259" s="7" t="e">
        <f>#REF!</f>
        <v>#REF!</v>
      </c>
      <c r="H259" s="7" t="e">
        <f>G259+F259</f>
        <v>#REF!</v>
      </c>
      <c r="I259" s="9"/>
      <c r="J259" s="28"/>
    </row>
    <row r="260" spans="1:10" ht="15">
      <c r="A260" s="1"/>
      <c r="B260" s="27"/>
      <c r="C260" s="29" t="s">
        <v>7</v>
      </c>
      <c r="D260" s="26" t="s">
        <v>102</v>
      </c>
      <c r="E260" s="27"/>
      <c r="F260" s="30">
        <f>SUM(F256:F259)</f>
        <v>2529.9938499999998</v>
      </c>
      <c r="G260" s="30" t="e">
        <f>SUM(G256:G259)</f>
        <v>#REF!</v>
      </c>
      <c r="H260" s="30" t="e">
        <f>SUM(H256:H259)</f>
        <v>#REF!</v>
      </c>
      <c r="I260" s="12">
        <v>158</v>
      </c>
      <c r="J260" s="31" t="e">
        <f>I260*H260</f>
        <v>#REF!</v>
      </c>
    </row>
    <row r="261" spans="1:10" ht="15">
      <c r="A261" s="1"/>
      <c r="B261" s="27">
        <v>67</v>
      </c>
      <c r="C261" s="10" t="s">
        <v>246</v>
      </c>
      <c r="D261" s="52"/>
      <c r="E261" s="53"/>
      <c r="F261" s="54"/>
      <c r="G261" s="54"/>
      <c r="H261" s="54"/>
      <c r="I261" s="54"/>
      <c r="J261" s="55"/>
    </row>
    <row r="262" spans="1:10" ht="15">
      <c r="A262" s="1"/>
      <c r="B262" s="53"/>
      <c r="C262" s="59" t="s">
        <v>37</v>
      </c>
      <c r="D262" s="52"/>
      <c r="E262" s="53" t="s">
        <v>89</v>
      </c>
      <c r="F262" s="7">
        <f>[1]Summary!$H$234</f>
        <v>50.55</v>
      </c>
      <c r="G262" s="54" t="e">
        <f>#REF!</f>
        <v>#REF!</v>
      </c>
      <c r="H262" s="54" t="e">
        <f>F262+G262</f>
        <v>#REF!</v>
      </c>
      <c r="I262" s="54"/>
      <c r="J262" s="55"/>
    </row>
    <row r="263" spans="1:10" ht="15">
      <c r="A263" s="1"/>
      <c r="B263" s="53"/>
      <c r="C263" s="57" t="s">
        <v>7</v>
      </c>
      <c r="D263" s="53"/>
      <c r="E263" s="53"/>
      <c r="F263" s="53">
        <f>SUM(F262:F262)</f>
        <v>50.55</v>
      </c>
      <c r="G263" s="53" t="e">
        <f>SUM(G262:G262)</f>
        <v>#REF!</v>
      </c>
      <c r="H263" s="53" t="e">
        <f>SUM(H262:H262)</f>
        <v>#REF!</v>
      </c>
      <c r="I263" s="53">
        <v>55</v>
      </c>
      <c r="J263" s="58" t="e">
        <f>I263*H263</f>
        <v>#REF!</v>
      </c>
    </row>
    <row r="264" spans="1:10" ht="15">
      <c r="A264" s="1"/>
      <c r="B264" s="27">
        <v>70</v>
      </c>
      <c r="C264" s="8" t="s">
        <v>103</v>
      </c>
      <c r="D264" s="6"/>
      <c r="E264" s="27"/>
      <c r="F264" s="7"/>
      <c r="G264" s="7"/>
      <c r="H264" s="7"/>
      <c r="I264" s="9"/>
      <c r="J264" s="28"/>
    </row>
    <row r="265" spans="1:10" ht="15">
      <c r="A265" s="1"/>
      <c r="B265" s="27"/>
      <c r="C265" s="26" t="s">
        <v>36</v>
      </c>
      <c r="D265" s="26"/>
      <c r="E265" s="27" t="s">
        <v>10</v>
      </c>
      <c r="F265" s="7">
        <f>[1]Summary!$H$237</f>
        <v>687.53207499999996</v>
      </c>
      <c r="G265" s="7"/>
      <c r="H265" s="7">
        <f>G265+F265</f>
        <v>687.53207499999996</v>
      </c>
      <c r="I265" s="9"/>
      <c r="J265" s="28"/>
    </row>
    <row r="266" spans="1:10" ht="15">
      <c r="A266" s="1"/>
      <c r="B266" s="27"/>
      <c r="C266" s="26" t="s">
        <v>37</v>
      </c>
      <c r="D266" s="26"/>
      <c r="E266" s="27" t="s">
        <v>10</v>
      </c>
      <c r="F266" s="7">
        <f>[1]Summary!$H$238</f>
        <v>1519.5894500000004</v>
      </c>
      <c r="G266" s="7"/>
      <c r="H266" s="7">
        <f>G266+F266</f>
        <v>1519.5894500000004</v>
      </c>
      <c r="I266" s="9"/>
      <c r="J266" s="28"/>
    </row>
    <row r="267" spans="1:10" ht="15">
      <c r="A267" s="1"/>
      <c r="B267" s="27"/>
      <c r="C267" s="29" t="s">
        <v>7</v>
      </c>
      <c r="D267" s="26" t="s">
        <v>90</v>
      </c>
      <c r="E267" s="27"/>
      <c r="F267" s="30">
        <f>SUM(F265:F266)</f>
        <v>2207.1215250000005</v>
      </c>
      <c r="G267" s="30">
        <f>SUM(G265:G266)</f>
        <v>0</v>
      </c>
      <c r="H267" s="30">
        <f>SUM(H265:H266)</f>
        <v>2207.1215250000005</v>
      </c>
      <c r="I267" s="12">
        <v>75</v>
      </c>
      <c r="J267" s="31">
        <f>I267*H267</f>
        <v>165534.11437500003</v>
      </c>
    </row>
    <row r="268" spans="1:10" ht="15">
      <c r="A268" s="1"/>
      <c r="B268" s="27">
        <v>72</v>
      </c>
      <c r="C268" s="8" t="s">
        <v>104</v>
      </c>
      <c r="D268" s="6"/>
      <c r="E268" s="27"/>
      <c r="F268" s="7"/>
      <c r="G268" s="7"/>
      <c r="H268" s="7"/>
      <c r="I268" s="9"/>
      <c r="J268" s="28"/>
    </row>
    <row r="269" spans="1:10" ht="15">
      <c r="A269" s="1"/>
      <c r="B269" s="27"/>
      <c r="C269" s="26" t="s">
        <v>36</v>
      </c>
      <c r="D269" s="26"/>
      <c r="E269" s="27" t="s">
        <v>10</v>
      </c>
      <c r="F269" s="7">
        <f>[1]Summary!$H$241</f>
        <v>687.53207499999996</v>
      </c>
      <c r="G269" s="7"/>
      <c r="H269" s="7">
        <f>G269+F269</f>
        <v>687.53207499999996</v>
      </c>
      <c r="I269" s="9"/>
      <c r="J269" s="28"/>
    </row>
    <row r="270" spans="1:10" ht="15">
      <c r="A270" s="1"/>
      <c r="B270" s="27"/>
      <c r="C270" s="26" t="s">
        <v>37</v>
      </c>
      <c r="D270" s="26"/>
      <c r="E270" s="27" t="s">
        <v>10</v>
      </c>
      <c r="F270" s="7">
        <f>[1]Summary!$H$242</f>
        <v>1519.5894500000004</v>
      </c>
      <c r="G270" s="7"/>
      <c r="H270" s="7">
        <f>G270+F270</f>
        <v>1519.5894500000004</v>
      </c>
      <c r="I270" s="9"/>
      <c r="J270" s="28"/>
    </row>
    <row r="271" spans="1:10" ht="15">
      <c r="A271" s="1"/>
      <c r="B271" s="27"/>
      <c r="C271" s="29" t="s">
        <v>7</v>
      </c>
      <c r="D271" s="26" t="s">
        <v>105</v>
      </c>
      <c r="E271" s="27"/>
      <c r="F271" s="30">
        <f>SUM(F269:F270)</f>
        <v>2207.1215250000005</v>
      </c>
      <c r="G271" s="30">
        <f>SUM(G269:G270)</f>
        <v>0</v>
      </c>
      <c r="H271" s="30">
        <f>SUM(H269:H270)</f>
        <v>2207.1215250000005</v>
      </c>
      <c r="I271" s="12">
        <v>65</v>
      </c>
      <c r="J271" s="31">
        <f>I271*H271</f>
        <v>143462.89912500003</v>
      </c>
    </row>
    <row r="272" spans="1:10" ht="15">
      <c r="A272" s="1"/>
      <c r="B272" s="27">
        <v>76</v>
      </c>
      <c r="C272" s="8" t="s">
        <v>106</v>
      </c>
      <c r="D272" s="6"/>
      <c r="E272" s="27"/>
      <c r="F272" s="7"/>
      <c r="G272" s="7"/>
      <c r="H272" s="7"/>
      <c r="I272" s="9"/>
      <c r="J272" s="28"/>
    </row>
    <row r="273" spans="1:10" ht="15">
      <c r="A273" s="1"/>
      <c r="B273" s="27"/>
      <c r="C273" s="26" t="s">
        <v>36</v>
      </c>
      <c r="D273" s="26"/>
      <c r="E273" s="27" t="s">
        <v>10</v>
      </c>
      <c r="F273" s="7">
        <f>[1]Summary!$H$245</f>
        <v>103.95</v>
      </c>
      <c r="G273" s="7" t="e">
        <f>#REF!</f>
        <v>#REF!</v>
      </c>
      <c r="H273" s="7" t="e">
        <f>G273+F273</f>
        <v>#REF!</v>
      </c>
      <c r="I273" s="9"/>
      <c r="J273" s="28"/>
    </row>
    <row r="274" spans="1:10" ht="15">
      <c r="A274" s="1"/>
      <c r="B274" s="27"/>
      <c r="C274" s="29" t="s">
        <v>7</v>
      </c>
      <c r="D274" s="26" t="s">
        <v>107</v>
      </c>
      <c r="E274" s="27"/>
      <c r="F274" s="30">
        <f>SUM(F273:F273)</f>
        <v>103.95</v>
      </c>
      <c r="G274" s="30" t="e">
        <f>SUM(G273:G273)</f>
        <v>#REF!</v>
      </c>
      <c r="H274" s="30" t="e">
        <f>SUM(H273:H273)</f>
        <v>#REF!</v>
      </c>
      <c r="I274" s="12">
        <v>75</v>
      </c>
      <c r="J274" s="31" t="e">
        <f>I274*H274</f>
        <v>#REF!</v>
      </c>
    </row>
    <row r="275" spans="1:10" ht="15">
      <c r="A275" s="1"/>
      <c r="B275" s="27">
        <v>77</v>
      </c>
      <c r="C275" s="8" t="s">
        <v>108</v>
      </c>
      <c r="D275" s="6"/>
      <c r="E275" s="27"/>
      <c r="F275" s="7"/>
      <c r="G275" s="7"/>
      <c r="H275" s="7"/>
      <c r="I275" s="9"/>
      <c r="J275" s="28"/>
    </row>
    <row r="276" spans="1:10" ht="15">
      <c r="A276" s="1"/>
      <c r="B276" s="27"/>
      <c r="C276" s="26" t="s">
        <v>36</v>
      </c>
      <c r="D276" s="26"/>
      <c r="E276" s="27" t="s">
        <v>76</v>
      </c>
      <c r="F276" s="7">
        <f>[1]Summary!$H$248</f>
        <v>68</v>
      </c>
      <c r="G276" s="7" t="e">
        <f>#REF!</f>
        <v>#REF!</v>
      </c>
      <c r="H276" s="7" t="e">
        <f>G276+F276</f>
        <v>#REF!</v>
      </c>
      <c r="I276" s="9"/>
      <c r="J276" s="28"/>
    </row>
    <row r="277" spans="1:10" ht="15">
      <c r="A277" s="1"/>
      <c r="B277" s="27"/>
      <c r="C277" s="26" t="s">
        <v>37</v>
      </c>
      <c r="D277" s="26"/>
      <c r="E277" s="27" t="s">
        <v>76</v>
      </c>
      <c r="F277" s="7">
        <f>[1]Summary!$H$249</f>
        <v>10.9157302</v>
      </c>
      <c r="G277" s="7" t="e">
        <f>#REF!</f>
        <v>#REF!</v>
      </c>
      <c r="H277" s="7" t="e">
        <f>G277+F277</f>
        <v>#REF!</v>
      </c>
      <c r="I277" s="9"/>
      <c r="J277" s="28"/>
    </row>
    <row r="278" spans="1:10" ht="15">
      <c r="A278" s="1"/>
      <c r="B278" s="27"/>
      <c r="C278" s="26" t="s">
        <v>150</v>
      </c>
      <c r="D278" s="26"/>
      <c r="E278" s="27" t="s">
        <v>76</v>
      </c>
      <c r="F278" s="7">
        <f>[1]Summary!$H$250</f>
        <v>36.791210700000001</v>
      </c>
      <c r="G278" s="7" t="e">
        <f>#REF!</f>
        <v>#REF!</v>
      </c>
      <c r="H278" s="7" t="e">
        <f>G278+F278</f>
        <v>#REF!</v>
      </c>
      <c r="I278" s="9"/>
      <c r="J278" s="28"/>
    </row>
    <row r="279" spans="1:10" ht="15">
      <c r="A279" s="1"/>
      <c r="B279" s="27"/>
      <c r="C279" s="26" t="s">
        <v>288</v>
      </c>
      <c r="D279" s="26"/>
      <c r="E279" s="27" t="s">
        <v>76</v>
      </c>
      <c r="F279" s="7"/>
      <c r="G279" s="7" t="e">
        <f>#REF!</f>
        <v>#REF!</v>
      </c>
      <c r="H279" s="7" t="e">
        <f>G279+F279</f>
        <v>#REF!</v>
      </c>
      <c r="I279" s="9"/>
      <c r="J279" s="28"/>
    </row>
    <row r="280" spans="1:10" ht="15">
      <c r="A280" s="1"/>
      <c r="B280" s="27"/>
      <c r="C280" s="29" t="s">
        <v>7</v>
      </c>
      <c r="D280" s="26" t="s">
        <v>160</v>
      </c>
      <c r="E280" s="27"/>
      <c r="F280" s="30">
        <f>SUM(F276:F279)</f>
        <v>115.70694090000001</v>
      </c>
      <c r="G280" s="30" t="e">
        <f>SUM(G276:G279)</f>
        <v>#REF!</v>
      </c>
      <c r="H280" s="30" t="e">
        <f>SUM(H276:H279)</f>
        <v>#REF!</v>
      </c>
      <c r="I280" s="12">
        <v>3700</v>
      </c>
      <c r="J280" s="31" t="e">
        <f>I280*H280</f>
        <v>#REF!</v>
      </c>
    </row>
    <row r="281" spans="1:10" ht="15">
      <c r="A281" s="1">
        <v>11</v>
      </c>
      <c r="B281" s="27" t="s">
        <v>109</v>
      </c>
      <c r="C281" s="10" t="s">
        <v>110</v>
      </c>
      <c r="D281" s="26"/>
      <c r="E281" s="27"/>
      <c r="F281" s="30"/>
      <c r="G281" s="30"/>
      <c r="H281" s="30"/>
      <c r="I281" s="12"/>
      <c r="J281" s="31"/>
    </row>
    <row r="282" spans="1:10" ht="15">
      <c r="A282" s="1"/>
      <c r="B282" s="27">
        <v>79</v>
      </c>
      <c r="C282" s="10" t="s">
        <v>111</v>
      </c>
      <c r="D282" s="6"/>
      <c r="E282" s="27"/>
      <c r="F282" s="7"/>
      <c r="G282" s="7"/>
      <c r="H282" s="7"/>
      <c r="I282" s="9"/>
      <c r="J282" s="28"/>
    </row>
    <row r="283" spans="1:10" ht="15">
      <c r="A283" s="1"/>
      <c r="B283" s="27"/>
      <c r="C283" s="26" t="s">
        <v>36</v>
      </c>
      <c r="D283" s="26"/>
      <c r="E283" s="27" t="s">
        <v>8</v>
      </c>
      <c r="F283" s="7">
        <f>[1]Summary!$H$254</f>
        <v>40.848500000000001</v>
      </c>
      <c r="G283" s="7" t="e">
        <f>#REF!</f>
        <v>#REF!</v>
      </c>
      <c r="H283" s="7" t="e">
        <f>G283+F283</f>
        <v>#REF!</v>
      </c>
      <c r="I283" s="9"/>
      <c r="J283" s="28"/>
    </row>
    <row r="284" spans="1:10" ht="15">
      <c r="A284" s="1"/>
      <c r="B284" s="27"/>
      <c r="C284" s="26" t="s">
        <v>37</v>
      </c>
      <c r="D284" s="26"/>
      <c r="E284" s="27" t="s">
        <v>8</v>
      </c>
      <c r="F284" s="7">
        <f>[1]Summary!$H$255</f>
        <v>30.382000000000005</v>
      </c>
      <c r="G284" s="7"/>
      <c r="H284" s="7">
        <f>G284+F284</f>
        <v>30.382000000000005</v>
      </c>
      <c r="I284" s="9"/>
      <c r="J284" s="28"/>
    </row>
    <row r="285" spans="1:10" ht="15">
      <c r="A285" s="1"/>
      <c r="B285" s="27"/>
      <c r="C285" s="26" t="s">
        <v>175</v>
      </c>
      <c r="D285" s="26"/>
      <c r="E285" s="27" t="s">
        <v>8</v>
      </c>
      <c r="F285" s="7">
        <f>[1]Summary!$H$256</f>
        <v>18.09</v>
      </c>
      <c r="G285" s="7"/>
      <c r="H285" s="7">
        <f>G285+F285</f>
        <v>18.09</v>
      </c>
      <c r="I285" s="9"/>
      <c r="J285" s="28"/>
    </row>
    <row r="286" spans="1:10" ht="15">
      <c r="A286" s="1"/>
      <c r="B286" s="27"/>
      <c r="C286" s="29" t="s">
        <v>7</v>
      </c>
      <c r="D286" s="26" t="s">
        <v>55</v>
      </c>
      <c r="E286" s="27"/>
      <c r="F286" s="30">
        <f>SUM(F283:F285)</f>
        <v>89.32050000000001</v>
      </c>
      <c r="G286" s="30" t="e">
        <f>SUM(G283:G285)</f>
        <v>#REF!</v>
      </c>
      <c r="H286" s="30" t="e">
        <f>SUM(H283:H285)</f>
        <v>#REF!</v>
      </c>
      <c r="I286" s="12">
        <v>200</v>
      </c>
      <c r="J286" s="31" t="e">
        <f>I286*H286</f>
        <v>#REF!</v>
      </c>
    </row>
    <row r="287" spans="1:10" ht="15">
      <c r="A287" s="1"/>
      <c r="B287" s="27">
        <v>80</v>
      </c>
      <c r="C287" s="10" t="s">
        <v>112</v>
      </c>
      <c r="D287" s="6"/>
      <c r="E287" s="27"/>
      <c r="F287" s="7"/>
      <c r="G287" s="7"/>
      <c r="H287" s="7"/>
      <c r="I287" s="9"/>
      <c r="J287" s="28"/>
    </row>
    <row r="288" spans="1:10" ht="15">
      <c r="A288" s="1"/>
      <c r="B288" s="27"/>
      <c r="C288" s="26" t="s">
        <v>36</v>
      </c>
      <c r="D288" s="26"/>
      <c r="E288" s="27" t="s">
        <v>8</v>
      </c>
      <c r="F288" s="7">
        <f>[1]Summary!$H$259</f>
        <v>48.144807500000006</v>
      </c>
      <c r="G288" s="7"/>
      <c r="H288" s="7">
        <f>G288+F288</f>
        <v>48.144807500000006</v>
      </c>
      <c r="I288" s="9"/>
      <c r="J288" s="28"/>
    </row>
    <row r="289" spans="1:10" ht="15">
      <c r="A289" s="1"/>
      <c r="B289" s="27"/>
      <c r="C289" s="26" t="s">
        <v>37</v>
      </c>
      <c r="D289" s="26"/>
      <c r="E289" s="27" t="s">
        <v>8</v>
      </c>
      <c r="F289" s="7">
        <f>[1]Summary!$H$260</f>
        <v>17.396682500000001</v>
      </c>
      <c r="G289" s="7" t="e">
        <f>#REF!</f>
        <v>#REF!</v>
      </c>
      <c r="H289" s="7" t="e">
        <f>G289+F289</f>
        <v>#REF!</v>
      </c>
      <c r="I289" s="9"/>
      <c r="J289" s="28"/>
    </row>
    <row r="290" spans="1:10" ht="15">
      <c r="A290" s="1"/>
      <c r="B290" s="27"/>
      <c r="C290" s="26" t="s">
        <v>150</v>
      </c>
      <c r="D290" s="26"/>
      <c r="E290" s="27" t="s">
        <v>8</v>
      </c>
      <c r="F290" s="7">
        <f>[1]Summary!$H$261</f>
        <v>4.7523749999999998</v>
      </c>
      <c r="G290" s="7" t="e">
        <f>#REF!</f>
        <v>#REF!</v>
      </c>
      <c r="H290" s="7" t="e">
        <f>G290+F290</f>
        <v>#REF!</v>
      </c>
      <c r="I290" s="9"/>
      <c r="J290" s="28"/>
    </row>
    <row r="291" spans="1:10" ht="15">
      <c r="A291" s="1"/>
      <c r="B291" s="27"/>
      <c r="C291" s="26" t="s">
        <v>288</v>
      </c>
      <c r="D291" s="26"/>
      <c r="E291" s="27" t="s">
        <v>8</v>
      </c>
      <c r="F291" s="7"/>
      <c r="G291" s="7" t="e">
        <f>#REF!</f>
        <v>#REF!</v>
      </c>
      <c r="H291" s="7" t="e">
        <f>G291+F291</f>
        <v>#REF!</v>
      </c>
      <c r="I291" s="9"/>
      <c r="J291" s="28"/>
    </row>
    <row r="292" spans="1:10" ht="15">
      <c r="A292" s="1"/>
      <c r="B292" s="27"/>
      <c r="C292" s="26" t="s">
        <v>175</v>
      </c>
      <c r="D292" s="26"/>
      <c r="E292" s="27" t="s">
        <v>8</v>
      </c>
      <c r="F292" s="7">
        <f>[1]Summary!$H$262</f>
        <v>5.1175000000000006</v>
      </c>
      <c r="G292" s="7" t="e">
        <f>#REF!</f>
        <v>#REF!</v>
      </c>
      <c r="H292" s="7" t="e">
        <f>G292+F292</f>
        <v>#REF!</v>
      </c>
      <c r="I292" s="9"/>
      <c r="J292" s="28"/>
    </row>
    <row r="293" spans="1:10" ht="15">
      <c r="A293" s="1"/>
      <c r="B293" s="27"/>
      <c r="C293" s="29" t="s">
        <v>7</v>
      </c>
      <c r="D293" s="26" t="s">
        <v>55</v>
      </c>
      <c r="E293" s="27"/>
      <c r="F293" s="30">
        <f>SUM(F288:F292)</f>
        <v>75.411365000000018</v>
      </c>
      <c r="G293" s="30" t="e">
        <f>SUM(G288:G292)</f>
        <v>#REF!</v>
      </c>
      <c r="H293" s="30" t="e">
        <f>SUM(H288:H292)</f>
        <v>#REF!</v>
      </c>
      <c r="I293" s="12">
        <v>500</v>
      </c>
      <c r="J293" s="31" t="e">
        <f>I293*H293</f>
        <v>#REF!</v>
      </c>
    </row>
    <row r="294" spans="1:10" ht="15">
      <c r="A294" s="1"/>
      <c r="B294" s="27">
        <v>81</v>
      </c>
      <c r="C294" s="10" t="s">
        <v>113</v>
      </c>
      <c r="D294" s="6"/>
      <c r="E294" s="27"/>
      <c r="F294" s="7"/>
      <c r="G294" s="7"/>
      <c r="H294" s="7"/>
      <c r="I294" s="9"/>
      <c r="J294" s="28"/>
    </row>
    <row r="295" spans="1:10" ht="15">
      <c r="A295" s="1"/>
      <c r="B295" s="27"/>
      <c r="C295" s="26" t="s">
        <v>36</v>
      </c>
      <c r="D295" s="26"/>
      <c r="E295" s="27" t="s">
        <v>8</v>
      </c>
      <c r="F295" s="7">
        <f>[1]Summary!$H$265</f>
        <v>69.945599999999999</v>
      </c>
      <c r="G295" s="7" t="e">
        <f>#REF!</f>
        <v>#REF!</v>
      </c>
      <c r="H295" s="7" t="e">
        <f>G295+F295</f>
        <v>#REF!</v>
      </c>
      <c r="I295" s="9"/>
      <c r="J295" s="28"/>
    </row>
    <row r="296" spans="1:10" ht="15">
      <c r="A296" s="1"/>
      <c r="B296" s="27"/>
      <c r="C296" s="26" t="s">
        <v>37</v>
      </c>
      <c r="D296" s="26"/>
      <c r="E296" s="27" t="s">
        <v>8</v>
      </c>
      <c r="F296" s="7">
        <f>[1]Summary!$H$266</f>
        <v>21.5032</v>
      </c>
      <c r="G296" s="7"/>
      <c r="H296" s="7">
        <f>G296+F296</f>
        <v>21.5032</v>
      </c>
      <c r="I296" s="9"/>
      <c r="J296" s="28"/>
    </row>
    <row r="297" spans="1:10" ht="15">
      <c r="A297" s="1"/>
      <c r="B297" s="27"/>
      <c r="C297" s="26" t="s">
        <v>150</v>
      </c>
      <c r="D297" s="26"/>
      <c r="E297" s="27" t="s">
        <v>8</v>
      </c>
      <c r="F297" s="7">
        <f>[1]Summary!$H$267</f>
        <v>0.42275000000000001</v>
      </c>
      <c r="G297" s="7" t="e">
        <f>#REF!</f>
        <v>#REF!</v>
      </c>
      <c r="H297" s="7" t="e">
        <f>G297+F297</f>
        <v>#REF!</v>
      </c>
      <c r="I297" s="9"/>
      <c r="J297" s="28"/>
    </row>
    <row r="298" spans="1:10" ht="15">
      <c r="A298" s="1"/>
      <c r="B298" s="27"/>
      <c r="C298" s="26" t="s">
        <v>288</v>
      </c>
      <c r="D298" s="26"/>
      <c r="E298" s="27" t="s">
        <v>8</v>
      </c>
      <c r="F298" s="7"/>
      <c r="G298" s="7" t="e">
        <f>#REF!</f>
        <v>#REF!</v>
      </c>
      <c r="H298" s="7" t="e">
        <f>G298+F298</f>
        <v>#REF!</v>
      </c>
      <c r="I298" s="9"/>
      <c r="J298" s="28"/>
    </row>
    <row r="299" spans="1:10" ht="15">
      <c r="A299" s="1"/>
      <c r="B299" s="27"/>
      <c r="C299" s="26" t="s">
        <v>182</v>
      </c>
      <c r="D299" s="26"/>
      <c r="E299" s="27" t="s">
        <v>8</v>
      </c>
      <c r="F299" s="7">
        <f>[1]Summary!$H$268</f>
        <v>23.129625000000001</v>
      </c>
      <c r="G299" s="7" t="e">
        <f>#REF!</f>
        <v>#REF!</v>
      </c>
      <c r="H299" s="7" t="e">
        <f>G299+F299</f>
        <v>#REF!</v>
      </c>
      <c r="I299" s="9"/>
      <c r="J299" s="28"/>
    </row>
    <row r="300" spans="1:10" ht="15">
      <c r="A300" s="1"/>
      <c r="B300" s="27"/>
      <c r="C300" s="29" t="s">
        <v>7</v>
      </c>
      <c r="D300" s="26" t="s">
        <v>105</v>
      </c>
      <c r="E300" s="27"/>
      <c r="F300" s="30">
        <f>SUM(F295:F299)</f>
        <v>115.001175</v>
      </c>
      <c r="G300" s="30" t="e">
        <f>SUM(G295:G299)</f>
        <v>#REF!</v>
      </c>
      <c r="H300" s="30" t="e">
        <f>SUM(H295:H299)</f>
        <v>#REF!</v>
      </c>
      <c r="I300" s="12">
        <v>1400</v>
      </c>
      <c r="J300" s="31" t="e">
        <f>I300*H300</f>
        <v>#REF!</v>
      </c>
    </row>
    <row r="301" spans="1:10" ht="15">
      <c r="A301" s="1"/>
      <c r="B301" s="27">
        <v>82</v>
      </c>
      <c r="C301" s="10" t="s">
        <v>114</v>
      </c>
      <c r="D301" s="6"/>
      <c r="E301" s="27"/>
      <c r="F301" s="7"/>
      <c r="G301" s="7"/>
      <c r="H301" s="7"/>
      <c r="I301" s="9"/>
      <c r="J301" s="28"/>
    </row>
    <row r="302" spans="1:10" ht="15">
      <c r="A302" s="1"/>
      <c r="B302" s="27"/>
      <c r="C302" s="26" t="s">
        <v>36</v>
      </c>
      <c r="D302" s="26"/>
      <c r="E302" s="27" t="s">
        <v>8</v>
      </c>
      <c r="F302" s="7">
        <f>[1]Summary!$H$271</f>
        <v>76.302275000000009</v>
      </c>
      <c r="G302" s="7"/>
      <c r="H302" s="7">
        <f>G302+F302</f>
        <v>76.302275000000009</v>
      </c>
      <c r="I302" s="9"/>
      <c r="J302" s="28"/>
    </row>
    <row r="303" spans="1:10" ht="15">
      <c r="A303" s="1"/>
      <c r="B303" s="27"/>
      <c r="C303" s="26" t="s">
        <v>37</v>
      </c>
      <c r="D303" s="26"/>
      <c r="E303" s="27" t="s">
        <v>8</v>
      </c>
      <c r="F303" s="7">
        <f>[1]Summary!$H$272</f>
        <v>22.719390000000001</v>
      </c>
      <c r="G303" s="7"/>
      <c r="H303" s="7">
        <f>G303+F303</f>
        <v>22.719390000000001</v>
      </c>
      <c r="I303" s="9"/>
      <c r="J303" s="28"/>
    </row>
    <row r="304" spans="1:10" ht="15">
      <c r="A304" s="1"/>
      <c r="B304" s="27"/>
      <c r="C304" s="26" t="s">
        <v>150</v>
      </c>
      <c r="D304" s="26"/>
      <c r="E304" s="27" t="s">
        <v>8</v>
      </c>
      <c r="F304" s="7">
        <f>[1]Summary!$H$273</f>
        <v>13.2</v>
      </c>
      <c r="G304" s="7" t="e">
        <f>#REF!</f>
        <v>#REF!</v>
      </c>
      <c r="H304" s="7" t="e">
        <f>G304+F304</f>
        <v>#REF!</v>
      </c>
      <c r="I304" s="9"/>
      <c r="J304" s="28"/>
    </row>
    <row r="305" spans="1:10" ht="15">
      <c r="A305" s="1"/>
      <c r="B305" s="27"/>
      <c r="C305" s="26" t="s">
        <v>288</v>
      </c>
      <c r="D305" s="26"/>
      <c r="E305" s="27" t="s">
        <v>8</v>
      </c>
      <c r="F305" s="7"/>
      <c r="G305" s="7" t="e">
        <f>#REF!</f>
        <v>#REF!</v>
      </c>
      <c r="H305" s="7" t="e">
        <f>G305+F305</f>
        <v>#REF!</v>
      </c>
      <c r="I305" s="9"/>
      <c r="J305" s="28"/>
    </row>
    <row r="306" spans="1:10" ht="15">
      <c r="A306" s="1"/>
      <c r="B306" s="27"/>
      <c r="C306" s="26" t="s">
        <v>175</v>
      </c>
      <c r="D306" s="26"/>
      <c r="E306" s="27" t="s">
        <v>8</v>
      </c>
      <c r="F306" s="7"/>
      <c r="G306" s="7" t="e">
        <f>#REF!</f>
        <v>#REF!</v>
      </c>
      <c r="H306" s="7" t="e">
        <f>G306+F306</f>
        <v>#REF!</v>
      </c>
      <c r="I306" s="9"/>
      <c r="J306" s="28"/>
    </row>
    <row r="307" spans="1:10" ht="15">
      <c r="A307" s="1"/>
      <c r="B307" s="27"/>
      <c r="C307" s="29" t="s">
        <v>7</v>
      </c>
      <c r="D307" s="26" t="s">
        <v>55</v>
      </c>
      <c r="E307" s="27"/>
      <c r="F307" s="30">
        <f>SUM(F302:F306)</f>
        <v>112.22166500000002</v>
      </c>
      <c r="G307" s="30" t="e">
        <f>SUM(G302:G306)</f>
        <v>#REF!</v>
      </c>
      <c r="H307" s="30" t="e">
        <f>SUM(H302:H306)</f>
        <v>#REF!</v>
      </c>
      <c r="I307" s="12">
        <v>2500</v>
      </c>
      <c r="J307" s="31" t="e">
        <f>I307*H307</f>
        <v>#REF!</v>
      </c>
    </row>
    <row r="308" spans="1:10" ht="15">
      <c r="A308" s="1"/>
      <c r="B308" s="27">
        <v>83</v>
      </c>
      <c r="C308" s="10" t="s">
        <v>115</v>
      </c>
      <c r="D308" s="6"/>
      <c r="E308" s="27"/>
      <c r="F308" s="7"/>
      <c r="G308" s="7"/>
      <c r="H308" s="7"/>
      <c r="I308" s="9"/>
      <c r="J308" s="28"/>
    </row>
    <row r="309" spans="1:10" ht="15">
      <c r="A309" s="1"/>
      <c r="B309" s="27"/>
      <c r="C309" s="26" t="s">
        <v>36</v>
      </c>
      <c r="D309" s="26"/>
      <c r="E309" s="27" t="s">
        <v>10</v>
      </c>
      <c r="F309" s="7">
        <f>[1]Summary!$H$276</f>
        <v>167.13124999999999</v>
      </c>
      <c r="G309" s="7"/>
      <c r="H309" s="7">
        <f>G309+F309</f>
        <v>167.13124999999999</v>
      </c>
      <c r="I309" s="9"/>
      <c r="J309" s="28"/>
    </row>
    <row r="310" spans="1:10" ht="15">
      <c r="A310" s="1"/>
      <c r="B310" s="27"/>
      <c r="C310" s="26" t="s">
        <v>288</v>
      </c>
      <c r="D310" s="26"/>
      <c r="E310" s="27" t="s">
        <v>10</v>
      </c>
      <c r="F310" s="7"/>
      <c r="G310" s="7" t="e">
        <f>#REF!</f>
        <v>#REF!</v>
      </c>
      <c r="H310" s="7" t="e">
        <f>G310+F310</f>
        <v>#REF!</v>
      </c>
      <c r="I310" s="9"/>
      <c r="J310" s="28"/>
    </row>
    <row r="311" spans="1:10" ht="15">
      <c r="A311" s="1"/>
      <c r="B311" s="27"/>
      <c r="C311" s="26" t="s">
        <v>175</v>
      </c>
      <c r="D311" s="26"/>
      <c r="E311" s="27" t="s">
        <v>10</v>
      </c>
      <c r="F311" s="7"/>
      <c r="G311" s="7" t="e">
        <f>#REF!</f>
        <v>#REF!</v>
      </c>
      <c r="H311" s="7" t="e">
        <f>G311+F311</f>
        <v>#REF!</v>
      </c>
      <c r="I311" s="9"/>
      <c r="J311" s="28"/>
    </row>
    <row r="312" spans="1:10" ht="15">
      <c r="A312" s="1"/>
      <c r="B312" s="27"/>
      <c r="C312" s="29" t="s">
        <v>7</v>
      </c>
      <c r="D312" s="26" t="s">
        <v>105</v>
      </c>
      <c r="E312" s="27"/>
      <c r="F312" s="30">
        <f>SUM(F309:F311)</f>
        <v>167.13124999999999</v>
      </c>
      <c r="G312" s="30" t="e">
        <f>SUM(G309:G311)</f>
        <v>#REF!</v>
      </c>
      <c r="H312" s="30" t="e">
        <f>SUM(H309:H311)</f>
        <v>#REF!</v>
      </c>
      <c r="I312" s="12">
        <v>90</v>
      </c>
      <c r="J312" s="31" t="e">
        <f>I312*H312</f>
        <v>#REF!</v>
      </c>
    </row>
    <row r="313" spans="1:10" ht="15">
      <c r="A313" s="1"/>
      <c r="B313" s="27">
        <v>84</v>
      </c>
      <c r="C313" s="10" t="s">
        <v>116</v>
      </c>
      <c r="D313" s="6"/>
      <c r="E313" s="27"/>
      <c r="F313" s="7"/>
      <c r="G313" s="7"/>
      <c r="H313" s="7"/>
      <c r="I313" s="9"/>
      <c r="J313" s="28"/>
    </row>
    <row r="314" spans="1:10" ht="15">
      <c r="A314" s="1"/>
      <c r="B314" s="27"/>
      <c r="C314" s="26" t="s">
        <v>36</v>
      </c>
      <c r="D314" s="26"/>
      <c r="E314" s="27" t="s">
        <v>10</v>
      </c>
      <c r="F314" s="7">
        <f>[1]Summary!$H$279</f>
        <v>929.71500000000003</v>
      </c>
      <c r="G314" s="7"/>
      <c r="H314" s="7">
        <f>G314+F314</f>
        <v>929.71500000000003</v>
      </c>
      <c r="I314" s="9"/>
      <c r="J314" s="28"/>
    </row>
    <row r="315" spans="1:10" ht="15">
      <c r="A315" s="1"/>
      <c r="B315" s="27"/>
      <c r="C315" s="26" t="s">
        <v>37</v>
      </c>
      <c r="D315" s="26"/>
      <c r="E315" s="27" t="s">
        <v>10</v>
      </c>
      <c r="F315" s="7">
        <f>[1]Summary!$H$280</f>
        <v>204.672</v>
      </c>
      <c r="G315" s="7"/>
      <c r="H315" s="7">
        <f>G315+F315</f>
        <v>204.672</v>
      </c>
      <c r="I315" s="9"/>
      <c r="J315" s="28"/>
    </row>
    <row r="316" spans="1:10" ht="15">
      <c r="A316" s="1"/>
      <c r="B316" s="27"/>
      <c r="C316" s="26" t="s">
        <v>150</v>
      </c>
      <c r="D316" s="26"/>
      <c r="E316" s="27" t="s">
        <v>10</v>
      </c>
      <c r="F316" s="7">
        <f>[1]Summary!$H$281</f>
        <v>169.8</v>
      </c>
      <c r="G316" s="7" t="e">
        <f>#REF!</f>
        <v>#REF!</v>
      </c>
      <c r="H316" s="7" t="e">
        <f>G316+F316</f>
        <v>#REF!</v>
      </c>
      <c r="I316" s="9"/>
      <c r="J316" s="28"/>
    </row>
    <row r="317" spans="1:10" ht="15">
      <c r="A317" s="1"/>
      <c r="B317" s="27"/>
      <c r="C317" s="29" t="s">
        <v>7</v>
      </c>
      <c r="D317" s="26" t="s">
        <v>117</v>
      </c>
      <c r="E317" s="27"/>
      <c r="F317" s="30">
        <f>SUM(F314:F316)</f>
        <v>1304.1869999999999</v>
      </c>
      <c r="G317" s="30" t="e">
        <f>SUM(G314:G316)</f>
        <v>#REF!</v>
      </c>
      <c r="H317" s="30" t="e">
        <f>SUM(H314:H316)</f>
        <v>#REF!</v>
      </c>
      <c r="I317" s="12">
        <v>90</v>
      </c>
      <c r="J317" s="31" t="e">
        <f>I317*H317</f>
        <v>#REF!</v>
      </c>
    </row>
    <row r="318" spans="1:10" ht="30">
      <c r="A318" s="1"/>
      <c r="B318" s="27">
        <v>85</v>
      </c>
      <c r="C318" s="10" t="s">
        <v>118</v>
      </c>
      <c r="D318" s="6"/>
      <c r="E318" s="27"/>
      <c r="F318" s="7"/>
      <c r="G318" s="7"/>
      <c r="H318" s="7"/>
      <c r="I318" s="9"/>
      <c r="J318" s="28"/>
    </row>
    <row r="319" spans="1:10" ht="15">
      <c r="A319" s="1"/>
      <c r="B319" s="27"/>
      <c r="C319" s="26" t="s">
        <v>36</v>
      </c>
      <c r="D319" s="26"/>
      <c r="E319" s="27" t="s">
        <v>76</v>
      </c>
      <c r="F319" s="7">
        <f>[1]Summary!$H$284</f>
        <v>41.248225960000006</v>
      </c>
      <c r="G319" s="7"/>
      <c r="H319" s="7">
        <f>G319+F319</f>
        <v>41.248225960000006</v>
      </c>
      <c r="I319" s="9"/>
      <c r="J319" s="28"/>
    </row>
    <row r="320" spans="1:10" ht="15">
      <c r="A320" s="1"/>
      <c r="B320" s="27"/>
      <c r="C320" s="26" t="s">
        <v>37</v>
      </c>
      <c r="D320" s="26"/>
      <c r="E320" s="27" t="s">
        <v>76</v>
      </c>
      <c r="F320" s="7">
        <f>[1]Summary!$H$285</f>
        <v>3.9827261999999997</v>
      </c>
      <c r="G320" s="7" t="e">
        <f>#REF!</f>
        <v>#REF!</v>
      </c>
      <c r="H320" s="7" t="e">
        <f>G320+F320</f>
        <v>#REF!</v>
      </c>
      <c r="I320" s="9"/>
      <c r="J320" s="28"/>
    </row>
    <row r="321" spans="1:10" ht="15">
      <c r="A321" s="1"/>
      <c r="B321" s="27"/>
      <c r="C321" s="26" t="s">
        <v>150</v>
      </c>
      <c r="D321" s="26"/>
      <c r="E321" s="27" t="s">
        <v>76</v>
      </c>
      <c r="F321" s="7">
        <f>[1]Summary!$H$286</f>
        <v>3.2519451999999993</v>
      </c>
      <c r="G321" s="7" t="e">
        <f>#REF!</f>
        <v>#REF!</v>
      </c>
      <c r="H321" s="7" t="e">
        <f>G321+F321</f>
        <v>#REF!</v>
      </c>
      <c r="I321" s="9"/>
      <c r="J321" s="28"/>
    </row>
    <row r="322" spans="1:10" ht="15">
      <c r="A322" s="1"/>
      <c r="B322" s="27"/>
      <c r="C322" s="29" t="s">
        <v>7</v>
      </c>
      <c r="D322" s="26" t="s">
        <v>119</v>
      </c>
      <c r="E322" s="27"/>
      <c r="F322" s="30">
        <f>SUM(F319:F321)</f>
        <v>48.48289736000001</v>
      </c>
      <c r="G322" s="30" t="e">
        <f>SUM(G319:G321)</f>
        <v>#REF!</v>
      </c>
      <c r="H322" s="30" t="e">
        <f>SUM(H319:H321)</f>
        <v>#REF!</v>
      </c>
      <c r="I322" s="12">
        <v>5200</v>
      </c>
      <c r="J322" s="31" t="e">
        <f>I322*H322</f>
        <v>#REF!</v>
      </c>
    </row>
    <row r="323" spans="1:10" ht="15">
      <c r="A323" s="1">
        <v>12</v>
      </c>
      <c r="B323" s="27" t="s">
        <v>120</v>
      </c>
      <c r="C323" s="34" t="s">
        <v>121</v>
      </c>
      <c r="D323" s="26"/>
      <c r="E323" s="27"/>
      <c r="F323" s="30"/>
      <c r="G323" s="30"/>
      <c r="H323" s="30"/>
      <c r="I323" s="12"/>
      <c r="J323" s="31"/>
    </row>
    <row r="324" spans="1:10" ht="30">
      <c r="A324" s="1"/>
      <c r="B324" s="27">
        <v>90</v>
      </c>
      <c r="C324" s="10" t="s">
        <v>157</v>
      </c>
      <c r="D324" s="26"/>
      <c r="E324" s="27"/>
      <c r="F324" s="7"/>
      <c r="G324" s="7"/>
      <c r="H324" s="7"/>
      <c r="I324" s="12"/>
      <c r="J324" s="31"/>
    </row>
    <row r="325" spans="1:10" ht="15">
      <c r="A325" s="1"/>
      <c r="B325" s="27"/>
      <c r="C325" s="32" t="s">
        <v>37</v>
      </c>
      <c r="D325" s="26"/>
      <c r="E325" s="27" t="s">
        <v>10</v>
      </c>
      <c r="F325" s="7">
        <f>[1]Summary!$H$290</f>
        <v>5.04</v>
      </c>
      <c r="G325" s="7"/>
      <c r="H325" s="7">
        <f>G325+F325</f>
        <v>5.04</v>
      </c>
      <c r="I325" s="12"/>
      <c r="J325" s="31"/>
    </row>
    <row r="326" spans="1:10" ht="15">
      <c r="A326" s="1"/>
      <c r="B326" s="27"/>
      <c r="C326" s="29" t="s">
        <v>7</v>
      </c>
      <c r="D326" s="26" t="s">
        <v>159</v>
      </c>
      <c r="E326" s="27"/>
      <c r="F326" s="30">
        <f>SUM(F324:F325)</f>
        <v>5.04</v>
      </c>
      <c r="G326" s="30">
        <f>SUM(G324:G325)</f>
        <v>0</v>
      </c>
      <c r="H326" s="30">
        <f>SUM(H324:H325)</f>
        <v>5.04</v>
      </c>
      <c r="I326" s="12">
        <v>1350</v>
      </c>
      <c r="J326" s="31">
        <f>I326*H326</f>
        <v>6804</v>
      </c>
    </row>
    <row r="327" spans="1:10" ht="15">
      <c r="A327" s="1"/>
      <c r="B327" s="27">
        <v>93</v>
      </c>
      <c r="C327" s="10" t="s">
        <v>186</v>
      </c>
      <c r="D327" s="26"/>
      <c r="E327" s="27"/>
      <c r="F327" s="7"/>
      <c r="G327" s="7"/>
      <c r="H327" s="7"/>
      <c r="I327" s="12"/>
      <c r="J327" s="31"/>
    </row>
    <row r="328" spans="1:10" ht="15">
      <c r="A328" s="1"/>
      <c r="B328" s="27"/>
      <c r="C328" s="32" t="s">
        <v>36</v>
      </c>
      <c r="D328" s="26"/>
      <c r="E328" s="27" t="s">
        <v>10</v>
      </c>
      <c r="F328" s="7">
        <f>[1]Summary!$H$293</f>
        <v>21.697000000000003</v>
      </c>
      <c r="G328" s="7"/>
      <c r="H328" s="7">
        <f>G328+F328</f>
        <v>21.697000000000003</v>
      </c>
      <c r="I328" s="12"/>
      <c r="J328" s="31"/>
    </row>
    <row r="329" spans="1:10" ht="15">
      <c r="A329" s="1"/>
      <c r="B329" s="27"/>
      <c r="C329" s="29" t="s">
        <v>7</v>
      </c>
      <c r="D329" s="26" t="s">
        <v>55</v>
      </c>
      <c r="E329" s="27"/>
      <c r="F329" s="30">
        <f>SUM(F327:F328)</f>
        <v>21.697000000000003</v>
      </c>
      <c r="G329" s="30">
        <f>SUM(G327:G328)</f>
        <v>0</v>
      </c>
      <c r="H329" s="30">
        <f>SUM(H327:H328)</f>
        <v>21.697000000000003</v>
      </c>
      <c r="I329" s="12">
        <v>35</v>
      </c>
      <c r="J329" s="31">
        <f>I329*H329</f>
        <v>759.3950000000001</v>
      </c>
    </row>
    <row r="330" spans="1:10" ht="15">
      <c r="A330" s="1"/>
      <c r="B330" s="27">
        <v>95</v>
      </c>
      <c r="C330" s="10" t="s">
        <v>170</v>
      </c>
      <c r="D330" s="26"/>
      <c r="E330" s="27"/>
      <c r="F330" s="7"/>
      <c r="G330" s="7"/>
      <c r="H330" s="7"/>
      <c r="I330" s="12"/>
      <c r="J330" s="31"/>
    </row>
    <row r="331" spans="1:10" ht="15">
      <c r="A331" s="1"/>
      <c r="B331" s="27"/>
      <c r="C331" s="32" t="s">
        <v>150</v>
      </c>
      <c r="D331" s="26"/>
      <c r="E331" s="27" t="s">
        <v>11</v>
      </c>
      <c r="F331" s="7">
        <f>[1]Summary!$H$296</f>
        <v>5</v>
      </c>
      <c r="G331" s="7" t="e">
        <f>#REF!</f>
        <v>#REF!</v>
      </c>
      <c r="H331" s="7" t="e">
        <f>G331+F331</f>
        <v>#REF!</v>
      </c>
      <c r="I331" s="12"/>
      <c r="J331" s="31"/>
    </row>
    <row r="332" spans="1:10" ht="15">
      <c r="A332" s="1"/>
      <c r="B332" s="27"/>
      <c r="C332" s="29" t="s">
        <v>7</v>
      </c>
      <c r="D332" s="26" t="s">
        <v>158</v>
      </c>
      <c r="E332" s="27"/>
      <c r="F332" s="30">
        <f>SUM(F330:F331)</f>
        <v>5</v>
      </c>
      <c r="G332" s="30" t="e">
        <f>SUM(G330:G331)</f>
        <v>#REF!</v>
      </c>
      <c r="H332" s="30" t="e">
        <f>SUM(H330:H331)</f>
        <v>#REF!</v>
      </c>
      <c r="I332" s="12">
        <v>300</v>
      </c>
      <c r="J332" s="31" t="e">
        <f>I332*H332</f>
        <v>#REF!</v>
      </c>
    </row>
    <row r="333" spans="1:10" ht="15">
      <c r="A333" s="1"/>
      <c r="B333" s="27">
        <v>96</v>
      </c>
      <c r="C333" s="10" t="s">
        <v>122</v>
      </c>
      <c r="D333" s="26"/>
      <c r="E333" s="27"/>
      <c r="F333" s="7"/>
      <c r="G333" s="7"/>
      <c r="H333" s="7"/>
      <c r="I333" s="12"/>
      <c r="J333" s="31"/>
    </row>
    <row r="334" spans="1:10" ht="15">
      <c r="A334" s="1"/>
      <c r="B334" s="27"/>
      <c r="C334" s="32" t="s">
        <v>36</v>
      </c>
      <c r="D334" s="26"/>
      <c r="E334" s="27" t="s">
        <v>10</v>
      </c>
      <c r="F334" s="7">
        <f>[1]Summary!$H$299</f>
        <v>49.923612499999997</v>
      </c>
      <c r="G334" s="7"/>
      <c r="H334" s="7">
        <f>G334+F334</f>
        <v>49.923612499999997</v>
      </c>
      <c r="I334" s="12"/>
      <c r="J334" s="31"/>
    </row>
    <row r="335" spans="1:10" ht="15">
      <c r="A335" s="1"/>
      <c r="B335" s="27"/>
      <c r="C335" s="32" t="s">
        <v>150</v>
      </c>
      <c r="D335" s="26"/>
      <c r="E335" s="27" t="s">
        <v>10</v>
      </c>
      <c r="F335" s="7">
        <f>[1]Summary!$H$300</f>
        <v>2.6999999999999997</v>
      </c>
      <c r="G335" s="7" t="e">
        <f>#REF!</f>
        <v>#REF!</v>
      </c>
      <c r="H335" s="7" t="e">
        <f>G335+F335</f>
        <v>#REF!</v>
      </c>
      <c r="I335" s="12"/>
      <c r="J335" s="31"/>
    </row>
    <row r="336" spans="1:10" ht="15">
      <c r="A336" s="1"/>
      <c r="B336" s="27"/>
      <c r="C336" s="32" t="s">
        <v>288</v>
      </c>
      <c r="D336" s="26"/>
      <c r="E336" s="27" t="s">
        <v>10</v>
      </c>
      <c r="F336" s="7"/>
      <c r="G336" s="7" t="e">
        <f>#REF!</f>
        <v>#REF!</v>
      </c>
      <c r="H336" s="7" t="e">
        <f>G336+F336</f>
        <v>#REF!</v>
      </c>
      <c r="I336" s="12"/>
      <c r="J336" s="31"/>
    </row>
    <row r="337" spans="1:10" ht="15">
      <c r="A337" s="1"/>
      <c r="B337" s="27"/>
      <c r="C337" s="29" t="s">
        <v>7</v>
      </c>
      <c r="D337" s="26" t="s">
        <v>83</v>
      </c>
      <c r="E337" s="27"/>
      <c r="F337" s="30">
        <f>SUM(F334:F336)</f>
        <v>52.6236125</v>
      </c>
      <c r="G337" s="30" t="e">
        <f>SUM(G334:G336)</f>
        <v>#REF!</v>
      </c>
      <c r="H337" s="30" t="e">
        <f>SUM(H334:H336)</f>
        <v>#REF!</v>
      </c>
      <c r="I337" s="12">
        <v>1300</v>
      </c>
      <c r="J337" s="31" t="e">
        <f>I337*H337</f>
        <v>#REF!</v>
      </c>
    </row>
    <row r="338" spans="1:10" ht="15">
      <c r="A338" s="1"/>
      <c r="B338" s="27">
        <v>97</v>
      </c>
      <c r="C338" s="10" t="s">
        <v>203</v>
      </c>
      <c r="D338" s="26"/>
      <c r="E338" s="27"/>
      <c r="F338" s="30"/>
      <c r="G338" s="30"/>
      <c r="H338" s="30"/>
      <c r="I338" s="12"/>
      <c r="J338" s="31"/>
    </row>
    <row r="339" spans="1:10" ht="15">
      <c r="A339" s="1"/>
      <c r="B339" s="27"/>
      <c r="C339" s="26" t="s">
        <v>37</v>
      </c>
      <c r="D339" s="26"/>
      <c r="E339" s="27"/>
      <c r="F339" s="7">
        <f>[1]Summary!$H$303</f>
        <v>6.65</v>
      </c>
      <c r="G339" s="7"/>
      <c r="H339" s="7">
        <f>G339+F339</f>
        <v>6.65</v>
      </c>
      <c r="I339" s="12"/>
      <c r="J339" s="31"/>
    </row>
    <row r="340" spans="1:10" ht="15">
      <c r="A340" s="1"/>
      <c r="B340" s="27"/>
      <c r="C340" s="29" t="s">
        <v>7</v>
      </c>
      <c r="D340" s="26"/>
      <c r="E340" s="27" t="s">
        <v>89</v>
      </c>
      <c r="F340" s="30">
        <f>SUM(F338:F339)</f>
        <v>6.65</v>
      </c>
      <c r="G340" s="30">
        <f>SUM(G338:G339)</f>
        <v>0</v>
      </c>
      <c r="H340" s="30">
        <f>SUM(H338:H339)</f>
        <v>6.65</v>
      </c>
      <c r="I340" s="12">
        <v>2300</v>
      </c>
      <c r="J340" s="31">
        <f>I340*H340</f>
        <v>15295</v>
      </c>
    </row>
    <row r="341" spans="1:10" ht="15">
      <c r="A341" s="1"/>
      <c r="B341" s="27">
        <v>99</v>
      </c>
      <c r="C341" s="10" t="s">
        <v>234</v>
      </c>
      <c r="D341" s="26"/>
      <c r="E341" s="27"/>
      <c r="F341" s="30"/>
      <c r="G341" s="30"/>
      <c r="H341" s="30"/>
      <c r="I341" s="12"/>
      <c r="J341" s="31"/>
    </row>
    <row r="342" spans="1:10" ht="15">
      <c r="A342" s="1"/>
      <c r="B342" s="27"/>
      <c r="C342" s="26" t="s">
        <v>37</v>
      </c>
      <c r="D342" s="26"/>
      <c r="E342" s="27"/>
      <c r="F342" s="7">
        <f>[1]Summary!$H$306</f>
        <v>14.815999999999999</v>
      </c>
      <c r="G342" s="7" t="e">
        <f>#REF!</f>
        <v>#REF!</v>
      </c>
      <c r="H342" s="7" t="e">
        <f>G342+F342</f>
        <v>#REF!</v>
      </c>
      <c r="I342" s="12"/>
      <c r="J342" s="31"/>
    </row>
    <row r="343" spans="1:10" ht="15">
      <c r="A343" s="1"/>
      <c r="B343" s="27"/>
      <c r="C343" s="26" t="s">
        <v>288</v>
      </c>
      <c r="D343" s="26"/>
      <c r="E343" s="27"/>
      <c r="F343" s="7"/>
      <c r="G343" s="7" t="e">
        <f>#REF!</f>
        <v>#REF!</v>
      </c>
      <c r="H343" s="7" t="e">
        <f>G343+F343</f>
        <v>#REF!</v>
      </c>
      <c r="I343" s="12"/>
      <c r="J343" s="31"/>
    </row>
    <row r="344" spans="1:10" ht="15">
      <c r="A344" s="1"/>
      <c r="B344" s="27"/>
      <c r="C344" s="29" t="s">
        <v>7</v>
      </c>
      <c r="D344" s="26"/>
      <c r="E344" s="27" t="s">
        <v>10</v>
      </c>
      <c r="F344" s="30">
        <f>SUM(F341:F343)</f>
        <v>14.815999999999999</v>
      </c>
      <c r="G344" s="30" t="e">
        <f>SUM(G341:G343)</f>
        <v>#REF!</v>
      </c>
      <c r="H344" s="30" t="e">
        <f>SUM(H341:H343)</f>
        <v>#REF!</v>
      </c>
      <c r="I344" s="12">
        <v>3600</v>
      </c>
      <c r="J344" s="31" t="e">
        <f>I344*H344</f>
        <v>#REF!</v>
      </c>
    </row>
    <row r="345" spans="1:10" ht="30">
      <c r="A345" s="1"/>
      <c r="B345" s="27">
        <v>100</v>
      </c>
      <c r="C345" s="10" t="s">
        <v>245</v>
      </c>
      <c r="D345" s="26"/>
      <c r="E345" s="27"/>
      <c r="F345" s="30"/>
      <c r="G345" s="30"/>
      <c r="H345" s="30"/>
      <c r="I345" s="12"/>
      <c r="J345" s="31"/>
    </row>
    <row r="346" spans="1:10" ht="15">
      <c r="A346" s="1"/>
      <c r="B346" s="27"/>
      <c r="C346" s="26" t="s">
        <v>37</v>
      </c>
      <c r="D346" s="26"/>
      <c r="E346" s="27"/>
      <c r="F346" s="7">
        <f>[1]Summary!$H$309</f>
        <v>4.9757499999999997</v>
      </c>
      <c r="G346" s="7"/>
      <c r="H346" s="7">
        <f>G346+F346</f>
        <v>4.9757499999999997</v>
      </c>
      <c r="I346" s="12"/>
      <c r="J346" s="31"/>
    </row>
    <row r="347" spans="1:10" ht="15">
      <c r="A347" s="1"/>
      <c r="B347" s="27"/>
      <c r="C347" s="29" t="s">
        <v>7</v>
      </c>
      <c r="D347" s="26"/>
      <c r="E347" s="27" t="s">
        <v>10</v>
      </c>
      <c r="F347" s="30">
        <f>SUM(F345:F346)</f>
        <v>4.9757499999999997</v>
      </c>
      <c r="G347" s="30">
        <f>SUM(G345:G346)</f>
        <v>0</v>
      </c>
      <c r="H347" s="30">
        <f>SUM(H345:H346)</f>
        <v>4.9757499999999997</v>
      </c>
      <c r="I347" s="12">
        <v>4100</v>
      </c>
      <c r="J347" s="31">
        <f>I347*H347</f>
        <v>20400.574999999997</v>
      </c>
    </row>
    <row r="348" spans="1:10" ht="15">
      <c r="A348" s="1"/>
      <c r="B348" s="27" t="s">
        <v>292</v>
      </c>
      <c r="C348" s="10" t="s">
        <v>282</v>
      </c>
      <c r="D348" s="26"/>
      <c r="E348" s="27"/>
      <c r="F348" s="30"/>
      <c r="G348" s="30"/>
      <c r="H348" s="30"/>
      <c r="I348" s="12"/>
      <c r="J348" s="31"/>
    </row>
    <row r="349" spans="1:10" ht="15">
      <c r="A349" s="1"/>
      <c r="B349" s="27"/>
      <c r="C349" s="26" t="s">
        <v>175</v>
      </c>
      <c r="D349" s="26"/>
      <c r="E349" s="27"/>
      <c r="F349" s="7"/>
      <c r="G349" s="7" t="e">
        <f>#REF!</f>
        <v>#REF!</v>
      </c>
      <c r="H349" s="7" t="e">
        <f>G349+F349</f>
        <v>#REF!</v>
      </c>
      <c r="I349" s="12"/>
      <c r="J349" s="31"/>
    </row>
    <row r="350" spans="1:10" ht="15">
      <c r="A350" s="1"/>
      <c r="B350" s="27"/>
      <c r="C350" s="29" t="s">
        <v>7</v>
      </c>
      <c r="D350" s="26"/>
      <c r="E350" s="27" t="s">
        <v>89</v>
      </c>
      <c r="F350" s="30">
        <f>SUM(F348:F349)</f>
        <v>0</v>
      </c>
      <c r="G350" s="30" t="e">
        <f>SUM(G348:G349)</f>
        <v>#REF!</v>
      </c>
      <c r="H350" s="30" t="e">
        <f>SUM(H348:H349)</f>
        <v>#REF!</v>
      </c>
      <c r="I350" s="12">
        <v>600</v>
      </c>
      <c r="J350" s="31" t="e">
        <f>I350*H350</f>
        <v>#REF!</v>
      </c>
    </row>
    <row r="351" spans="1:10" ht="15">
      <c r="A351" s="1"/>
      <c r="B351" s="27" t="s">
        <v>293</v>
      </c>
      <c r="C351" s="10" t="s">
        <v>283</v>
      </c>
      <c r="D351" s="26"/>
      <c r="E351" s="27"/>
      <c r="F351" s="30"/>
      <c r="G351" s="30"/>
      <c r="H351" s="30"/>
      <c r="I351" s="12"/>
      <c r="J351" s="31"/>
    </row>
    <row r="352" spans="1:10" ht="15">
      <c r="A352" s="1"/>
      <c r="B352" s="27"/>
      <c r="C352" s="26" t="s">
        <v>175</v>
      </c>
      <c r="D352" s="26"/>
      <c r="E352" s="27"/>
      <c r="F352" s="7"/>
      <c r="G352" s="7" t="e">
        <f>#REF!</f>
        <v>#REF!</v>
      </c>
      <c r="H352" s="7" t="e">
        <f>G352+F352</f>
        <v>#REF!</v>
      </c>
      <c r="I352" s="12"/>
      <c r="J352" s="31"/>
    </row>
    <row r="353" spans="1:10" ht="15">
      <c r="A353" s="1"/>
      <c r="B353" s="27"/>
      <c r="C353" s="29" t="s">
        <v>7</v>
      </c>
      <c r="D353" s="26"/>
      <c r="E353" s="27" t="s">
        <v>89</v>
      </c>
      <c r="F353" s="30">
        <f>SUM(F351:F352)</f>
        <v>0</v>
      </c>
      <c r="G353" s="30" t="e">
        <f>SUM(G351:G352)</f>
        <v>#REF!</v>
      </c>
      <c r="H353" s="30" t="e">
        <f>SUM(H351:H352)</f>
        <v>#REF!</v>
      </c>
      <c r="I353" s="12">
        <v>900</v>
      </c>
      <c r="J353" s="31" t="e">
        <f>I353*H353</f>
        <v>#REF!</v>
      </c>
    </row>
    <row r="354" spans="1:10" ht="15">
      <c r="A354" s="1">
        <v>13</v>
      </c>
      <c r="B354" s="27" t="s">
        <v>123</v>
      </c>
      <c r="C354" s="29" t="s">
        <v>124</v>
      </c>
      <c r="D354" s="26"/>
      <c r="E354" s="27"/>
      <c r="F354" s="30"/>
      <c r="G354" s="30"/>
      <c r="H354" s="30"/>
      <c r="I354" s="12"/>
      <c r="J354" s="31"/>
    </row>
    <row r="355" spans="1:10" ht="15">
      <c r="A355" s="1"/>
      <c r="B355" s="27" t="s">
        <v>221</v>
      </c>
      <c r="C355" s="43" t="s">
        <v>201</v>
      </c>
      <c r="D355" s="26"/>
      <c r="E355" s="27"/>
      <c r="F355" s="30"/>
      <c r="G355" s="30"/>
      <c r="H355" s="30"/>
      <c r="I355" s="12"/>
      <c r="J355" s="31"/>
    </row>
    <row r="356" spans="1:10" ht="15">
      <c r="A356" s="1"/>
      <c r="B356" s="27"/>
      <c r="C356" s="26" t="s">
        <v>182</v>
      </c>
      <c r="D356" s="26"/>
      <c r="E356" s="27"/>
      <c r="F356" s="7">
        <v>166.5</v>
      </c>
      <c r="G356" s="7" t="e">
        <f>#REF!</f>
        <v>#REF!</v>
      </c>
      <c r="H356" s="7" t="e">
        <f>G356+F356</f>
        <v>#REF!</v>
      </c>
      <c r="I356" s="12"/>
      <c r="J356" s="31"/>
    </row>
    <row r="357" spans="1:10" ht="15">
      <c r="A357" s="1"/>
      <c r="B357" s="27"/>
      <c r="C357" s="29" t="s">
        <v>7</v>
      </c>
      <c r="D357" s="26"/>
      <c r="E357" s="27" t="s">
        <v>89</v>
      </c>
      <c r="F357" s="30">
        <f>SUM(F355:F356)</f>
        <v>166.5</v>
      </c>
      <c r="G357" s="30" t="e">
        <f>SUM(G355:G356)</f>
        <v>#REF!</v>
      </c>
      <c r="H357" s="30" t="e">
        <f>SUM(H355:H356)</f>
        <v>#REF!</v>
      </c>
      <c r="I357" s="12">
        <v>540</v>
      </c>
      <c r="J357" s="31" t="e">
        <f>I357*H357</f>
        <v>#REF!</v>
      </c>
    </row>
    <row r="358" spans="1:10" ht="15">
      <c r="A358" s="1"/>
      <c r="B358" s="27" t="s">
        <v>222</v>
      </c>
      <c r="C358" s="43" t="s">
        <v>223</v>
      </c>
      <c r="D358" s="26"/>
      <c r="E358" s="27"/>
      <c r="F358" s="30"/>
      <c r="G358" s="30"/>
      <c r="H358" s="30"/>
      <c r="I358" s="12"/>
      <c r="J358" s="31"/>
    </row>
    <row r="359" spans="1:10" ht="15">
      <c r="A359" s="1"/>
      <c r="B359" s="27"/>
      <c r="C359" s="26" t="s">
        <v>182</v>
      </c>
      <c r="D359" s="26"/>
      <c r="E359" s="27"/>
      <c r="F359" s="7">
        <v>166.5</v>
      </c>
      <c r="G359" s="7" t="e">
        <f>#REF!</f>
        <v>#REF!</v>
      </c>
      <c r="H359" s="7" t="e">
        <f>G359+F359</f>
        <v>#REF!</v>
      </c>
      <c r="I359" s="12"/>
      <c r="J359" s="31"/>
    </row>
    <row r="360" spans="1:10" ht="15">
      <c r="A360" s="1"/>
      <c r="B360" s="27"/>
      <c r="C360" s="29" t="s">
        <v>7</v>
      </c>
      <c r="D360" s="26"/>
      <c r="E360" s="27" t="s">
        <v>89</v>
      </c>
      <c r="F360" s="30">
        <f>SUM(F358:F359)</f>
        <v>166.5</v>
      </c>
      <c r="G360" s="30" t="e">
        <f>SUM(G358:G359)</f>
        <v>#REF!</v>
      </c>
      <c r="H360" s="30" t="e">
        <f>SUM(H358:H359)</f>
        <v>#REF!</v>
      </c>
      <c r="I360" s="12">
        <v>340</v>
      </c>
      <c r="J360" s="31" t="e">
        <f>I360*H360</f>
        <v>#REF!</v>
      </c>
    </row>
    <row r="361" spans="1:10" ht="15">
      <c r="A361" s="1"/>
      <c r="B361" s="27" t="s">
        <v>179</v>
      </c>
      <c r="C361" s="8" t="s">
        <v>177</v>
      </c>
      <c r="D361" s="6"/>
      <c r="E361" s="27"/>
      <c r="F361" s="7"/>
      <c r="G361" s="7"/>
      <c r="H361" s="7"/>
      <c r="I361" s="9"/>
      <c r="J361" s="28"/>
    </row>
    <row r="362" spans="1:10" ht="15">
      <c r="A362" s="1"/>
      <c r="B362" s="27"/>
      <c r="C362" s="26" t="s">
        <v>175</v>
      </c>
      <c r="D362" s="26"/>
      <c r="E362" s="27" t="s">
        <v>89</v>
      </c>
      <c r="F362" s="7">
        <f>[1]Summary!$H$321</f>
        <v>182</v>
      </c>
      <c r="G362" s="7" t="e">
        <f>#REF!</f>
        <v>#REF!</v>
      </c>
      <c r="H362" s="7" t="e">
        <f>G362+F362</f>
        <v>#REF!</v>
      </c>
      <c r="I362" s="9"/>
      <c r="J362" s="28"/>
    </row>
    <row r="363" spans="1:10" ht="15">
      <c r="A363" s="1"/>
      <c r="B363" s="27"/>
      <c r="C363" s="29" t="s">
        <v>7</v>
      </c>
      <c r="D363" s="26" t="s">
        <v>184</v>
      </c>
      <c r="E363" s="27"/>
      <c r="F363" s="30">
        <f>SUM(F362:F362)</f>
        <v>182</v>
      </c>
      <c r="G363" s="30" t="e">
        <f>SUM(G362:G362)</f>
        <v>#REF!</v>
      </c>
      <c r="H363" s="30" t="e">
        <f>SUM(H362:H362)</f>
        <v>#REF!</v>
      </c>
      <c r="I363" s="12">
        <v>310</v>
      </c>
      <c r="J363" s="31" t="e">
        <f>I363*H363</f>
        <v>#REF!</v>
      </c>
    </row>
    <row r="364" spans="1:10" ht="15">
      <c r="A364" s="1"/>
      <c r="B364" s="27" t="s">
        <v>217</v>
      </c>
      <c r="C364" s="8" t="s">
        <v>228</v>
      </c>
      <c r="D364" s="6"/>
      <c r="E364" s="27"/>
      <c r="F364" s="7"/>
      <c r="G364" s="7"/>
      <c r="H364" s="7"/>
      <c r="I364" s="9"/>
      <c r="J364" s="28"/>
    </row>
    <row r="365" spans="1:10" ht="15">
      <c r="A365" s="1"/>
      <c r="B365" s="27"/>
      <c r="C365" s="26" t="s">
        <v>37</v>
      </c>
      <c r="D365" s="26"/>
      <c r="E365" s="27" t="s">
        <v>89</v>
      </c>
      <c r="F365" s="7">
        <f>[1]Summary!$H$324</f>
        <v>16.45</v>
      </c>
      <c r="G365" s="7" t="e">
        <f>#REF!</f>
        <v>#REF!</v>
      </c>
      <c r="H365" s="7" t="e">
        <f>G365+F365</f>
        <v>#REF!</v>
      </c>
      <c r="I365" s="9"/>
      <c r="J365" s="28"/>
    </row>
    <row r="366" spans="1:10" ht="15">
      <c r="A366" s="1"/>
      <c r="B366" s="27"/>
      <c r="C366" s="26" t="s">
        <v>288</v>
      </c>
      <c r="D366" s="26"/>
      <c r="E366" s="27" t="s">
        <v>89</v>
      </c>
      <c r="F366" s="7"/>
      <c r="G366" s="7" t="e">
        <f>#REF!</f>
        <v>#REF!</v>
      </c>
      <c r="H366" s="7" t="e">
        <f>G366+F366</f>
        <v>#REF!</v>
      </c>
      <c r="I366" s="9"/>
      <c r="J366" s="28"/>
    </row>
    <row r="367" spans="1:10" ht="15">
      <c r="A367" s="1"/>
      <c r="B367" s="27"/>
      <c r="C367" s="29" t="s">
        <v>7</v>
      </c>
      <c r="D367" s="26"/>
      <c r="E367" s="27"/>
      <c r="F367" s="30">
        <f>SUM(F365:F366)</f>
        <v>16.45</v>
      </c>
      <c r="G367" s="30" t="e">
        <f>SUM(G365:G366)</f>
        <v>#REF!</v>
      </c>
      <c r="H367" s="30" t="e">
        <f>SUM(H365:H366)</f>
        <v>#REF!</v>
      </c>
      <c r="I367" s="12">
        <v>210</v>
      </c>
      <c r="J367" s="31" t="e">
        <f>I367*H367</f>
        <v>#REF!</v>
      </c>
    </row>
    <row r="368" spans="1:10" ht="15">
      <c r="A368" s="1"/>
      <c r="B368" s="27" t="s">
        <v>180</v>
      </c>
      <c r="C368" s="8" t="s">
        <v>183</v>
      </c>
      <c r="D368" s="6"/>
      <c r="E368" s="27"/>
      <c r="F368" s="7"/>
      <c r="G368" s="7"/>
      <c r="H368" s="7"/>
      <c r="I368" s="9"/>
      <c r="J368" s="28"/>
    </row>
    <row r="369" spans="1:10" ht="15">
      <c r="A369" s="1"/>
      <c r="B369" s="27"/>
      <c r="C369" s="26" t="s">
        <v>175</v>
      </c>
      <c r="D369" s="26"/>
      <c r="E369" s="27" t="s">
        <v>89</v>
      </c>
      <c r="F369" s="7">
        <f>[1]Summary!$H$327</f>
        <v>182</v>
      </c>
      <c r="G369" s="7" t="e">
        <f>#REF!</f>
        <v>#REF!</v>
      </c>
      <c r="H369" s="7" t="e">
        <f>G369+F369</f>
        <v>#REF!</v>
      </c>
      <c r="I369" s="9"/>
      <c r="J369" s="28"/>
    </row>
    <row r="370" spans="1:10" ht="15">
      <c r="A370" s="1"/>
      <c r="B370" s="27"/>
      <c r="C370" s="29" t="s">
        <v>7</v>
      </c>
      <c r="D370" s="26" t="s">
        <v>184</v>
      </c>
      <c r="E370" s="27"/>
      <c r="F370" s="30">
        <f>SUM(F369:F369)</f>
        <v>182</v>
      </c>
      <c r="G370" s="30" t="e">
        <f>SUM(G369:G369)</f>
        <v>#REF!</v>
      </c>
      <c r="H370" s="30" t="e">
        <f>SUM(H369:H369)</f>
        <v>#REF!</v>
      </c>
      <c r="I370" s="12">
        <v>250</v>
      </c>
      <c r="J370" s="31" t="e">
        <f>I370*H370</f>
        <v>#REF!</v>
      </c>
    </row>
    <row r="371" spans="1:10" ht="15">
      <c r="A371" s="1"/>
      <c r="B371" s="27" t="s">
        <v>224</v>
      </c>
      <c r="C371" s="8" t="s">
        <v>125</v>
      </c>
      <c r="D371" s="6"/>
      <c r="E371" s="27"/>
      <c r="F371" s="7"/>
      <c r="G371" s="7"/>
      <c r="H371" s="7"/>
      <c r="I371" s="9"/>
      <c r="J371" s="28"/>
    </row>
    <row r="372" spans="1:10" ht="15">
      <c r="A372" s="1"/>
      <c r="B372" s="27"/>
      <c r="C372" s="26" t="s">
        <v>37</v>
      </c>
      <c r="D372" s="26"/>
      <c r="E372" s="27" t="s">
        <v>11</v>
      </c>
      <c r="F372" s="7">
        <v>2</v>
      </c>
      <c r="G372" s="7"/>
      <c r="H372" s="7">
        <f>G372+F372</f>
        <v>2</v>
      </c>
      <c r="I372" s="9"/>
      <c r="J372" s="28"/>
    </row>
    <row r="373" spans="1:10" ht="15">
      <c r="A373" s="1"/>
      <c r="B373" s="27"/>
      <c r="C373" s="26" t="s">
        <v>182</v>
      </c>
      <c r="D373" s="26"/>
      <c r="E373" s="27" t="s">
        <v>11</v>
      </c>
      <c r="F373" s="7">
        <v>18</v>
      </c>
      <c r="G373" s="7" t="e">
        <f>#REF!</f>
        <v>#REF!</v>
      </c>
      <c r="H373" s="7" t="e">
        <f>G373+F373</f>
        <v>#REF!</v>
      </c>
      <c r="I373" s="9"/>
      <c r="J373" s="28"/>
    </row>
    <row r="374" spans="1:10" ht="15">
      <c r="A374" s="1"/>
      <c r="B374" s="27"/>
      <c r="C374" s="29" t="s">
        <v>7</v>
      </c>
      <c r="D374" s="26" t="s">
        <v>45</v>
      </c>
      <c r="E374" s="27"/>
      <c r="F374" s="30">
        <f>SUM(F372:F373)</f>
        <v>20</v>
      </c>
      <c r="G374" s="30" t="e">
        <f>SUM(G372:G373)</f>
        <v>#REF!</v>
      </c>
      <c r="H374" s="30" t="e">
        <f>SUM(H372:H373)</f>
        <v>#REF!</v>
      </c>
      <c r="I374" s="12">
        <v>8000</v>
      </c>
      <c r="J374" s="31" t="e">
        <f>I374*H374</f>
        <v>#REF!</v>
      </c>
    </row>
    <row r="375" spans="1:10" ht="15">
      <c r="A375" s="1"/>
      <c r="B375" s="27" t="s">
        <v>229</v>
      </c>
      <c r="C375" s="8" t="s">
        <v>126</v>
      </c>
      <c r="D375" s="6"/>
      <c r="E375" s="27"/>
      <c r="F375" s="7"/>
      <c r="G375" s="7"/>
      <c r="H375" s="7"/>
      <c r="I375" s="9"/>
      <c r="J375" s="28"/>
    </row>
    <row r="376" spans="1:10" ht="15">
      <c r="A376" s="1"/>
      <c r="B376" s="27"/>
      <c r="C376" s="26" t="s">
        <v>36</v>
      </c>
      <c r="D376" s="26"/>
      <c r="E376" s="27" t="s">
        <v>11</v>
      </c>
      <c r="F376" s="7">
        <f>[1]Summary!$H$334</f>
        <v>2</v>
      </c>
      <c r="G376" s="7"/>
      <c r="H376" s="7">
        <f>G376+F376</f>
        <v>2</v>
      </c>
      <c r="I376" s="9"/>
      <c r="J376" s="28"/>
    </row>
    <row r="377" spans="1:10" ht="15">
      <c r="A377" s="1"/>
      <c r="B377" s="27"/>
      <c r="C377" s="26" t="s">
        <v>37</v>
      </c>
      <c r="D377" s="26"/>
      <c r="E377" s="27" t="s">
        <v>11</v>
      </c>
      <c r="F377" s="7">
        <f>[1]Summary!$H$335</f>
        <v>1</v>
      </c>
      <c r="G377" s="7"/>
      <c r="H377" s="7">
        <f>G377+F377</f>
        <v>1</v>
      </c>
      <c r="I377" s="9"/>
      <c r="J377" s="28"/>
    </row>
    <row r="378" spans="1:10" ht="15">
      <c r="A378" s="1"/>
      <c r="B378" s="27"/>
      <c r="C378" s="29" t="s">
        <v>7</v>
      </c>
      <c r="D378" s="26" t="s">
        <v>127</v>
      </c>
      <c r="E378" s="27"/>
      <c r="F378" s="30">
        <f>SUM(F376:F377)</f>
        <v>3</v>
      </c>
      <c r="G378" s="30">
        <f>SUM(G376:G377)</f>
        <v>0</v>
      </c>
      <c r="H378" s="30">
        <f>SUM(H376:H377)</f>
        <v>3</v>
      </c>
      <c r="I378" s="12">
        <v>6000</v>
      </c>
      <c r="J378" s="31">
        <f>I378*H378</f>
        <v>18000</v>
      </c>
    </row>
    <row r="379" spans="1:10" ht="15">
      <c r="A379" s="1"/>
      <c r="B379" s="27" t="s">
        <v>225</v>
      </c>
      <c r="C379" s="10" t="s">
        <v>202</v>
      </c>
      <c r="D379" s="6"/>
      <c r="E379" s="27"/>
      <c r="F379" s="7"/>
      <c r="G379" s="7"/>
      <c r="H379" s="7"/>
      <c r="I379" s="9"/>
      <c r="J379" s="28"/>
    </row>
    <row r="380" spans="1:10" ht="15">
      <c r="A380" s="1"/>
      <c r="B380" s="27"/>
      <c r="C380" s="26" t="s">
        <v>175</v>
      </c>
      <c r="D380" s="26"/>
      <c r="E380" s="27" t="s">
        <v>11</v>
      </c>
      <c r="F380" s="7">
        <f>[1]Summary!$H$338</f>
        <v>2</v>
      </c>
      <c r="G380" s="7" t="e">
        <f>#REF!</f>
        <v>#REF!</v>
      </c>
      <c r="H380" s="7" t="e">
        <f>G380+F380</f>
        <v>#REF!</v>
      </c>
      <c r="I380" s="9"/>
      <c r="J380" s="28"/>
    </row>
    <row r="381" spans="1:10" ht="15">
      <c r="A381" s="1"/>
      <c r="B381" s="27"/>
      <c r="C381" s="29" t="s">
        <v>7</v>
      </c>
      <c r="D381" s="26"/>
      <c r="E381" s="27"/>
      <c r="F381" s="30">
        <f>SUM(F380:F380)</f>
        <v>2</v>
      </c>
      <c r="G381" s="30" t="e">
        <f>SUM(G380:G380)</f>
        <v>#REF!</v>
      </c>
      <c r="H381" s="30" t="e">
        <f>SUM(H380:H380)</f>
        <v>#REF!</v>
      </c>
      <c r="I381" s="12">
        <v>10000</v>
      </c>
      <c r="J381" s="31" t="e">
        <f>I381*H381</f>
        <v>#REF!</v>
      </c>
    </row>
    <row r="382" spans="1:10" ht="15">
      <c r="A382" s="1"/>
      <c r="B382" s="27">
        <v>111</v>
      </c>
      <c r="C382" s="10" t="s">
        <v>271</v>
      </c>
      <c r="D382" s="6"/>
      <c r="E382" s="27"/>
      <c r="F382" s="7"/>
      <c r="G382" s="7"/>
      <c r="H382" s="7"/>
      <c r="I382" s="9"/>
      <c r="J382" s="28"/>
    </row>
    <row r="383" spans="1:10" ht="15">
      <c r="A383" s="1"/>
      <c r="B383" s="27"/>
      <c r="C383" s="26" t="s">
        <v>288</v>
      </c>
      <c r="D383" s="26"/>
      <c r="E383" s="27" t="s">
        <v>11</v>
      </c>
      <c r="F383" s="7"/>
      <c r="G383" s="7" t="e">
        <f>#REF!</f>
        <v>#REF!</v>
      </c>
      <c r="H383" s="7" t="e">
        <f>G383+F383</f>
        <v>#REF!</v>
      </c>
      <c r="I383" s="9"/>
      <c r="J383" s="28"/>
    </row>
    <row r="384" spans="1:10" ht="15">
      <c r="A384" s="1"/>
      <c r="B384" s="27"/>
      <c r="C384" s="29" t="s">
        <v>7</v>
      </c>
      <c r="D384" s="26"/>
      <c r="E384" s="27"/>
      <c r="F384" s="30">
        <f>SUM(F383:F383)</f>
        <v>0</v>
      </c>
      <c r="G384" s="30" t="e">
        <f>SUM(G383:G383)</f>
        <v>#REF!</v>
      </c>
      <c r="H384" s="30" t="e">
        <f>SUM(H383:H383)</f>
        <v>#REF!</v>
      </c>
      <c r="I384" s="12">
        <v>3700</v>
      </c>
      <c r="J384" s="31" t="e">
        <f>I384*H384</f>
        <v>#REF!</v>
      </c>
    </row>
    <row r="385" spans="1:10" ht="15">
      <c r="A385" s="1"/>
      <c r="B385" s="27">
        <v>119</v>
      </c>
      <c r="C385" s="10" t="s">
        <v>289</v>
      </c>
      <c r="D385" s="6"/>
      <c r="E385" s="27"/>
      <c r="F385" s="7"/>
      <c r="G385" s="7"/>
      <c r="H385" s="7"/>
      <c r="I385" s="9"/>
      <c r="J385" s="28"/>
    </row>
    <row r="386" spans="1:10" ht="15">
      <c r="A386" s="1"/>
      <c r="B386" s="27"/>
      <c r="C386" s="26" t="s">
        <v>288</v>
      </c>
      <c r="D386" s="26"/>
      <c r="E386" s="27" t="s">
        <v>11</v>
      </c>
      <c r="F386" s="7"/>
      <c r="G386" s="7" t="e">
        <f>#REF!</f>
        <v>#REF!</v>
      </c>
      <c r="H386" s="7" t="e">
        <f>G386+F386</f>
        <v>#REF!</v>
      </c>
      <c r="I386" s="9"/>
      <c r="J386" s="28"/>
    </row>
    <row r="387" spans="1:10" ht="15">
      <c r="A387" s="1"/>
      <c r="B387" s="27"/>
      <c r="C387" s="29" t="s">
        <v>7</v>
      </c>
      <c r="D387" s="26"/>
      <c r="E387" s="27"/>
      <c r="F387" s="30">
        <f>SUM(F386:F386)</f>
        <v>0</v>
      </c>
      <c r="G387" s="30" t="e">
        <f>SUM(G386:G386)</f>
        <v>#REF!</v>
      </c>
      <c r="H387" s="30" t="e">
        <f>SUM(H386:H386)</f>
        <v>#REF!</v>
      </c>
      <c r="I387" s="12">
        <v>2750</v>
      </c>
      <c r="J387" s="31" t="e">
        <f>I387*H387</f>
        <v>#REF!</v>
      </c>
    </row>
    <row r="388" spans="1:10" ht="15">
      <c r="A388" s="1"/>
      <c r="B388" s="27">
        <v>124</v>
      </c>
      <c r="C388" s="10" t="s">
        <v>207</v>
      </c>
      <c r="D388" s="6"/>
      <c r="E388" s="27"/>
      <c r="F388" s="7"/>
      <c r="G388" s="7"/>
      <c r="H388" s="7"/>
      <c r="I388" s="9"/>
      <c r="J388" s="28"/>
    </row>
    <row r="389" spans="1:10" ht="15">
      <c r="A389" s="1"/>
      <c r="B389" s="27"/>
      <c r="C389" s="26" t="s">
        <v>37</v>
      </c>
      <c r="D389" s="26"/>
      <c r="E389" s="27" t="s">
        <v>11</v>
      </c>
      <c r="F389" s="7">
        <f>[1]Summary!$H$341</f>
        <v>10</v>
      </c>
      <c r="G389" s="7" t="e">
        <f>#REF!</f>
        <v>#REF!</v>
      </c>
      <c r="H389" s="7" t="e">
        <f>G389+F389</f>
        <v>#REF!</v>
      </c>
      <c r="I389" s="9"/>
      <c r="J389" s="28"/>
    </row>
    <row r="390" spans="1:10" ht="15">
      <c r="A390" s="1"/>
      <c r="B390" s="27"/>
      <c r="C390" s="26" t="s">
        <v>288</v>
      </c>
      <c r="D390" s="26"/>
      <c r="E390" s="27" t="s">
        <v>11</v>
      </c>
      <c r="F390" s="7"/>
      <c r="G390" s="7" t="e">
        <f>#REF!</f>
        <v>#REF!</v>
      </c>
      <c r="H390" s="7" t="e">
        <f>G390+F390</f>
        <v>#REF!</v>
      </c>
      <c r="I390" s="9"/>
      <c r="J390" s="28"/>
    </row>
    <row r="391" spans="1:10" ht="15">
      <c r="A391" s="1"/>
      <c r="B391" s="27"/>
      <c r="C391" s="29" t="s">
        <v>7</v>
      </c>
      <c r="D391" s="26"/>
      <c r="E391" s="27"/>
      <c r="F391" s="30">
        <f>SUM(F389:F390)</f>
        <v>10</v>
      </c>
      <c r="G391" s="30" t="e">
        <f>SUM(G389:G390)</f>
        <v>#REF!</v>
      </c>
      <c r="H391" s="30" t="e">
        <f>SUM(H389:H390)</f>
        <v>#REF!</v>
      </c>
      <c r="I391" s="12">
        <v>500</v>
      </c>
      <c r="J391" s="31" t="e">
        <f>I391*H391</f>
        <v>#REF!</v>
      </c>
    </row>
    <row r="392" spans="1:10" ht="15">
      <c r="A392" s="1"/>
      <c r="B392" s="27">
        <v>125</v>
      </c>
      <c r="C392" s="10" t="s">
        <v>287</v>
      </c>
      <c r="D392" s="6"/>
      <c r="E392" s="27"/>
      <c r="F392" s="7"/>
      <c r="G392" s="7"/>
      <c r="H392" s="7"/>
      <c r="I392" s="9"/>
      <c r="J392" s="28"/>
    </row>
    <row r="393" spans="1:10" ht="15">
      <c r="A393" s="1"/>
      <c r="B393" s="27"/>
      <c r="C393" s="26" t="s">
        <v>288</v>
      </c>
      <c r="D393" s="26"/>
      <c r="E393" s="27" t="s">
        <v>11</v>
      </c>
      <c r="F393" s="7"/>
      <c r="G393" s="7" t="e">
        <f>#REF!</f>
        <v>#REF!</v>
      </c>
      <c r="H393" s="7" t="e">
        <f>G393+F393</f>
        <v>#REF!</v>
      </c>
      <c r="I393" s="9"/>
      <c r="J393" s="28"/>
    </row>
    <row r="394" spans="1:10" ht="15">
      <c r="A394" s="1"/>
      <c r="B394" s="27"/>
      <c r="C394" s="29" t="s">
        <v>7</v>
      </c>
      <c r="D394" s="26"/>
      <c r="E394" s="27"/>
      <c r="F394" s="30">
        <f>SUM(F393:F393)</f>
        <v>0</v>
      </c>
      <c r="G394" s="30" t="e">
        <f>SUM(G393:G393)</f>
        <v>#REF!</v>
      </c>
      <c r="H394" s="30" t="e">
        <f>SUM(H393:H393)</f>
        <v>#REF!</v>
      </c>
      <c r="I394" s="12">
        <v>2300</v>
      </c>
      <c r="J394" s="31" t="e">
        <f>I394*H394</f>
        <v>#REF!</v>
      </c>
    </row>
    <row r="395" spans="1:10" ht="15">
      <c r="A395" s="1"/>
      <c r="B395" s="27">
        <v>126</v>
      </c>
      <c r="C395" s="10" t="s">
        <v>286</v>
      </c>
      <c r="D395" s="6"/>
      <c r="E395" s="27"/>
      <c r="F395" s="7"/>
      <c r="G395" s="7"/>
      <c r="H395" s="7"/>
      <c r="I395" s="9"/>
      <c r="J395" s="28"/>
    </row>
    <row r="396" spans="1:10" ht="15">
      <c r="A396" s="1"/>
      <c r="B396" s="27"/>
      <c r="C396" s="26" t="s">
        <v>37</v>
      </c>
      <c r="D396" s="26"/>
      <c r="E396" s="27" t="s">
        <v>11</v>
      </c>
      <c r="F396" s="7"/>
      <c r="G396" s="7" t="e">
        <f>#REF!</f>
        <v>#REF!</v>
      </c>
      <c r="H396" s="7" t="e">
        <f>G396+F396</f>
        <v>#REF!</v>
      </c>
      <c r="I396" s="9"/>
      <c r="J396" s="28"/>
    </row>
    <row r="397" spans="1:10" ht="15">
      <c r="A397" s="1"/>
      <c r="B397" s="27"/>
      <c r="C397" s="26" t="s">
        <v>288</v>
      </c>
      <c r="D397" s="26"/>
      <c r="E397" s="27" t="s">
        <v>11</v>
      </c>
      <c r="F397" s="7"/>
      <c r="G397" s="7" t="e">
        <f>#REF!</f>
        <v>#REF!</v>
      </c>
      <c r="H397" s="7" t="e">
        <f>G397+F397</f>
        <v>#REF!</v>
      </c>
      <c r="I397" s="9"/>
      <c r="J397" s="28"/>
    </row>
    <row r="398" spans="1:10" ht="15">
      <c r="A398" s="1"/>
      <c r="B398" s="27"/>
      <c r="C398" s="29" t="s">
        <v>7</v>
      </c>
      <c r="D398" s="26"/>
      <c r="E398" s="27"/>
      <c r="F398" s="30">
        <f>SUM(F396:F397)</f>
        <v>0</v>
      </c>
      <c r="G398" s="30" t="e">
        <f>SUM(G396:G397)</f>
        <v>#REF!</v>
      </c>
      <c r="H398" s="30" t="e">
        <f>SUM(H396:H397)</f>
        <v>#REF!</v>
      </c>
      <c r="I398" s="12">
        <v>140</v>
      </c>
      <c r="J398" s="31" t="e">
        <f>I398*H398</f>
        <v>#REF!</v>
      </c>
    </row>
    <row r="399" spans="1:10" ht="15">
      <c r="A399" s="1"/>
      <c r="B399" s="27" t="s">
        <v>218</v>
      </c>
      <c r="C399" s="10" t="s">
        <v>204</v>
      </c>
      <c r="D399" s="6"/>
      <c r="E399" s="27"/>
      <c r="F399" s="7"/>
      <c r="G399" s="7"/>
      <c r="H399" s="7"/>
      <c r="I399" s="9"/>
      <c r="J399" s="28"/>
    </row>
    <row r="400" spans="1:10" ht="15">
      <c r="A400" s="1"/>
      <c r="B400" s="27"/>
      <c r="C400" s="26" t="s">
        <v>37</v>
      </c>
      <c r="D400" s="26"/>
      <c r="E400" s="27" t="s">
        <v>89</v>
      </c>
      <c r="F400" s="7">
        <f>[1]Summary!$H$344</f>
        <v>20.25</v>
      </c>
      <c r="G400" s="7"/>
      <c r="H400" s="7">
        <f>G400+F400</f>
        <v>20.25</v>
      </c>
      <c r="I400" s="9"/>
      <c r="J400" s="28"/>
    </row>
    <row r="401" spans="1:10" ht="15">
      <c r="A401" s="1"/>
      <c r="B401" s="27"/>
      <c r="C401" s="26" t="s">
        <v>288</v>
      </c>
      <c r="D401" s="26"/>
      <c r="E401" s="27" t="s">
        <v>89</v>
      </c>
      <c r="F401" s="7"/>
      <c r="G401" s="7" t="e">
        <f>#REF!</f>
        <v>#REF!</v>
      </c>
      <c r="H401" s="7" t="e">
        <f>G401+F401</f>
        <v>#REF!</v>
      </c>
      <c r="I401" s="9"/>
      <c r="J401" s="28"/>
    </row>
    <row r="402" spans="1:10" ht="15">
      <c r="A402" s="1"/>
      <c r="B402" s="27"/>
      <c r="C402" s="29" t="s">
        <v>7</v>
      </c>
      <c r="D402" s="26"/>
      <c r="E402" s="27"/>
      <c r="F402" s="30">
        <f>SUM(F400:F401)</f>
        <v>20.25</v>
      </c>
      <c r="G402" s="30" t="e">
        <f>SUM(G400:G401)</f>
        <v>#REF!</v>
      </c>
      <c r="H402" s="30" t="e">
        <f>SUM(H400:H401)</f>
        <v>#REF!</v>
      </c>
      <c r="I402" s="12">
        <v>190</v>
      </c>
      <c r="J402" s="31" t="e">
        <f>I402*H402</f>
        <v>#REF!</v>
      </c>
    </row>
    <row r="403" spans="1:10" ht="15">
      <c r="A403" s="1"/>
      <c r="B403" s="27" t="s">
        <v>219</v>
      </c>
      <c r="C403" s="10" t="s">
        <v>205</v>
      </c>
      <c r="D403" s="6"/>
      <c r="E403" s="27"/>
      <c r="F403" s="7"/>
      <c r="G403" s="7"/>
      <c r="H403" s="7"/>
      <c r="I403" s="9"/>
      <c r="J403" s="28"/>
    </row>
    <row r="404" spans="1:10" ht="15">
      <c r="A404" s="1"/>
      <c r="B404" s="27"/>
      <c r="C404" s="26" t="s">
        <v>37</v>
      </c>
      <c r="D404" s="26"/>
      <c r="E404" s="27" t="s">
        <v>89</v>
      </c>
      <c r="F404" s="7">
        <f>[1]Summary!$H$347</f>
        <v>43.4</v>
      </c>
      <c r="G404" s="7" t="e">
        <f>#REF!</f>
        <v>#REF!</v>
      </c>
      <c r="H404" s="7" t="e">
        <f>G404+F404</f>
        <v>#REF!</v>
      </c>
      <c r="I404" s="9"/>
      <c r="J404" s="28"/>
    </row>
    <row r="405" spans="1:10" ht="15">
      <c r="A405" s="1"/>
      <c r="B405" s="27"/>
      <c r="C405" s="26" t="s">
        <v>150</v>
      </c>
      <c r="D405" s="26"/>
      <c r="E405" s="27" t="s">
        <v>89</v>
      </c>
      <c r="F405" s="7">
        <f>[1]Summary!$H$348</f>
        <v>137.30000000000001</v>
      </c>
      <c r="G405" s="7" t="e">
        <f>#REF!</f>
        <v>#REF!</v>
      </c>
      <c r="H405" s="7" t="e">
        <f>G405+F405</f>
        <v>#REF!</v>
      </c>
      <c r="I405" s="9"/>
      <c r="J405" s="28"/>
    </row>
    <row r="406" spans="1:10" ht="15">
      <c r="A406" s="1"/>
      <c r="B406" s="27"/>
      <c r="C406" s="26" t="s">
        <v>288</v>
      </c>
      <c r="D406" s="26"/>
      <c r="E406" s="27" t="s">
        <v>89</v>
      </c>
      <c r="F406" s="7"/>
      <c r="G406" s="7" t="e">
        <f>#REF!</f>
        <v>#REF!</v>
      </c>
      <c r="H406" s="7" t="e">
        <f>G406+F406</f>
        <v>#REF!</v>
      </c>
      <c r="I406" s="9"/>
      <c r="J406" s="28"/>
    </row>
    <row r="407" spans="1:10" ht="15">
      <c r="A407" s="1"/>
      <c r="B407" s="27"/>
      <c r="C407" s="29" t="s">
        <v>7</v>
      </c>
      <c r="D407" s="26"/>
      <c r="E407" s="27"/>
      <c r="F407" s="30">
        <f>SUM(F404:F406)</f>
        <v>180.70000000000002</v>
      </c>
      <c r="G407" s="30" t="e">
        <f>SUM(G404:G406)</f>
        <v>#REF!</v>
      </c>
      <c r="H407" s="30" t="e">
        <f>SUM(H404:H406)</f>
        <v>#REF!</v>
      </c>
      <c r="I407" s="12">
        <v>285</v>
      </c>
      <c r="J407" s="31" t="e">
        <f>I407*H407</f>
        <v>#REF!</v>
      </c>
    </row>
    <row r="408" spans="1:10" ht="15">
      <c r="A408" s="1"/>
      <c r="B408" s="27">
        <v>130</v>
      </c>
      <c r="C408" s="43" t="s">
        <v>276</v>
      </c>
      <c r="D408" s="6"/>
      <c r="E408" s="27"/>
      <c r="F408" s="7"/>
      <c r="G408" s="7"/>
      <c r="H408" s="7"/>
      <c r="I408" s="9"/>
      <c r="J408" s="28"/>
    </row>
    <row r="409" spans="1:10" ht="15">
      <c r="A409" s="1"/>
      <c r="B409" s="27"/>
      <c r="C409" s="26" t="s">
        <v>37</v>
      </c>
      <c r="D409" s="26"/>
      <c r="E409" s="27" t="s">
        <v>11</v>
      </c>
      <c r="F409" s="7"/>
      <c r="G409" s="7" t="e">
        <f>#REF!</f>
        <v>#REF!</v>
      </c>
      <c r="H409" s="7" t="e">
        <f>G409+F409</f>
        <v>#REF!</v>
      </c>
      <c r="I409" s="9"/>
      <c r="J409" s="28"/>
    </row>
    <row r="410" spans="1:10" ht="15">
      <c r="A410" s="1"/>
      <c r="B410" s="27"/>
      <c r="C410" s="26" t="s">
        <v>288</v>
      </c>
      <c r="D410" s="26"/>
      <c r="E410" s="27" t="s">
        <v>11</v>
      </c>
      <c r="F410" s="7"/>
      <c r="G410" s="7" t="e">
        <f>#REF!</f>
        <v>#REF!</v>
      </c>
      <c r="H410" s="7" t="e">
        <f>G410+F410</f>
        <v>#REF!</v>
      </c>
      <c r="I410" s="9"/>
      <c r="J410" s="28"/>
    </row>
    <row r="411" spans="1:10" ht="15">
      <c r="A411" s="1"/>
      <c r="B411" s="27"/>
      <c r="C411" s="29" t="s">
        <v>7</v>
      </c>
      <c r="D411" s="26"/>
      <c r="E411" s="27"/>
      <c r="F411" s="30">
        <f>SUM(F409:F410)</f>
        <v>0</v>
      </c>
      <c r="G411" s="30" t="e">
        <f>SUM(G409:G410)</f>
        <v>#REF!</v>
      </c>
      <c r="H411" s="30" t="e">
        <f>SUM(H409:H410)</f>
        <v>#REF!</v>
      </c>
      <c r="I411" s="12">
        <v>600</v>
      </c>
      <c r="J411" s="31" t="e">
        <f>I411*H411</f>
        <v>#REF!</v>
      </c>
    </row>
    <row r="412" spans="1:10" ht="15">
      <c r="A412" s="1"/>
      <c r="B412" s="27">
        <v>131</v>
      </c>
      <c r="C412" s="43" t="s">
        <v>270</v>
      </c>
      <c r="D412" s="6"/>
      <c r="E412" s="27"/>
      <c r="F412" s="7"/>
      <c r="G412" s="7"/>
      <c r="H412" s="7"/>
      <c r="I412" s="9"/>
      <c r="J412" s="28"/>
    </row>
    <row r="413" spans="1:10" ht="15">
      <c r="A413" s="1"/>
      <c r="B413" s="27"/>
      <c r="C413" s="26" t="s">
        <v>37</v>
      </c>
      <c r="D413" s="26"/>
      <c r="E413" s="27" t="s">
        <v>11</v>
      </c>
      <c r="F413" s="7"/>
      <c r="G413" s="7" t="e">
        <f>#REF!</f>
        <v>#REF!</v>
      </c>
      <c r="H413" s="7" t="e">
        <f>G413+F413</f>
        <v>#REF!</v>
      </c>
      <c r="I413" s="9"/>
      <c r="J413" s="28"/>
    </row>
    <row r="414" spans="1:10" ht="15">
      <c r="A414" s="1"/>
      <c r="B414" s="27"/>
      <c r="C414" s="26" t="s">
        <v>288</v>
      </c>
      <c r="D414" s="26"/>
      <c r="E414" s="27" t="s">
        <v>11</v>
      </c>
      <c r="F414" s="7"/>
      <c r="G414" s="7" t="e">
        <f>#REF!</f>
        <v>#REF!</v>
      </c>
      <c r="H414" s="7" t="e">
        <f>G414+F414</f>
        <v>#REF!</v>
      </c>
      <c r="I414" s="9"/>
      <c r="J414" s="28"/>
    </row>
    <row r="415" spans="1:10" ht="15">
      <c r="A415" s="1"/>
      <c r="B415" s="27"/>
      <c r="C415" s="29" t="s">
        <v>7</v>
      </c>
      <c r="D415" s="26"/>
      <c r="E415" s="27"/>
      <c r="F415" s="30">
        <f>SUM(F413:F414)</f>
        <v>0</v>
      </c>
      <c r="G415" s="30" t="e">
        <f>SUM(G413:G414)</f>
        <v>#REF!</v>
      </c>
      <c r="H415" s="30" t="e">
        <f>SUM(H413:H414)</f>
        <v>#REF!</v>
      </c>
      <c r="I415" s="12">
        <v>650</v>
      </c>
      <c r="J415" s="31" t="e">
        <f>I415*H415</f>
        <v>#REF!</v>
      </c>
    </row>
    <row r="416" spans="1:10" ht="15">
      <c r="A416" s="1"/>
      <c r="B416" s="27" t="s">
        <v>231</v>
      </c>
      <c r="C416" s="10" t="s">
        <v>230</v>
      </c>
      <c r="D416" s="6"/>
      <c r="E416" s="27"/>
      <c r="F416" s="7"/>
      <c r="G416" s="7"/>
      <c r="H416" s="7"/>
      <c r="I416" s="9"/>
      <c r="J416" s="28"/>
    </row>
    <row r="417" spans="1:10" ht="15">
      <c r="A417" s="1"/>
      <c r="B417" s="27"/>
      <c r="C417" s="32" t="s">
        <v>37</v>
      </c>
      <c r="D417" s="6"/>
      <c r="E417" s="27" t="s">
        <v>11</v>
      </c>
      <c r="F417" s="7"/>
      <c r="G417" s="7" t="e">
        <f>#REF!</f>
        <v>#REF!</v>
      </c>
      <c r="H417" s="7" t="e">
        <f>G417+F417</f>
        <v>#REF!</v>
      </c>
      <c r="I417" s="9"/>
      <c r="J417" s="28"/>
    </row>
    <row r="418" spans="1:10" ht="15">
      <c r="A418" s="1"/>
      <c r="B418" s="27"/>
      <c r="C418" s="26" t="s">
        <v>150</v>
      </c>
      <c r="D418" s="26"/>
      <c r="E418" s="27" t="s">
        <v>11</v>
      </c>
      <c r="F418" s="7">
        <f>[1]Summary!$H$351</f>
        <v>5</v>
      </c>
      <c r="G418" s="7" t="e">
        <f>#REF!</f>
        <v>#REF!</v>
      </c>
      <c r="H418" s="7" t="e">
        <f>G418+F418</f>
        <v>#REF!</v>
      </c>
      <c r="I418" s="9"/>
      <c r="J418" s="28"/>
    </row>
    <row r="419" spans="1:10" ht="15">
      <c r="A419" s="1"/>
      <c r="B419" s="27"/>
      <c r="C419" s="26" t="s">
        <v>288</v>
      </c>
      <c r="D419" s="26"/>
      <c r="E419" s="27" t="s">
        <v>11</v>
      </c>
      <c r="F419" s="7"/>
      <c r="G419" s="7" t="e">
        <f>#REF!</f>
        <v>#REF!</v>
      </c>
      <c r="H419" s="7" t="e">
        <f>G419+F419</f>
        <v>#REF!</v>
      </c>
      <c r="I419" s="9"/>
      <c r="J419" s="28"/>
    </row>
    <row r="420" spans="1:10" ht="15">
      <c r="A420" s="1"/>
      <c r="B420" s="27"/>
      <c r="C420" s="29" t="s">
        <v>7</v>
      </c>
      <c r="D420" s="26"/>
      <c r="E420" s="27"/>
      <c r="F420" s="30">
        <f>SUM(F417:F419)</f>
        <v>5</v>
      </c>
      <c r="G420" s="30" t="e">
        <f>SUM(G417:G419)</f>
        <v>#REF!</v>
      </c>
      <c r="H420" s="30" t="e">
        <f>SUM(H417:H419)</f>
        <v>#REF!</v>
      </c>
      <c r="I420" s="12">
        <v>750</v>
      </c>
      <c r="J420" s="31" t="e">
        <f>I420*H420</f>
        <v>#REF!</v>
      </c>
    </row>
    <row r="421" spans="1:10" ht="30">
      <c r="A421" s="1"/>
      <c r="B421" s="27">
        <v>136</v>
      </c>
      <c r="C421" s="10" t="s">
        <v>273</v>
      </c>
      <c r="D421" s="6"/>
      <c r="E421" s="27"/>
      <c r="F421" s="7"/>
      <c r="G421" s="7"/>
      <c r="H421" s="7"/>
      <c r="I421" s="9"/>
      <c r="J421" s="28"/>
    </row>
    <row r="422" spans="1:10" ht="15">
      <c r="A422" s="1"/>
      <c r="B422" s="27"/>
      <c r="C422" s="26" t="s">
        <v>37</v>
      </c>
      <c r="D422" s="26"/>
      <c r="E422" s="27" t="s">
        <v>11</v>
      </c>
      <c r="F422" s="7"/>
      <c r="G422" s="7" t="e">
        <f>#REF!</f>
        <v>#REF!</v>
      </c>
      <c r="H422" s="7" t="e">
        <f>G422+F422</f>
        <v>#REF!</v>
      </c>
      <c r="I422" s="9"/>
      <c r="J422" s="28"/>
    </row>
    <row r="423" spans="1:10" ht="15">
      <c r="A423" s="1"/>
      <c r="B423" s="27"/>
      <c r="C423" s="29" t="s">
        <v>7</v>
      </c>
      <c r="D423" s="26"/>
      <c r="E423" s="27"/>
      <c r="F423" s="30">
        <f>SUM(F422:F422)</f>
        <v>0</v>
      </c>
      <c r="G423" s="30" t="e">
        <f>SUM(G422:G422)</f>
        <v>#REF!</v>
      </c>
      <c r="H423" s="30" t="e">
        <f>SUM(H422:H422)</f>
        <v>#REF!</v>
      </c>
      <c r="I423" s="12">
        <v>8178</v>
      </c>
      <c r="J423" s="31" t="e">
        <f>I423*H423</f>
        <v>#REF!</v>
      </c>
    </row>
    <row r="424" spans="1:10" ht="15">
      <c r="A424" s="1">
        <v>14</v>
      </c>
      <c r="B424" s="27" t="s">
        <v>128</v>
      </c>
      <c r="C424" s="10" t="s">
        <v>236</v>
      </c>
      <c r="D424" s="6"/>
      <c r="E424" s="27"/>
      <c r="F424" s="7"/>
      <c r="G424" s="7"/>
      <c r="H424" s="7"/>
      <c r="I424" s="9"/>
      <c r="J424" s="28"/>
    </row>
    <row r="425" spans="1:10" ht="15">
      <c r="A425" s="1"/>
      <c r="B425" s="27"/>
      <c r="C425" s="26" t="s">
        <v>36</v>
      </c>
      <c r="D425" s="26"/>
      <c r="E425" s="27" t="s">
        <v>8</v>
      </c>
      <c r="F425" s="7">
        <f>[1]Summary!$H$354</f>
        <v>843.87137500000006</v>
      </c>
      <c r="G425" s="7"/>
      <c r="H425" s="7">
        <f>G425+F425</f>
        <v>843.87137500000006</v>
      </c>
      <c r="I425" s="9"/>
      <c r="J425" s="28"/>
    </row>
    <row r="426" spans="1:10" ht="15">
      <c r="A426" s="1"/>
      <c r="B426" s="27"/>
      <c r="C426" s="26" t="s">
        <v>37</v>
      </c>
      <c r="D426" s="26"/>
      <c r="E426" s="27" t="s">
        <v>8</v>
      </c>
      <c r="F426" s="7">
        <f>[1]Summary!$H$355</f>
        <v>632.02139999999997</v>
      </c>
      <c r="G426" s="7"/>
      <c r="H426" s="7">
        <f>G426+F426</f>
        <v>632.02139999999997</v>
      </c>
      <c r="I426" s="9"/>
      <c r="J426" s="28"/>
    </row>
    <row r="427" spans="1:10" ht="15">
      <c r="A427" s="1"/>
      <c r="B427" s="27"/>
      <c r="C427" s="29" t="s">
        <v>237</v>
      </c>
      <c r="D427" s="26"/>
      <c r="E427" s="27"/>
      <c r="F427" s="30">
        <f>SUM(F425:F426)</f>
        <v>1475.892775</v>
      </c>
      <c r="G427" s="30">
        <f>SUM(G425:G426)</f>
        <v>0</v>
      </c>
      <c r="H427" s="30">
        <f>SUM(H425:H426)</f>
        <v>1475.892775</v>
      </c>
      <c r="I427" s="12">
        <v>200</v>
      </c>
      <c r="J427" s="31">
        <v>100000</v>
      </c>
    </row>
    <row r="428" spans="1:10" ht="15">
      <c r="A428" s="1">
        <v>15</v>
      </c>
      <c r="B428" s="27" t="s">
        <v>129</v>
      </c>
      <c r="C428" s="10" t="s">
        <v>130</v>
      </c>
      <c r="D428" s="6"/>
      <c r="E428" s="27"/>
      <c r="F428" s="7"/>
      <c r="G428" s="7"/>
      <c r="H428" s="7"/>
      <c r="I428" s="9"/>
      <c r="J428" s="28"/>
    </row>
    <row r="429" spans="1:10" ht="15">
      <c r="A429" s="1"/>
      <c r="B429" s="27"/>
      <c r="C429" s="26" t="s">
        <v>36</v>
      </c>
      <c r="D429" s="26"/>
      <c r="E429" s="27" t="s">
        <v>11</v>
      </c>
      <c r="F429" s="7">
        <f>[1]Summary!$H$358</f>
        <v>10</v>
      </c>
      <c r="G429" s="7"/>
      <c r="H429" s="7">
        <f>G429+F429</f>
        <v>10</v>
      </c>
      <c r="I429" s="9"/>
      <c r="J429" s="28"/>
    </row>
    <row r="430" spans="1:10" ht="15">
      <c r="A430" s="1"/>
      <c r="B430" s="27"/>
      <c r="C430" s="29" t="s">
        <v>237</v>
      </c>
      <c r="D430" s="26"/>
      <c r="E430" s="27"/>
      <c r="F430" s="30">
        <f>SUM(F428:F429)</f>
        <v>10</v>
      </c>
      <c r="G430" s="30">
        <f>SUM(G428:G429)</f>
        <v>0</v>
      </c>
      <c r="H430" s="30">
        <f>SUM(H428:H429)</f>
        <v>10</v>
      </c>
      <c r="I430" s="12">
        <v>575</v>
      </c>
      <c r="J430" s="31">
        <v>5000</v>
      </c>
    </row>
    <row r="431" spans="1:10" ht="30">
      <c r="A431" s="1">
        <v>16</v>
      </c>
      <c r="B431" s="27" t="s">
        <v>13</v>
      </c>
      <c r="C431" s="10" t="s">
        <v>14</v>
      </c>
      <c r="D431" s="6"/>
      <c r="E431" s="27"/>
      <c r="F431" s="7"/>
      <c r="G431" s="7"/>
      <c r="H431" s="7"/>
      <c r="I431" s="9"/>
      <c r="J431" s="28"/>
    </row>
    <row r="432" spans="1:10" ht="15">
      <c r="A432" s="1"/>
      <c r="B432" s="27"/>
      <c r="C432" s="26" t="s">
        <v>36</v>
      </c>
      <c r="D432" s="26"/>
      <c r="E432" s="27" t="s">
        <v>10</v>
      </c>
      <c r="F432" s="7">
        <f>[1]Summary!$H$361</f>
        <v>1025.43</v>
      </c>
      <c r="G432" s="7"/>
      <c r="H432" s="7">
        <f>G432+F432</f>
        <v>1025.43</v>
      </c>
      <c r="I432" s="9"/>
      <c r="J432" s="28"/>
    </row>
    <row r="433" spans="1:10" ht="15">
      <c r="A433" s="1"/>
      <c r="B433" s="27"/>
      <c r="C433" s="26" t="s">
        <v>37</v>
      </c>
      <c r="D433" s="26"/>
      <c r="E433" s="27" t="s">
        <v>10</v>
      </c>
      <c r="F433" s="7">
        <f>[1]Summary!$H$362</f>
        <v>119</v>
      </c>
      <c r="G433" s="7"/>
      <c r="H433" s="7">
        <f>G433+F433</f>
        <v>119</v>
      </c>
      <c r="I433" s="9"/>
      <c r="J433" s="28"/>
    </row>
    <row r="434" spans="1:10" ht="15">
      <c r="A434" s="1"/>
      <c r="B434" s="27"/>
      <c r="C434" s="29" t="s">
        <v>7</v>
      </c>
      <c r="D434" s="26"/>
      <c r="E434" s="27"/>
      <c r="F434" s="30">
        <f>SUM(F432:F433)</f>
        <v>1144.43</v>
      </c>
      <c r="G434" s="30">
        <f>SUM(G432:G433)</f>
        <v>0</v>
      </c>
      <c r="H434" s="30">
        <f>SUM(H432:H433)</f>
        <v>1144.43</v>
      </c>
      <c r="I434" s="12">
        <v>70</v>
      </c>
      <c r="J434" s="31">
        <f>I434*H434</f>
        <v>80110.100000000006</v>
      </c>
    </row>
    <row r="435" spans="1:10" ht="15">
      <c r="A435" s="1">
        <v>17</v>
      </c>
      <c r="B435" s="27" t="s">
        <v>131</v>
      </c>
      <c r="C435" s="10" t="s">
        <v>132</v>
      </c>
      <c r="D435" s="6"/>
      <c r="E435" s="27"/>
      <c r="F435" s="7"/>
      <c r="G435" s="7"/>
      <c r="H435" s="7"/>
      <c r="I435" s="9"/>
      <c r="J435" s="28"/>
    </row>
    <row r="436" spans="1:10" ht="15">
      <c r="A436" s="1"/>
      <c r="B436" s="27"/>
      <c r="C436" s="26" t="s">
        <v>36</v>
      </c>
      <c r="D436" s="26"/>
      <c r="E436" s="27" t="s">
        <v>10</v>
      </c>
      <c r="F436" s="7">
        <f>[1]Summary!$H$365</f>
        <v>75.61</v>
      </c>
      <c r="G436" s="7"/>
      <c r="H436" s="7">
        <f>G436+F436</f>
        <v>75.61</v>
      </c>
      <c r="I436" s="9"/>
      <c r="J436" s="28"/>
    </row>
    <row r="437" spans="1:10" ht="15">
      <c r="A437" s="1"/>
      <c r="B437" s="27"/>
      <c r="C437" s="26" t="s">
        <v>37</v>
      </c>
      <c r="D437" s="26"/>
      <c r="E437" s="27" t="s">
        <v>10</v>
      </c>
      <c r="F437" s="7">
        <f>[1]Summary!$H$366</f>
        <v>115.38999999999999</v>
      </c>
      <c r="G437" s="7"/>
      <c r="H437" s="7">
        <f>G437+F437</f>
        <v>115.38999999999999</v>
      </c>
      <c r="I437" s="9"/>
      <c r="J437" s="28"/>
    </row>
    <row r="438" spans="1:10" ht="15">
      <c r="A438" s="1"/>
      <c r="B438" s="27"/>
      <c r="C438" s="26" t="s">
        <v>175</v>
      </c>
      <c r="D438" s="26"/>
      <c r="E438" s="27" t="s">
        <v>10</v>
      </c>
      <c r="F438" s="7">
        <f>[1]Summary!$H$367</f>
        <v>67.5</v>
      </c>
      <c r="G438" s="7" t="e">
        <f>#REF!</f>
        <v>#REF!</v>
      </c>
      <c r="H438" s="7" t="e">
        <f>G438+F438</f>
        <v>#REF!</v>
      </c>
      <c r="I438" s="9"/>
      <c r="J438" s="28"/>
    </row>
    <row r="439" spans="1:10" ht="15">
      <c r="A439" s="1"/>
      <c r="B439" s="27"/>
      <c r="C439" s="29" t="s">
        <v>7</v>
      </c>
      <c r="D439" s="26"/>
      <c r="E439" s="27"/>
      <c r="F439" s="30">
        <f>SUM(F436:F438)</f>
        <v>258.5</v>
      </c>
      <c r="G439" s="30" t="e">
        <f>SUM(G436:G438)</f>
        <v>#REF!</v>
      </c>
      <c r="H439" s="30" t="e">
        <f>SUM(H436:H438)</f>
        <v>#REF!</v>
      </c>
      <c r="I439" s="12">
        <v>23.21</v>
      </c>
      <c r="J439" s="31" t="e">
        <f>I439*H439</f>
        <v>#REF!</v>
      </c>
    </row>
    <row r="440" spans="1:10" ht="15">
      <c r="A440" s="1">
        <v>18</v>
      </c>
      <c r="B440" s="27" t="s">
        <v>133</v>
      </c>
      <c r="C440" s="10" t="s">
        <v>134</v>
      </c>
      <c r="D440" s="6"/>
      <c r="E440" s="27"/>
      <c r="F440" s="7"/>
      <c r="G440" s="7"/>
      <c r="H440" s="7"/>
      <c r="I440" s="9"/>
      <c r="J440" s="28"/>
    </row>
    <row r="441" spans="1:10" ht="15">
      <c r="A441" s="1"/>
      <c r="B441" s="27"/>
      <c r="C441" s="26" t="s">
        <v>36</v>
      </c>
      <c r="D441" s="26"/>
      <c r="E441" s="27" t="s">
        <v>10</v>
      </c>
      <c r="F441" s="7">
        <f>[1]Summary!$H$370</f>
        <v>1515.1999999999996</v>
      </c>
      <c r="G441" s="7"/>
      <c r="H441" s="7">
        <f>G441+F441</f>
        <v>1515.1999999999996</v>
      </c>
      <c r="I441" s="9"/>
      <c r="J441" s="28"/>
    </row>
    <row r="442" spans="1:10" ht="15">
      <c r="A442" s="1"/>
      <c r="B442" s="27"/>
      <c r="C442" s="29" t="s">
        <v>7</v>
      </c>
      <c r="D442" s="26"/>
      <c r="E442" s="27"/>
      <c r="F442" s="30">
        <f>SUM(F441:F441)</f>
        <v>1515.1999999999996</v>
      </c>
      <c r="G442" s="30">
        <f>SUM(G441:G441)</f>
        <v>0</v>
      </c>
      <c r="H442" s="30">
        <f>SUM(H441:H441)</f>
        <v>1515.1999999999996</v>
      </c>
      <c r="I442" s="12">
        <v>100</v>
      </c>
      <c r="J442" s="31">
        <f>I442*H442</f>
        <v>151519.99999999997</v>
      </c>
    </row>
    <row r="443" spans="1:10" ht="15">
      <c r="A443" s="1">
        <v>19</v>
      </c>
      <c r="B443" s="27" t="s">
        <v>15</v>
      </c>
      <c r="C443" s="10" t="s">
        <v>16</v>
      </c>
      <c r="D443" s="6"/>
      <c r="E443" s="27"/>
      <c r="F443" s="7"/>
      <c r="G443" s="7"/>
      <c r="H443" s="7"/>
      <c r="I443" s="9"/>
      <c r="J443" s="28"/>
    </row>
    <row r="444" spans="1:10" ht="15">
      <c r="A444" s="1"/>
      <c r="B444" s="27"/>
      <c r="C444" s="26" t="s">
        <v>36</v>
      </c>
      <c r="D444" s="26"/>
      <c r="E444" s="27" t="s">
        <v>11</v>
      </c>
      <c r="F444" s="7">
        <f>[1]Summary!$H$373</f>
        <v>66</v>
      </c>
      <c r="G444" s="7"/>
      <c r="H444" s="7">
        <f>G444+F444</f>
        <v>66</v>
      </c>
      <c r="I444" s="9"/>
      <c r="J444" s="28"/>
    </row>
    <row r="445" spans="1:10" ht="15">
      <c r="A445" s="1"/>
      <c r="B445" s="27"/>
      <c r="C445" s="26" t="s">
        <v>37</v>
      </c>
      <c r="D445" s="26"/>
      <c r="E445" s="27" t="s">
        <v>11</v>
      </c>
      <c r="F445" s="7">
        <f>[1]Summary!$H$374</f>
        <v>82</v>
      </c>
      <c r="G445" s="7"/>
      <c r="H445" s="7">
        <f>G445+F445</f>
        <v>82</v>
      </c>
      <c r="I445" s="9"/>
      <c r="J445" s="28"/>
    </row>
    <row r="446" spans="1:10" ht="15">
      <c r="A446" s="1"/>
      <c r="B446" s="27"/>
      <c r="C446" s="29" t="s">
        <v>7</v>
      </c>
      <c r="D446" s="26"/>
      <c r="E446" s="27"/>
      <c r="F446" s="30">
        <f>SUM(F443:F445)</f>
        <v>148</v>
      </c>
      <c r="G446" s="30">
        <f>SUM(G443:G445)</f>
        <v>0</v>
      </c>
      <c r="H446" s="30">
        <f>SUM(H443:H445)</f>
        <v>148</v>
      </c>
      <c r="I446" s="12">
        <v>360</v>
      </c>
      <c r="J446" s="31">
        <f>I446*H446</f>
        <v>53280</v>
      </c>
    </row>
    <row r="447" spans="1:10" ht="15">
      <c r="A447" s="1">
        <v>20</v>
      </c>
      <c r="B447" s="27" t="s">
        <v>19</v>
      </c>
      <c r="C447" s="10" t="s">
        <v>20</v>
      </c>
      <c r="D447" s="6"/>
      <c r="E447" s="27"/>
      <c r="F447" s="7"/>
      <c r="G447" s="7"/>
      <c r="H447" s="7"/>
      <c r="I447" s="9"/>
      <c r="J447" s="28"/>
    </row>
    <row r="448" spans="1:10" ht="15">
      <c r="A448" s="1"/>
      <c r="B448" s="27"/>
      <c r="C448" s="26" t="s">
        <v>36</v>
      </c>
      <c r="D448" s="26"/>
      <c r="E448" s="27" t="s">
        <v>11</v>
      </c>
      <c r="F448" s="7">
        <f>[1]Summary!$H$377</f>
        <v>33</v>
      </c>
      <c r="G448" s="7"/>
      <c r="H448" s="7">
        <f>G448+F448</f>
        <v>33</v>
      </c>
      <c r="I448" s="9"/>
      <c r="J448" s="28"/>
    </row>
    <row r="449" spans="1:10" ht="15">
      <c r="A449" s="1"/>
      <c r="B449" s="27"/>
      <c r="C449" s="26" t="s">
        <v>37</v>
      </c>
      <c r="D449" s="26"/>
      <c r="E449" s="27" t="s">
        <v>11</v>
      </c>
      <c r="F449" s="7">
        <f>[1]Summary!$H$378</f>
        <v>9</v>
      </c>
      <c r="G449" s="7"/>
      <c r="H449" s="7">
        <f>G449+F449</f>
        <v>9</v>
      </c>
      <c r="I449" s="9"/>
      <c r="J449" s="28"/>
    </row>
    <row r="450" spans="1:10" ht="15">
      <c r="A450" s="1"/>
      <c r="B450" s="27"/>
      <c r="C450" s="29" t="s">
        <v>7</v>
      </c>
      <c r="D450" s="26"/>
      <c r="E450" s="27"/>
      <c r="F450" s="30">
        <f>SUM(F448:F449)</f>
        <v>42</v>
      </c>
      <c r="G450" s="30">
        <f>SUM(G448:G449)</f>
        <v>0</v>
      </c>
      <c r="H450" s="30">
        <f>SUM(H448:H449)</f>
        <v>42</v>
      </c>
      <c r="I450" s="12">
        <v>500</v>
      </c>
      <c r="J450" s="31">
        <f>I450*H450</f>
        <v>21000</v>
      </c>
    </row>
    <row r="451" spans="1:10" ht="30">
      <c r="A451" s="1">
        <v>21</v>
      </c>
      <c r="B451" s="27" t="s">
        <v>135</v>
      </c>
      <c r="C451" s="10" t="s">
        <v>136</v>
      </c>
      <c r="D451" s="6"/>
      <c r="E451" s="27"/>
      <c r="F451" s="7"/>
      <c r="G451" s="7"/>
      <c r="H451" s="7"/>
      <c r="I451" s="9"/>
      <c r="J451" s="28"/>
    </row>
    <row r="452" spans="1:10" ht="15">
      <c r="A452" s="1"/>
      <c r="B452" s="27"/>
      <c r="C452" s="26" t="s">
        <v>36</v>
      </c>
      <c r="D452" s="26"/>
      <c r="E452" s="27" t="s">
        <v>11</v>
      </c>
      <c r="F452" s="7">
        <f>[1]Summary!$H$381</f>
        <v>82</v>
      </c>
      <c r="G452" s="7"/>
      <c r="H452" s="7">
        <f>G452+F452</f>
        <v>82</v>
      </c>
      <c r="I452" s="9"/>
      <c r="J452" s="28"/>
    </row>
    <row r="453" spans="1:10" ht="15">
      <c r="A453" s="1"/>
      <c r="B453" s="27"/>
      <c r="C453" s="29" t="s">
        <v>7</v>
      </c>
      <c r="D453" s="26"/>
      <c r="E453" s="27"/>
      <c r="F453" s="30">
        <f>SUM(F451:F452)</f>
        <v>82</v>
      </c>
      <c r="G453" s="30">
        <f>SUM(G451:G452)</f>
        <v>0</v>
      </c>
      <c r="H453" s="30">
        <f>SUM(H451:H452)</f>
        <v>82</v>
      </c>
      <c r="I453" s="12">
        <v>300</v>
      </c>
      <c r="J453" s="31">
        <f>I453*H453</f>
        <v>24600</v>
      </c>
    </row>
    <row r="454" spans="1:10" ht="15">
      <c r="A454" s="1">
        <v>22</v>
      </c>
      <c r="B454" s="27" t="s">
        <v>148</v>
      </c>
      <c r="C454" s="10" t="s">
        <v>17</v>
      </c>
      <c r="D454" s="6"/>
      <c r="E454" s="27"/>
      <c r="F454" s="7"/>
      <c r="G454" s="7"/>
      <c r="H454" s="7"/>
      <c r="I454" s="9"/>
      <c r="J454" s="28"/>
    </row>
    <row r="455" spans="1:10" ht="15">
      <c r="A455" s="1"/>
      <c r="B455" s="27"/>
      <c r="C455" s="32" t="s">
        <v>36</v>
      </c>
      <c r="D455" s="6"/>
      <c r="E455" s="27"/>
      <c r="F455" s="7">
        <f>[1]Summary!$H$384</f>
        <v>27</v>
      </c>
      <c r="G455" s="7"/>
      <c r="H455" s="7">
        <f>G455+F455</f>
        <v>27</v>
      </c>
      <c r="I455" s="9"/>
      <c r="J455" s="28"/>
    </row>
    <row r="456" spans="1:10" ht="15">
      <c r="A456" s="1"/>
      <c r="B456" s="27"/>
      <c r="C456" s="26" t="s">
        <v>37</v>
      </c>
      <c r="D456" s="26"/>
      <c r="E456" s="27" t="s">
        <v>11</v>
      </c>
      <c r="F456" s="7">
        <f>[1]Summary!$H$385</f>
        <v>38</v>
      </c>
      <c r="G456" s="7"/>
      <c r="H456" s="7">
        <f>G456+F456</f>
        <v>38</v>
      </c>
      <c r="I456" s="9"/>
      <c r="J456" s="28"/>
    </row>
    <row r="457" spans="1:10" ht="15">
      <c r="A457" s="1"/>
      <c r="B457" s="27"/>
      <c r="C457" s="29" t="s">
        <v>7</v>
      </c>
      <c r="D457" s="26"/>
      <c r="E457" s="27"/>
      <c r="F457" s="30">
        <f>SUM(F454:F456)</f>
        <v>65</v>
      </c>
      <c r="G457" s="30">
        <f>SUM(G454:G456)</f>
        <v>0</v>
      </c>
      <c r="H457" s="30">
        <f>SUM(H454:H456)</f>
        <v>65</v>
      </c>
      <c r="I457" s="12">
        <v>150</v>
      </c>
      <c r="J457" s="31">
        <f>I457*H457</f>
        <v>9750</v>
      </c>
    </row>
    <row r="458" spans="1:10" ht="15">
      <c r="A458" s="1">
        <v>23</v>
      </c>
      <c r="B458" s="27" t="s">
        <v>149</v>
      </c>
      <c r="C458" s="10" t="s">
        <v>18</v>
      </c>
      <c r="D458" s="6"/>
      <c r="E458" s="27"/>
      <c r="F458" s="7"/>
      <c r="G458" s="7"/>
      <c r="H458" s="7"/>
      <c r="I458" s="9"/>
      <c r="J458" s="28"/>
    </row>
    <row r="459" spans="1:10" ht="15">
      <c r="A459" s="1"/>
      <c r="B459" s="27"/>
      <c r="C459" s="32" t="s">
        <v>36</v>
      </c>
      <c r="D459" s="6"/>
      <c r="E459" s="27"/>
      <c r="F459" s="7">
        <f>[1]Summary!$H$388</f>
        <v>48</v>
      </c>
      <c r="G459" s="7"/>
      <c r="H459" s="7">
        <f>G459+F459</f>
        <v>48</v>
      </c>
      <c r="I459" s="9"/>
      <c r="J459" s="28"/>
    </row>
    <row r="460" spans="1:10" ht="15">
      <c r="A460" s="1"/>
      <c r="B460" s="27"/>
      <c r="C460" s="26" t="s">
        <v>37</v>
      </c>
      <c r="D460" s="26"/>
      <c r="E460" s="27" t="s">
        <v>11</v>
      </c>
      <c r="F460" s="7">
        <f>[1]Summary!$H$389</f>
        <v>206</v>
      </c>
      <c r="G460" s="7"/>
      <c r="H460" s="7">
        <f>G460+F460</f>
        <v>206</v>
      </c>
      <c r="I460" s="9"/>
      <c r="J460" s="28"/>
    </row>
    <row r="461" spans="1:10" ht="15">
      <c r="A461" s="1"/>
      <c r="B461" s="27"/>
      <c r="C461" s="29" t="s">
        <v>7</v>
      </c>
      <c r="D461" s="26"/>
      <c r="E461" s="27"/>
      <c r="F461" s="30">
        <f>SUM(F458:F460)</f>
        <v>254</v>
      </c>
      <c r="G461" s="30">
        <f>SUM(G458:G460)</f>
        <v>0</v>
      </c>
      <c r="H461" s="30">
        <f>SUM(H458:H460)</f>
        <v>254</v>
      </c>
      <c r="I461" s="12">
        <v>260</v>
      </c>
      <c r="J461" s="31">
        <f>I461*H461</f>
        <v>66040</v>
      </c>
    </row>
    <row r="462" spans="1:10" ht="15">
      <c r="A462" s="1">
        <v>24</v>
      </c>
      <c r="B462" s="27" t="s">
        <v>145</v>
      </c>
      <c r="C462" s="10" t="s">
        <v>143</v>
      </c>
      <c r="D462" s="6"/>
      <c r="E462" s="27"/>
      <c r="F462" s="7"/>
      <c r="G462" s="7"/>
      <c r="H462" s="7"/>
      <c r="I462" s="9"/>
      <c r="J462" s="28"/>
    </row>
    <row r="463" spans="1:10" ht="15">
      <c r="A463" s="1"/>
      <c r="B463" s="27"/>
      <c r="C463" s="26" t="s">
        <v>36</v>
      </c>
      <c r="D463" s="26"/>
      <c r="E463" s="27" t="s">
        <v>11</v>
      </c>
      <c r="F463" s="7">
        <f>[1]Summary!$H$392</f>
        <v>80</v>
      </c>
      <c r="G463" s="7"/>
      <c r="H463" s="7">
        <f>G463+F463</f>
        <v>80</v>
      </c>
      <c r="I463" s="9"/>
      <c r="J463" s="28"/>
    </row>
    <row r="464" spans="1:10" ht="15">
      <c r="A464" s="1"/>
      <c r="B464" s="27"/>
      <c r="C464" s="29" t="s">
        <v>7</v>
      </c>
      <c r="D464" s="26"/>
      <c r="E464" s="27"/>
      <c r="F464" s="30">
        <f>SUM(F462:F463)</f>
        <v>80</v>
      </c>
      <c r="G464" s="30">
        <f>SUM(G462:G463)</f>
        <v>0</v>
      </c>
      <c r="H464" s="30">
        <f>SUM(H462:H463)</f>
        <v>80</v>
      </c>
      <c r="I464" s="12">
        <v>150</v>
      </c>
      <c r="J464" s="31">
        <f>I464*H464</f>
        <v>12000</v>
      </c>
    </row>
    <row r="465" spans="1:10" ht="15">
      <c r="A465" s="1">
        <v>25</v>
      </c>
      <c r="B465" s="27" t="s">
        <v>167</v>
      </c>
      <c r="C465" s="10" t="s">
        <v>166</v>
      </c>
      <c r="D465" s="6"/>
      <c r="E465" s="27"/>
      <c r="F465" s="7"/>
      <c r="G465" s="7"/>
      <c r="H465" s="7"/>
      <c r="I465" s="9"/>
      <c r="J465" s="28"/>
    </row>
    <row r="466" spans="1:10" ht="15">
      <c r="A466" s="1"/>
      <c r="B466" s="27"/>
      <c r="C466" s="26" t="s">
        <v>37</v>
      </c>
      <c r="D466" s="26"/>
      <c r="E466" s="27" t="s">
        <v>8</v>
      </c>
      <c r="F466" s="7">
        <f>[1]Summary!$H$395</f>
        <v>12.705334999999998</v>
      </c>
      <c r="G466" s="7"/>
      <c r="H466" s="7">
        <f>G466+F466</f>
        <v>12.705334999999998</v>
      </c>
      <c r="I466" s="9"/>
      <c r="J466" s="28"/>
    </row>
    <row r="467" spans="1:10" ht="15">
      <c r="A467" s="1"/>
      <c r="B467" s="27"/>
      <c r="C467" s="29" t="s">
        <v>7</v>
      </c>
      <c r="D467" s="26"/>
      <c r="E467" s="27"/>
      <c r="F467" s="30">
        <f>SUM(F465:F466)</f>
        <v>12.705334999999998</v>
      </c>
      <c r="G467" s="30">
        <f>SUM(G465:G466)</f>
        <v>0</v>
      </c>
      <c r="H467" s="30">
        <f>SUM(H465:H466)</f>
        <v>12.705334999999998</v>
      </c>
      <c r="I467" s="12">
        <v>3500</v>
      </c>
      <c r="J467" s="31">
        <f>I467*H467</f>
        <v>44468.672499999993</v>
      </c>
    </row>
    <row r="468" spans="1:10" ht="15">
      <c r="A468" s="1">
        <v>26</v>
      </c>
      <c r="B468" s="27" t="s">
        <v>168</v>
      </c>
      <c r="C468" s="10" t="s">
        <v>171</v>
      </c>
      <c r="D468" s="6"/>
      <c r="E468" s="27"/>
      <c r="F468" s="7"/>
      <c r="G468" s="7"/>
      <c r="H468" s="7"/>
      <c r="I468" s="9"/>
      <c r="J468" s="28"/>
    </row>
    <row r="469" spans="1:10" ht="15">
      <c r="A469" s="1"/>
      <c r="B469" s="27"/>
      <c r="C469" s="26" t="s">
        <v>36</v>
      </c>
      <c r="D469" s="26"/>
      <c r="E469" s="27" t="s">
        <v>8</v>
      </c>
      <c r="F469" s="7">
        <f>[1]Summary!$H$398</f>
        <v>74.55</v>
      </c>
      <c r="G469" s="7"/>
      <c r="H469" s="7">
        <f>G469+F469</f>
        <v>74.55</v>
      </c>
      <c r="I469" s="9"/>
      <c r="J469" s="28"/>
    </row>
    <row r="470" spans="1:10" ht="15">
      <c r="A470" s="1"/>
      <c r="B470" s="27"/>
      <c r="C470" s="29" t="s">
        <v>7</v>
      </c>
      <c r="D470" s="26"/>
      <c r="E470" s="27"/>
      <c r="F470" s="30">
        <f>SUM(F468:F469)</f>
        <v>74.55</v>
      </c>
      <c r="G470" s="30">
        <f>SUM(G468:G469)</f>
        <v>0</v>
      </c>
      <c r="H470" s="30">
        <f>SUM(H468:H469)</f>
        <v>74.55</v>
      </c>
      <c r="I470" s="12">
        <v>250</v>
      </c>
      <c r="J470" s="31">
        <f>I470*H470</f>
        <v>18637.5</v>
      </c>
    </row>
    <row r="471" spans="1:10" ht="15">
      <c r="A471" s="1">
        <v>27</v>
      </c>
      <c r="B471" s="27" t="s">
        <v>176</v>
      </c>
      <c r="C471" s="10" t="s">
        <v>181</v>
      </c>
      <c r="D471" s="6"/>
      <c r="E471" s="27"/>
      <c r="F471" s="7"/>
      <c r="G471" s="7"/>
      <c r="H471" s="7"/>
      <c r="I471" s="9"/>
      <c r="J471" s="28"/>
    </row>
    <row r="472" spans="1:10" ht="15">
      <c r="A472" s="1"/>
      <c r="B472" s="27"/>
      <c r="C472" s="26" t="s">
        <v>36</v>
      </c>
      <c r="D472" s="26"/>
      <c r="E472" s="27" t="s">
        <v>11</v>
      </c>
      <c r="F472" s="7">
        <f>[1]Summary!$H$401</f>
        <v>12</v>
      </c>
      <c r="G472" s="7" t="e">
        <f>#REF!</f>
        <v>#REF!</v>
      </c>
      <c r="H472" s="7" t="e">
        <f>G472+F472</f>
        <v>#REF!</v>
      </c>
      <c r="I472" s="9"/>
      <c r="J472" s="28"/>
    </row>
    <row r="473" spans="1:10" ht="15">
      <c r="A473" s="1"/>
      <c r="B473" s="27"/>
      <c r="C473" s="26" t="s">
        <v>37</v>
      </c>
      <c r="D473" s="26"/>
      <c r="E473" s="27" t="s">
        <v>11</v>
      </c>
      <c r="F473" s="7">
        <f>[1]Summary!$H$402</f>
        <v>61</v>
      </c>
      <c r="G473" s="7" t="e">
        <f>#REF!</f>
        <v>#REF!</v>
      </c>
      <c r="H473" s="7" t="e">
        <f>G473+F473</f>
        <v>#REF!</v>
      </c>
      <c r="I473" s="9"/>
      <c r="J473" s="28"/>
    </row>
    <row r="474" spans="1:10" ht="15">
      <c r="A474" s="1"/>
      <c r="B474" s="27"/>
      <c r="C474" s="29" t="s">
        <v>7</v>
      </c>
      <c r="D474" s="26"/>
      <c r="E474" s="27"/>
      <c r="F474" s="30">
        <f>SUM(F471:F473)</f>
        <v>73</v>
      </c>
      <c r="G474" s="30" t="e">
        <f>SUM(G471:G473)</f>
        <v>#REF!</v>
      </c>
      <c r="H474" s="30" t="e">
        <f>SUM(H471:H473)</f>
        <v>#REF!</v>
      </c>
      <c r="I474" s="12">
        <v>75</v>
      </c>
      <c r="J474" s="31" t="e">
        <f>I474*H474</f>
        <v>#REF!</v>
      </c>
    </row>
    <row r="475" spans="1:10" ht="15">
      <c r="A475" s="1">
        <v>28</v>
      </c>
      <c r="B475" s="27" t="s">
        <v>191</v>
      </c>
      <c r="C475" s="10" t="s">
        <v>192</v>
      </c>
      <c r="D475" s="6"/>
      <c r="E475" s="27"/>
      <c r="F475" s="7"/>
      <c r="G475" s="7"/>
      <c r="H475" s="7"/>
      <c r="I475" s="9"/>
      <c r="J475" s="28"/>
    </row>
    <row r="476" spans="1:10" ht="15">
      <c r="A476" s="1"/>
      <c r="B476" s="27"/>
      <c r="C476" s="26" t="s">
        <v>36</v>
      </c>
      <c r="D476" s="26"/>
      <c r="E476" s="27" t="s">
        <v>11</v>
      </c>
      <c r="F476" s="7">
        <f>[1]Summary!$H$405</f>
        <v>12</v>
      </c>
      <c r="G476" s="7"/>
      <c r="H476" s="7">
        <f>G476+F476</f>
        <v>12</v>
      </c>
      <c r="I476" s="9"/>
      <c r="J476" s="28"/>
    </row>
    <row r="477" spans="1:10" ht="15">
      <c r="A477" s="1"/>
      <c r="B477" s="27"/>
      <c r="C477" s="29" t="s">
        <v>7</v>
      </c>
      <c r="D477" s="26"/>
      <c r="E477" s="27"/>
      <c r="F477" s="30">
        <f>SUM(F475:F476)</f>
        <v>12</v>
      </c>
      <c r="G477" s="30">
        <f>SUM(G475:G476)</f>
        <v>0</v>
      </c>
      <c r="H477" s="30">
        <f>SUM(H475:H476)</f>
        <v>12</v>
      </c>
      <c r="I477" s="12">
        <v>25</v>
      </c>
      <c r="J477" s="31">
        <v>0</v>
      </c>
    </row>
    <row r="478" spans="1:10" ht="15">
      <c r="A478" s="1">
        <v>29</v>
      </c>
      <c r="B478" s="27" t="s">
        <v>193</v>
      </c>
      <c r="C478" s="43" t="s">
        <v>194</v>
      </c>
      <c r="D478" s="6"/>
      <c r="E478" s="27"/>
      <c r="F478" s="7"/>
      <c r="G478" s="7"/>
      <c r="H478" s="7"/>
      <c r="I478" s="9"/>
      <c r="J478" s="28"/>
    </row>
    <row r="479" spans="1:10" ht="15">
      <c r="A479" s="1"/>
      <c r="B479" s="27"/>
      <c r="C479" s="26" t="s">
        <v>150</v>
      </c>
      <c r="D479" s="26"/>
      <c r="E479" s="27" t="s">
        <v>11</v>
      </c>
      <c r="F479" s="7">
        <f>[1]Summary!$H$408</f>
        <v>10</v>
      </c>
      <c r="G479" s="7" t="e">
        <f>#REF!</f>
        <v>#REF!</v>
      </c>
      <c r="H479" s="7" t="e">
        <f>G479+F479</f>
        <v>#REF!</v>
      </c>
      <c r="I479" s="9"/>
      <c r="J479" s="28"/>
    </row>
    <row r="480" spans="1:10" ht="15">
      <c r="A480" s="1"/>
      <c r="B480" s="27"/>
      <c r="C480" s="29" t="s">
        <v>7</v>
      </c>
      <c r="D480" s="26"/>
      <c r="E480" s="27"/>
      <c r="F480" s="30">
        <f>SUM(F478:F479)</f>
        <v>10</v>
      </c>
      <c r="G480" s="30" t="e">
        <f>SUM(G478:G479)</f>
        <v>#REF!</v>
      </c>
      <c r="H480" s="30" t="e">
        <f>SUM(H478:H479)</f>
        <v>#REF!</v>
      </c>
      <c r="I480" s="12">
        <v>1400</v>
      </c>
      <c r="J480" s="31" t="e">
        <f>I480*H480</f>
        <v>#REF!</v>
      </c>
    </row>
    <row r="481" spans="1:10" ht="15">
      <c r="A481" s="1">
        <v>30</v>
      </c>
      <c r="B481" s="27" t="s">
        <v>198</v>
      </c>
      <c r="C481" s="43" t="s">
        <v>199</v>
      </c>
      <c r="D481" s="6"/>
      <c r="E481" s="27"/>
      <c r="F481" s="7"/>
      <c r="G481" s="7"/>
      <c r="H481" s="7"/>
      <c r="I481" s="9"/>
      <c r="J481" s="28"/>
    </row>
    <row r="482" spans="1:10" ht="15">
      <c r="A482" s="1"/>
      <c r="B482" s="27"/>
      <c r="C482" s="26" t="s">
        <v>150</v>
      </c>
      <c r="D482" s="26"/>
      <c r="E482" s="27" t="s">
        <v>10</v>
      </c>
      <c r="F482" s="7">
        <f>[1]Summary!$H$411</f>
        <v>239.63159999999999</v>
      </c>
      <c r="G482" s="7" t="e">
        <f>#REF!</f>
        <v>#REF!</v>
      </c>
      <c r="H482" s="7" t="e">
        <f>G482+F482</f>
        <v>#REF!</v>
      </c>
      <c r="I482" s="9"/>
      <c r="J482" s="28"/>
    </row>
    <row r="483" spans="1:10" ht="15">
      <c r="A483" s="1"/>
      <c r="B483" s="27"/>
      <c r="C483" s="26" t="s">
        <v>175</v>
      </c>
      <c r="D483" s="26"/>
      <c r="E483" s="27" t="s">
        <v>10</v>
      </c>
      <c r="F483" s="7">
        <f>[1]Summary!$H$412</f>
        <v>141.57500000000002</v>
      </c>
      <c r="G483" s="7"/>
      <c r="H483" s="7">
        <f>G483+F483</f>
        <v>141.57500000000002</v>
      </c>
      <c r="I483" s="9"/>
      <c r="J483" s="28"/>
    </row>
    <row r="484" spans="1:10" ht="15">
      <c r="A484" s="1"/>
      <c r="B484" s="27"/>
      <c r="C484" s="29" t="s">
        <v>7</v>
      </c>
      <c r="D484" s="26"/>
      <c r="E484" s="27"/>
      <c r="F484" s="30">
        <f>SUM(F481:F483)</f>
        <v>381.20659999999998</v>
      </c>
      <c r="G484" s="30" t="e">
        <f>SUM(G481:G483)</f>
        <v>#REF!</v>
      </c>
      <c r="H484" s="30" t="e">
        <f>SUM(H481:H483)</f>
        <v>#REF!</v>
      </c>
      <c r="I484" s="12">
        <v>100</v>
      </c>
      <c r="J484" s="31" t="e">
        <f>I484*H484</f>
        <v>#REF!</v>
      </c>
    </row>
    <row r="485" spans="1:10" ht="30">
      <c r="A485" s="1">
        <v>31</v>
      </c>
      <c r="B485" s="27" t="s">
        <v>208</v>
      </c>
      <c r="C485" s="43" t="s">
        <v>220</v>
      </c>
      <c r="D485" s="6"/>
      <c r="E485" s="27"/>
      <c r="F485" s="7"/>
      <c r="G485" s="7"/>
      <c r="H485" s="7"/>
      <c r="I485" s="9"/>
      <c r="J485" s="28"/>
    </row>
    <row r="486" spans="1:10" ht="15">
      <c r="A486" s="1"/>
      <c r="B486" s="27"/>
      <c r="C486" s="26" t="s">
        <v>150</v>
      </c>
      <c r="D486" s="26"/>
      <c r="E486" s="27" t="s">
        <v>209</v>
      </c>
      <c r="F486" s="7">
        <f>[1]Summary!$H$415</f>
        <v>30000</v>
      </c>
      <c r="G486" s="7" t="e">
        <f>#REF!</f>
        <v>#REF!</v>
      </c>
      <c r="H486" s="7" t="e">
        <f>G486+F486</f>
        <v>#REF!</v>
      </c>
      <c r="I486" s="9">
        <v>1</v>
      </c>
      <c r="J486" s="28"/>
    </row>
    <row r="487" spans="1:10" ht="15">
      <c r="A487" s="1"/>
      <c r="B487" s="27"/>
      <c r="C487" s="29" t="s">
        <v>237</v>
      </c>
      <c r="D487" s="26"/>
      <c r="E487" s="27"/>
      <c r="F487" s="30">
        <f>SUM(F485:F486)</f>
        <v>30000</v>
      </c>
      <c r="G487" s="30" t="e">
        <f>SUM(G485:G486)</f>
        <v>#REF!</v>
      </c>
      <c r="H487" s="30" t="e">
        <f>SUM(H485:H486)</f>
        <v>#REF!</v>
      </c>
      <c r="I487" s="12">
        <v>1</v>
      </c>
      <c r="J487" s="31">
        <v>15000</v>
      </c>
    </row>
    <row r="488" spans="1:10" ht="15">
      <c r="A488" s="1">
        <v>32</v>
      </c>
      <c r="B488" s="27" t="s">
        <v>210</v>
      </c>
      <c r="C488" s="43" t="s">
        <v>211</v>
      </c>
      <c r="D488" s="26"/>
      <c r="E488" s="27"/>
      <c r="F488" s="30"/>
      <c r="G488" s="30"/>
      <c r="H488" s="30"/>
      <c r="I488" s="12"/>
      <c r="J488" s="31"/>
    </row>
    <row r="489" spans="1:10" ht="15">
      <c r="A489" s="1"/>
      <c r="B489" s="27"/>
      <c r="C489" s="26" t="s">
        <v>175</v>
      </c>
      <c r="D489" s="26"/>
      <c r="E489" s="27"/>
      <c r="F489" s="7">
        <f>[1]Summary!$H$418</f>
        <v>50</v>
      </c>
      <c r="G489" s="7" t="e">
        <f>#REF!</f>
        <v>#REF!</v>
      </c>
      <c r="H489" s="7" t="e">
        <f>G489+F489</f>
        <v>#REF!</v>
      </c>
      <c r="I489" s="12"/>
      <c r="J489" s="31"/>
    </row>
    <row r="490" spans="1:10" ht="15">
      <c r="A490" s="1"/>
      <c r="B490" s="27"/>
      <c r="C490" s="29" t="s">
        <v>7</v>
      </c>
      <c r="D490" s="26"/>
      <c r="E490" s="27" t="s">
        <v>89</v>
      </c>
      <c r="F490" s="30">
        <f>SUM(F488:F489)</f>
        <v>50</v>
      </c>
      <c r="G490" s="30" t="e">
        <f>SUM(G488:G489)</f>
        <v>#REF!</v>
      </c>
      <c r="H490" s="30" t="e">
        <f>SUM(H488:H489)</f>
        <v>#REF!</v>
      </c>
      <c r="I490" s="12">
        <v>945</v>
      </c>
      <c r="J490" s="31" t="e">
        <f>I490*H490</f>
        <v>#REF!</v>
      </c>
    </row>
    <row r="491" spans="1:10" ht="15">
      <c r="A491" s="1">
        <v>33</v>
      </c>
      <c r="B491" s="27" t="s">
        <v>212</v>
      </c>
      <c r="C491" s="43" t="s">
        <v>226</v>
      </c>
      <c r="D491" s="26"/>
      <c r="E491" s="27"/>
      <c r="F491" s="30"/>
      <c r="G491" s="30"/>
      <c r="H491" s="30"/>
      <c r="I491" s="12"/>
      <c r="J491" s="31"/>
    </row>
    <row r="492" spans="1:10" ht="15">
      <c r="A492" s="1"/>
      <c r="B492" s="27"/>
      <c r="C492" s="26" t="s">
        <v>175</v>
      </c>
      <c r="D492" s="26"/>
      <c r="E492" s="27"/>
      <c r="F492" s="7">
        <f>[1]Summary!$H$421</f>
        <v>50</v>
      </c>
      <c r="G492" s="7" t="e">
        <f>#REF!</f>
        <v>#REF!</v>
      </c>
      <c r="H492" s="7" t="e">
        <f>G492+F492</f>
        <v>#REF!</v>
      </c>
      <c r="I492" s="12"/>
      <c r="J492" s="31"/>
    </row>
    <row r="493" spans="1:10" ht="15">
      <c r="A493" s="1"/>
      <c r="B493" s="27"/>
      <c r="C493" s="29" t="s">
        <v>7</v>
      </c>
      <c r="D493" s="26"/>
      <c r="E493" s="27" t="s">
        <v>89</v>
      </c>
      <c r="F493" s="30">
        <f>SUM(F491:F492)</f>
        <v>50</v>
      </c>
      <c r="G493" s="30" t="e">
        <f>SUM(G491:G492)</f>
        <v>#REF!</v>
      </c>
      <c r="H493" s="30" t="e">
        <f>SUM(H491:H492)</f>
        <v>#REF!</v>
      </c>
      <c r="I493" s="12">
        <v>420</v>
      </c>
      <c r="J493" s="31" t="e">
        <f>I493*H493</f>
        <v>#REF!</v>
      </c>
    </row>
    <row r="494" spans="1:10" ht="15">
      <c r="A494" s="1">
        <v>34</v>
      </c>
      <c r="B494" s="27" t="s">
        <v>232</v>
      </c>
      <c r="C494" s="43" t="s">
        <v>233</v>
      </c>
      <c r="D494" s="6"/>
      <c r="E494" s="27"/>
      <c r="F494" s="7"/>
      <c r="G494" s="7"/>
      <c r="H494" s="7"/>
      <c r="I494" s="9"/>
      <c r="J494" s="28"/>
    </row>
    <row r="495" spans="1:10" ht="15">
      <c r="A495" s="1"/>
      <c r="B495" s="27"/>
      <c r="C495" s="26" t="s">
        <v>150</v>
      </c>
      <c r="D495" s="26"/>
      <c r="E495" s="27" t="s">
        <v>209</v>
      </c>
      <c r="F495" s="7">
        <f>[1]Summary!$H$424</f>
        <v>10000</v>
      </c>
      <c r="G495" s="7" t="e">
        <f>#REF!</f>
        <v>#REF!</v>
      </c>
      <c r="H495" s="7" t="e">
        <f>G495+F495</f>
        <v>#REF!</v>
      </c>
      <c r="I495" s="9"/>
      <c r="J495" s="28"/>
    </row>
    <row r="496" spans="1:10" ht="15">
      <c r="A496" s="1"/>
      <c r="B496" s="27"/>
      <c r="C496" s="29" t="s">
        <v>237</v>
      </c>
      <c r="D496" s="26"/>
      <c r="E496" s="27"/>
      <c r="F496" s="30">
        <f>SUM(F494:F495)</f>
        <v>10000</v>
      </c>
      <c r="G496" s="30" t="e">
        <f>SUM(G494:G495)</f>
        <v>#REF!</v>
      </c>
      <c r="H496" s="30" t="e">
        <f>SUM(H494:H495)</f>
        <v>#REF!</v>
      </c>
      <c r="I496" s="12">
        <v>1</v>
      </c>
      <c r="J496" s="31">
        <v>2000</v>
      </c>
    </row>
    <row r="497" spans="1:10" ht="15">
      <c r="A497" s="1">
        <v>35</v>
      </c>
      <c r="B497" s="27" t="s">
        <v>239</v>
      </c>
      <c r="C497" s="43" t="s">
        <v>240</v>
      </c>
      <c r="D497" s="6"/>
      <c r="E497" s="27"/>
      <c r="F497" s="7"/>
      <c r="G497" s="7"/>
      <c r="H497" s="7"/>
      <c r="I497" s="9"/>
      <c r="J497" s="28"/>
    </row>
    <row r="498" spans="1:10" ht="15">
      <c r="A498" s="1"/>
      <c r="B498" s="27"/>
      <c r="C498" s="48" t="s">
        <v>36</v>
      </c>
      <c r="D498" s="6"/>
      <c r="E498" s="27" t="s">
        <v>11</v>
      </c>
      <c r="F498" s="7">
        <f>[1]Summary!$H$427</f>
        <v>1</v>
      </c>
      <c r="G498" s="7"/>
      <c r="H498" s="7">
        <f>G498+F498</f>
        <v>1</v>
      </c>
      <c r="I498" s="9"/>
      <c r="J498" s="28"/>
    </row>
    <row r="499" spans="1:10" ht="15">
      <c r="A499" s="1"/>
      <c r="B499" s="27"/>
      <c r="C499" s="26" t="s">
        <v>150</v>
      </c>
      <c r="D499" s="26"/>
      <c r="E499" s="27" t="s">
        <v>11</v>
      </c>
      <c r="F499" s="7">
        <f>[1]Summary!$H$428</f>
        <v>2</v>
      </c>
      <c r="G499" s="7" t="e">
        <f>#REF!</f>
        <v>#REF!</v>
      </c>
      <c r="H499" s="7" t="e">
        <f>G499+F499</f>
        <v>#REF!</v>
      </c>
      <c r="I499" s="9"/>
      <c r="J499" s="28"/>
    </row>
    <row r="500" spans="1:10" ht="15">
      <c r="A500" s="1"/>
      <c r="B500" s="27"/>
      <c r="C500" s="26" t="s">
        <v>175</v>
      </c>
      <c r="D500" s="26"/>
      <c r="E500" s="27" t="s">
        <v>11</v>
      </c>
      <c r="F500" s="7"/>
      <c r="G500" s="7" t="e">
        <f>#REF!</f>
        <v>#REF!</v>
      </c>
      <c r="H500" s="7" t="e">
        <f>G500+F500</f>
        <v>#REF!</v>
      </c>
      <c r="I500" s="9"/>
      <c r="J500" s="28"/>
    </row>
    <row r="501" spans="1:10" ht="15">
      <c r="A501" s="1"/>
      <c r="B501" s="27"/>
      <c r="C501" s="29" t="s">
        <v>262</v>
      </c>
      <c r="D501" s="26"/>
      <c r="E501" s="27"/>
      <c r="F501" s="30">
        <f>SUM(F498:F500)</f>
        <v>3</v>
      </c>
      <c r="G501" s="30" t="e">
        <f>SUM(G498:G500)</f>
        <v>#REF!</v>
      </c>
      <c r="H501" s="30" t="e">
        <f>SUM(H498:H500)</f>
        <v>#REF!</v>
      </c>
      <c r="I501" s="12">
        <v>2250</v>
      </c>
      <c r="J501" s="31" t="e">
        <f>I501*H501</f>
        <v>#REF!</v>
      </c>
    </row>
    <row r="502" spans="1:10" ht="15">
      <c r="A502" s="1">
        <v>36</v>
      </c>
      <c r="B502" s="27" t="s">
        <v>242</v>
      </c>
      <c r="C502" s="10" t="s">
        <v>285</v>
      </c>
      <c r="D502" s="6"/>
      <c r="E502" s="27"/>
      <c r="F502" s="7"/>
      <c r="G502" s="7"/>
      <c r="H502" s="7"/>
      <c r="I502" s="9"/>
      <c r="J502" s="28"/>
    </row>
    <row r="503" spans="1:10" ht="15">
      <c r="A503" s="1"/>
      <c r="B503" s="27"/>
      <c r="C503" s="48" t="s">
        <v>150</v>
      </c>
      <c r="D503" s="6"/>
      <c r="E503" s="27" t="s">
        <v>89</v>
      </c>
      <c r="F503" s="7">
        <f>[1]Summary!$H$431</f>
        <v>24.6</v>
      </c>
      <c r="G503" s="7" t="e">
        <f>#REF!</f>
        <v>#REF!</v>
      </c>
      <c r="H503" s="7" t="e">
        <f>G503+F503</f>
        <v>#REF!</v>
      </c>
      <c r="I503" s="9"/>
      <c r="J503" s="28"/>
    </row>
    <row r="504" spans="1:10" ht="15">
      <c r="A504" s="1"/>
      <c r="B504" s="27"/>
      <c r="C504" s="29" t="s">
        <v>262</v>
      </c>
      <c r="D504" s="26"/>
      <c r="E504" s="27"/>
      <c r="F504" s="30">
        <f>SUM(F503:F503)</f>
        <v>24.6</v>
      </c>
      <c r="G504" s="30" t="e">
        <f>SUM(G503:G503)</f>
        <v>#REF!</v>
      </c>
      <c r="H504" s="30" t="e">
        <f>SUM(H503:H503)</f>
        <v>#REF!</v>
      </c>
      <c r="I504" s="60">
        <v>300</v>
      </c>
      <c r="J504" s="31" t="e">
        <f>I504*H504</f>
        <v>#REF!</v>
      </c>
    </row>
    <row r="505" spans="1:10" ht="15">
      <c r="A505" s="1">
        <v>37</v>
      </c>
      <c r="B505" s="27" t="s">
        <v>244</v>
      </c>
      <c r="C505" s="10" t="s">
        <v>243</v>
      </c>
      <c r="D505" s="6"/>
      <c r="E505" s="27"/>
      <c r="F505" s="7"/>
      <c r="G505" s="7"/>
      <c r="H505" s="7"/>
      <c r="I505" s="9"/>
      <c r="J505" s="28"/>
    </row>
    <row r="506" spans="1:10" ht="15">
      <c r="A506" s="1"/>
      <c r="B506" s="27"/>
      <c r="C506" s="48" t="s">
        <v>150</v>
      </c>
      <c r="D506" s="6"/>
      <c r="E506" s="27" t="s">
        <v>10</v>
      </c>
      <c r="F506" s="7">
        <f>[1]Summary!$H$434</f>
        <v>195.18</v>
      </c>
      <c r="G506" s="7" t="e">
        <f>#REF!</f>
        <v>#REF!</v>
      </c>
      <c r="H506" s="7" t="e">
        <f>G506+F506</f>
        <v>#REF!</v>
      </c>
      <c r="I506" s="9"/>
      <c r="J506" s="28"/>
    </row>
    <row r="507" spans="1:10" ht="15">
      <c r="A507" s="1"/>
      <c r="B507" s="27"/>
      <c r="C507" s="29" t="s">
        <v>262</v>
      </c>
      <c r="D507" s="26"/>
      <c r="E507" s="27"/>
      <c r="F507" s="30">
        <f>SUM(F506:F506)</f>
        <v>195.18</v>
      </c>
      <c r="G507" s="30" t="e">
        <f>SUM(G506:G506)</f>
        <v>#REF!</v>
      </c>
      <c r="H507" s="30" t="e">
        <f>SUM(H506:H506)</f>
        <v>#REF!</v>
      </c>
      <c r="I507" s="12">
        <v>300</v>
      </c>
      <c r="J507" s="31" t="e">
        <f>I507*H507</f>
        <v>#REF!</v>
      </c>
    </row>
    <row r="508" spans="1:10" ht="15">
      <c r="A508" s="1">
        <v>38</v>
      </c>
      <c r="B508" s="27" t="s">
        <v>251</v>
      </c>
      <c r="C508" s="10" t="s">
        <v>264</v>
      </c>
      <c r="D508" s="6"/>
      <c r="E508" s="27"/>
      <c r="F508" s="7"/>
      <c r="G508" s="7"/>
      <c r="H508" s="7"/>
      <c r="I508" s="9"/>
      <c r="J508" s="28"/>
    </row>
    <row r="509" spans="1:10" ht="15">
      <c r="A509" s="1"/>
      <c r="B509" s="27"/>
      <c r="C509" s="32" t="s">
        <v>36</v>
      </c>
      <c r="D509" s="6"/>
      <c r="E509" s="27" t="s">
        <v>10</v>
      </c>
      <c r="F509" s="7"/>
      <c r="G509" s="7" t="e">
        <f>#REF!</f>
        <v>#REF!</v>
      </c>
      <c r="H509" s="7" t="e">
        <f>G509+F509</f>
        <v>#REF!</v>
      </c>
      <c r="I509" s="9"/>
      <c r="J509" s="28"/>
    </row>
    <row r="510" spans="1:10" ht="15">
      <c r="A510" s="1"/>
      <c r="B510" s="27"/>
      <c r="C510" s="48" t="s">
        <v>37</v>
      </c>
      <c r="D510" s="6"/>
      <c r="E510" s="27" t="s">
        <v>10</v>
      </c>
      <c r="F510" s="7">
        <f>[1]Summary!$H$437</f>
        <v>3.1656499999999999</v>
      </c>
      <c r="G510" s="7"/>
      <c r="H510" s="7">
        <f>G510+F510</f>
        <v>3.1656499999999999</v>
      </c>
      <c r="I510" s="9"/>
      <c r="J510" s="28"/>
    </row>
    <row r="511" spans="1:10" ht="15">
      <c r="A511" s="1"/>
      <c r="B511" s="27"/>
      <c r="C511" s="29" t="s">
        <v>262</v>
      </c>
      <c r="D511" s="26"/>
      <c r="E511" s="27"/>
      <c r="F511" s="30">
        <f>SUM(F509:F510)</f>
        <v>3.1656499999999999</v>
      </c>
      <c r="G511" s="30" t="e">
        <f>SUM(G509:G510)</f>
        <v>#REF!</v>
      </c>
      <c r="H511" s="30" t="e">
        <f>SUM(H509:H510)</f>
        <v>#REF!</v>
      </c>
      <c r="I511" s="12">
        <v>1200</v>
      </c>
      <c r="J511" s="31" t="e">
        <f>I511*H511</f>
        <v>#REF!</v>
      </c>
    </row>
    <row r="512" spans="1:10" ht="15">
      <c r="A512" s="1">
        <v>39</v>
      </c>
      <c r="B512" s="27" t="s">
        <v>253</v>
      </c>
      <c r="C512" s="10" t="s">
        <v>250</v>
      </c>
      <c r="D512" s="6"/>
      <c r="E512" s="27"/>
      <c r="F512" s="7"/>
      <c r="G512" s="7"/>
      <c r="H512" s="7"/>
      <c r="I512" s="9"/>
      <c r="J512" s="28"/>
    </row>
    <row r="513" spans="1:10" ht="15">
      <c r="A513" s="1"/>
      <c r="B513" s="27"/>
      <c r="C513" s="32" t="s">
        <v>36</v>
      </c>
      <c r="D513" s="6"/>
      <c r="E513" s="27" t="s">
        <v>11</v>
      </c>
      <c r="F513" s="7"/>
      <c r="G513" s="7" t="e">
        <f>#REF!</f>
        <v>#REF!</v>
      </c>
      <c r="H513" s="7" t="e">
        <f>G513+F513</f>
        <v>#REF!</v>
      </c>
      <c r="I513" s="9"/>
      <c r="J513" s="28"/>
    </row>
    <row r="514" spans="1:10" ht="15">
      <c r="A514" s="1"/>
      <c r="B514" s="27"/>
      <c r="C514" s="48" t="s">
        <v>37</v>
      </c>
      <c r="D514" s="6"/>
      <c r="E514" s="27" t="s">
        <v>11</v>
      </c>
      <c r="F514" s="7">
        <f>[1]Summary!$H$440</f>
        <v>5</v>
      </c>
      <c r="G514" s="7"/>
      <c r="H514" s="7">
        <f>G514+F514</f>
        <v>5</v>
      </c>
      <c r="I514" s="9"/>
      <c r="J514" s="28"/>
    </row>
    <row r="515" spans="1:10" ht="15">
      <c r="A515" s="1"/>
      <c r="B515" s="27"/>
      <c r="C515" s="29" t="s">
        <v>262</v>
      </c>
      <c r="D515" s="26"/>
      <c r="E515" s="27"/>
      <c r="F515" s="30">
        <f>SUM(F513:F514)</f>
        <v>5</v>
      </c>
      <c r="G515" s="30" t="e">
        <f>SUM(G513:G514)</f>
        <v>#REF!</v>
      </c>
      <c r="H515" s="30" t="e">
        <f>SUM(H513:H514)</f>
        <v>#REF!</v>
      </c>
      <c r="I515" s="12">
        <v>650</v>
      </c>
      <c r="J515" s="31" t="e">
        <f>I515*H515</f>
        <v>#REF!</v>
      </c>
    </row>
    <row r="516" spans="1:10" ht="15">
      <c r="A516" s="1">
        <v>40</v>
      </c>
      <c r="B516" s="27" t="s">
        <v>255</v>
      </c>
      <c r="C516" s="10" t="s">
        <v>252</v>
      </c>
      <c r="D516" s="6"/>
      <c r="E516" s="27"/>
      <c r="F516" s="7"/>
      <c r="G516" s="7"/>
      <c r="H516" s="7"/>
      <c r="I516" s="9"/>
      <c r="J516" s="28"/>
    </row>
    <row r="517" spans="1:10" ht="15">
      <c r="A517" s="1"/>
      <c r="B517" s="27"/>
      <c r="C517" s="32" t="s">
        <v>36</v>
      </c>
      <c r="D517" s="6"/>
      <c r="E517" s="27" t="s">
        <v>11</v>
      </c>
      <c r="F517" s="7"/>
      <c r="G517" s="7" t="e">
        <f>#REF!</f>
        <v>#REF!</v>
      </c>
      <c r="H517" s="7" t="e">
        <f>G517+F517</f>
        <v>#REF!</v>
      </c>
      <c r="I517" s="9"/>
      <c r="J517" s="28"/>
    </row>
    <row r="518" spans="1:10" ht="15">
      <c r="A518" s="1"/>
      <c r="B518" s="27"/>
      <c r="C518" s="48" t="s">
        <v>37</v>
      </c>
      <c r="D518" s="6"/>
      <c r="E518" s="27" t="s">
        <v>11</v>
      </c>
      <c r="F518" s="7">
        <f>[1]Summary!$H$443</f>
        <v>5</v>
      </c>
      <c r="G518" s="7"/>
      <c r="H518" s="7">
        <f>G518+F518</f>
        <v>5</v>
      </c>
      <c r="I518" s="9"/>
      <c r="J518" s="28"/>
    </row>
    <row r="519" spans="1:10" ht="15">
      <c r="A519" s="1"/>
      <c r="B519" s="27"/>
      <c r="C519" s="29" t="s">
        <v>262</v>
      </c>
      <c r="D519" s="26"/>
      <c r="E519" s="27"/>
      <c r="F519" s="30">
        <f>SUM(F517:F518)</f>
        <v>5</v>
      </c>
      <c r="G519" s="30" t="e">
        <f>SUM(G517:G518)</f>
        <v>#REF!</v>
      </c>
      <c r="H519" s="30" t="e">
        <f>SUM(H517:H518)</f>
        <v>#REF!</v>
      </c>
      <c r="I519" s="12">
        <v>2500</v>
      </c>
      <c r="J519" s="31" t="e">
        <f>I519*H519</f>
        <v>#REF!</v>
      </c>
    </row>
    <row r="520" spans="1:10" ht="15">
      <c r="A520" s="1">
        <v>41</v>
      </c>
      <c r="B520" s="27" t="s">
        <v>257</v>
      </c>
      <c r="C520" s="10" t="s">
        <v>254</v>
      </c>
      <c r="D520" s="6"/>
      <c r="E520" s="27"/>
      <c r="F520" s="7"/>
      <c r="G520" s="7"/>
      <c r="H520" s="7"/>
      <c r="I520" s="9"/>
      <c r="J520" s="28"/>
    </row>
    <row r="521" spans="1:10" ht="15">
      <c r="A521" s="1"/>
      <c r="B521" s="27"/>
      <c r="C521" s="48" t="s">
        <v>37</v>
      </c>
      <c r="D521" s="6"/>
      <c r="E521" s="27" t="s">
        <v>10</v>
      </c>
      <c r="F521" s="7">
        <f>[1]Summary!$H$446</f>
        <v>68.505750000000006</v>
      </c>
      <c r="G521" s="7"/>
      <c r="H521" s="7">
        <f>G521+F521</f>
        <v>68.505750000000006</v>
      </c>
      <c r="I521" s="9"/>
      <c r="J521" s="28"/>
    </row>
    <row r="522" spans="1:10" ht="15">
      <c r="A522" s="1"/>
      <c r="B522" s="27"/>
      <c r="C522" s="29" t="s">
        <v>262</v>
      </c>
      <c r="D522" s="26"/>
      <c r="E522" s="27"/>
      <c r="F522" s="30">
        <f>SUM(F521:F521)</f>
        <v>68.505750000000006</v>
      </c>
      <c r="G522" s="30">
        <f>SUM(G521:G521)</f>
        <v>0</v>
      </c>
      <c r="H522" s="30">
        <f>SUM(H521:H521)</f>
        <v>68.505750000000006</v>
      </c>
      <c r="I522" s="46">
        <v>1750</v>
      </c>
      <c r="J522" s="31">
        <f>I522*H522</f>
        <v>119885.06250000001</v>
      </c>
    </row>
    <row r="523" spans="1:10" ht="15">
      <c r="A523" s="1">
        <v>42</v>
      </c>
      <c r="B523" s="27" t="s">
        <v>260</v>
      </c>
      <c r="C523" s="10" t="s">
        <v>256</v>
      </c>
      <c r="D523" s="6"/>
      <c r="E523" s="27"/>
      <c r="F523" s="7"/>
      <c r="G523" s="7"/>
      <c r="H523" s="7"/>
      <c r="I523" s="9"/>
      <c r="J523" s="28"/>
    </row>
    <row r="524" spans="1:10" ht="15">
      <c r="A524" s="1"/>
      <c r="B524" s="27"/>
      <c r="C524" s="48" t="s">
        <v>37</v>
      </c>
      <c r="D524" s="6"/>
      <c r="E524" s="27" t="s">
        <v>10</v>
      </c>
      <c r="F524" s="7">
        <f>[1]Summary!$H$449</f>
        <v>15.083225000000001</v>
      </c>
      <c r="G524" s="7"/>
      <c r="H524" s="7">
        <f>G524+F524</f>
        <v>15.083225000000001</v>
      </c>
      <c r="I524" s="9"/>
      <c r="J524" s="28"/>
    </row>
    <row r="525" spans="1:10" ht="15">
      <c r="A525" s="1"/>
      <c r="B525" s="27"/>
      <c r="C525" s="29" t="s">
        <v>262</v>
      </c>
      <c r="D525" s="26"/>
      <c r="E525" s="27"/>
      <c r="F525" s="30">
        <f>SUM(F524:F524)</f>
        <v>15.083225000000001</v>
      </c>
      <c r="G525" s="30">
        <f>SUM(G524:G524)</f>
        <v>0</v>
      </c>
      <c r="H525" s="30">
        <f>SUM(H524:H524)</f>
        <v>15.083225000000001</v>
      </c>
      <c r="I525" s="60">
        <v>1000</v>
      </c>
      <c r="J525" s="31">
        <f>I525*H525</f>
        <v>15083.225</v>
      </c>
    </row>
    <row r="526" spans="1:10" ht="30">
      <c r="A526" s="1">
        <v>43</v>
      </c>
      <c r="B526" s="27" t="s">
        <v>261</v>
      </c>
      <c r="C526" s="10" t="s">
        <v>258</v>
      </c>
      <c r="D526" s="6"/>
      <c r="E526" s="27"/>
      <c r="F526" s="7"/>
      <c r="G526" s="7"/>
      <c r="H526" s="7"/>
      <c r="I526" s="9"/>
      <c r="J526" s="28"/>
    </row>
    <row r="527" spans="1:10" ht="15">
      <c r="A527" s="1"/>
      <c r="B527" s="27"/>
      <c r="C527" s="48" t="s">
        <v>37</v>
      </c>
      <c r="D527" s="6"/>
      <c r="E527" s="27" t="s">
        <v>10</v>
      </c>
      <c r="F527" s="7">
        <f>[1]Summary!$H$452</f>
        <v>16.32</v>
      </c>
      <c r="G527" s="7"/>
      <c r="H527" s="7">
        <f>G527+F527</f>
        <v>16.32</v>
      </c>
      <c r="I527" s="9"/>
      <c r="J527" s="28"/>
    </row>
    <row r="528" spans="1:10" ht="15">
      <c r="A528" s="1"/>
      <c r="B528" s="27"/>
      <c r="C528" s="29" t="s">
        <v>262</v>
      </c>
      <c r="D528" s="26"/>
      <c r="E528" s="27"/>
      <c r="F528" s="30">
        <f>SUM(F527:F527)</f>
        <v>16.32</v>
      </c>
      <c r="G528" s="30">
        <f>SUM(G527:G527)</f>
        <v>0</v>
      </c>
      <c r="H528" s="30">
        <f>SUM(H527:H527)</f>
        <v>16.32</v>
      </c>
      <c r="I528" s="46">
        <v>300</v>
      </c>
      <c r="J528" s="31">
        <f>I528*H528</f>
        <v>4896</v>
      </c>
    </row>
    <row r="529" spans="1:10" ht="15">
      <c r="A529" s="1">
        <v>44</v>
      </c>
      <c r="B529" s="27" t="s">
        <v>267</v>
      </c>
      <c r="C529" s="10" t="s">
        <v>268</v>
      </c>
      <c r="D529" s="6"/>
      <c r="E529" s="27"/>
      <c r="F529" s="7"/>
      <c r="G529" s="7"/>
      <c r="H529" s="7"/>
      <c r="I529" s="9"/>
      <c r="J529" s="28"/>
    </row>
    <row r="530" spans="1:10" ht="15">
      <c r="A530" s="1"/>
      <c r="B530" s="27"/>
      <c r="C530" s="48" t="s">
        <v>36</v>
      </c>
      <c r="D530" s="6"/>
      <c r="E530" s="27" t="s">
        <v>89</v>
      </c>
      <c r="F530" s="7"/>
      <c r="G530" s="7" t="e">
        <f>#REF!</f>
        <v>#REF!</v>
      </c>
      <c r="H530" s="7" t="e">
        <f>G530+F530</f>
        <v>#REF!</v>
      </c>
      <c r="I530" s="9"/>
      <c r="J530" s="28"/>
    </row>
    <row r="531" spans="1:10" ht="15">
      <c r="A531" s="1"/>
      <c r="B531" s="27"/>
      <c r="C531" s="29" t="s">
        <v>262</v>
      </c>
      <c r="D531" s="26"/>
      <c r="E531" s="27"/>
      <c r="F531" s="30">
        <f>SUM(F530:F530)</f>
        <v>0</v>
      </c>
      <c r="G531" s="30" t="e">
        <f>SUM(G530:G530)</f>
        <v>#REF!</v>
      </c>
      <c r="H531" s="30" t="e">
        <f>SUM(H530:H530)</f>
        <v>#REF!</v>
      </c>
      <c r="I531" s="46">
        <v>150</v>
      </c>
      <c r="J531" s="31" t="e">
        <f>I531*H531</f>
        <v>#REF!</v>
      </c>
    </row>
    <row r="532" spans="1:10" ht="15">
      <c r="A532" s="1">
        <v>45</v>
      </c>
      <c r="B532" s="27" t="s">
        <v>269</v>
      </c>
      <c r="C532" s="43" t="s">
        <v>275</v>
      </c>
      <c r="D532" s="6"/>
      <c r="E532" s="27"/>
      <c r="F532" s="7"/>
      <c r="G532" s="7"/>
      <c r="H532" s="7"/>
      <c r="I532" s="9"/>
      <c r="J532" s="28"/>
    </row>
    <row r="533" spans="1:10" ht="15">
      <c r="A533" s="1"/>
      <c r="B533" s="27"/>
      <c r="C533" s="48" t="s">
        <v>37</v>
      </c>
      <c r="D533" s="6"/>
      <c r="E533" s="27" t="s">
        <v>11</v>
      </c>
      <c r="F533" s="7"/>
      <c r="G533" s="7" t="e">
        <f>#REF!</f>
        <v>#REF!</v>
      </c>
      <c r="H533" s="7" t="e">
        <f>G533+F533</f>
        <v>#REF!</v>
      </c>
      <c r="I533" s="9"/>
      <c r="J533" s="28"/>
    </row>
    <row r="534" spans="1:10" ht="15">
      <c r="A534" s="1"/>
      <c r="B534" s="27"/>
      <c r="C534" s="29" t="s">
        <v>262</v>
      </c>
      <c r="D534" s="26"/>
      <c r="E534" s="27"/>
      <c r="F534" s="30">
        <f>SUM(F533:F533)</f>
        <v>0</v>
      </c>
      <c r="G534" s="30" t="e">
        <f>SUM(G533:G533)</f>
        <v>#REF!</v>
      </c>
      <c r="H534" s="30" t="e">
        <f>SUM(H533:H533)</f>
        <v>#REF!</v>
      </c>
      <c r="I534" s="46">
        <v>350</v>
      </c>
      <c r="J534" s="31" t="e">
        <f>I534*H534</f>
        <v>#REF!</v>
      </c>
    </row>
    <row r="535" spans="1:10" ht="15">
      <c r="A535" s="1">
        <v>46</v>
      </c>
      <c r="B535" s="27" t="s">
        <v>272</v>
      </c>
      <c r="C535" s="43" t="s">
        <v>278</v>
      </c>
      <c r="D535" s="6"/>
      <c r="E535" s="27"/>
      <c r="F535" s="7"/>
      <c r="G535" s="7"/>
      <c r="H535" s="7"/>
      <c r="I535" s="9"/>
      <c r="J535" s="28"/>
    </row>
    <row r="536" spans="1:10" ht="15">
      <c r="A536" s="1"/>
      <c r="B536" s="27"/>
      <c r="C536" s="48" t="s">
        <v>37</v>
      </c>
      <c r="D536" s="6"/>
      <c r="E536" s="27" t="s">
        <v>11</v>
      </c>
      <c r="F536" s="7"/>
      <c r="G536" s="7" t="e">
        <f>#REF!</f>
        <v>#REF!</v>
      </c>
      <c r="H536" s="7" t="e">
        <f>G536+F536</f>
        <v>#REF!</v>
      </c>
      <c r="I536" s="9"/>
      <c r="J536" s="28"/>
    </row>
    <row r="537" spans="1:10" ht="15">
      <c r="A537" s="1"/>
      <c r="B537" s="27"/>
      <c r="C537" s="29" t="s">
        <v>262</v>
      </c>
      <c r="D537" s="26"/>
      <c r="E537" s="27"/>
      <c r="F537" s="30">
        <f>SUM(F536:F536)</f>
        <v>0</v>
      </c>
      <c r="G537" s="30" t="e">
        <f>SUM(G536:G536)</f>
        <v>#REF!</v>
      </c>
      <c r="H537" s="30" t="e">
        <f>SUM(H536:H536)</f>
        <v>#REF!</v>
      </c>
      <c r="I537" s="60">
        <v>1500</v>
      </c>
      <c r="J537" s="31" t="e">
        <f>I537*H537</f>
        <v>#REF!</v>
      </c>
    </row>
    <row r="538" spans="1:10" ht="15">
      <c r="A538" s="1">
        <v>47</v>
      </c>
      <c r="B538" s="27" t="s">
        <v>274</v>
      </c>
      <c r="C538" s="43" t="s">
        <v>279</v>
      </c>
      <c r="D538" s="6"/>
      <c r="E538" s="27"/>
      <c r="F538" s="7"/>
      <c r="G538" s="7"/>
      <c r="H538" s="7"/>
      <c r="I538" s="9"/>
      <c r="J538" s="28"/>
    </row>
    <row r="539" spans="1:10" ht="15">
      <c r="A539" s="1"/>
      <c r="B539" s="27"/>
      <c r="C539" s="48" t="s">
        <v>150</v>
      </c>
      <c r="D539" s="6"/>
      <c r="E539" s="27" t="s">
        <v>8</v>
      </c>
      <c r="F539" s="7"/>
      <c r="G539" s="7" t="e">
        <f>#REF!</f>
        <v>#REF!</v>
      </c>
      <c r="H539" s="7" t="e">
        <f>G539+F539</f>
        <v>#REF!</v>
      </c>
      <c r="I539" s="9"/>
      <c r="J539" s="28"/>
    </row>
    <row r="540" spans="1:10" ht="15">
      <c r="A540" s="1"/>
      <c r="B540" s="27"/>
      <c r="C540" s="48" t="s">
        <v>175</v>
      </c>
      <c r="D540" s="6"/>
      <c r="E540" s="27" t="s">
        <v>8</v>
      </c>
      <c r="F540" s="7"/>
      <c r="G540" s="7" t="e">
        <f>#REF!</f>
        <v>#REF!</v>
      </c>
      <c r="H540" s="7" t="e">
        <f>G540+F540</f>
        <v>#REF!</v>
      </c>
      <c r="I540" s="9"/>
      <c r="J540" s="28"/>
    </row>
    <row r="541" spans="1:10" ht="15">
      <c r="A541" s="1"/>
      <c r="B541" s="27"/>
      <c r="C541" s="29" t="s">
        <v>262</v>
      </c>
      <c r="D541" s="26"/>
      <c r="E541" s="27"/>
      <c r="F541" s="30">
        <f>SUM(F539:F540)</f>
        <v>0</v>
      </c>
      <c r="G541" s="30" t="e">
        <f>SUM(G539:G540)</f>
        <v>#REF!</v>
      </c>
      <c r="H541" s="30" t="e">
        <f>SUM(H539:H540)</f>
        <v>#REF!</v>
      </c>
      <c r="I541" s="46">
        <v>2200</v>
      </c>
      <c r="J541" s="31" t="e">
        <f>I541*H541</f>
        <v>#REF!</v>
      </c>
    </row>
    <row r="542" spans="1:10" ht="15">
      <c r="A542" s="1">
        <v>48</v>
      </c>
      <c r="B542" s="27" t="s">
        <v>277</v>
      </c>
      <c r="C542" s="43" t="s">
        <v>290</v>
      </c>
      <c r="D542" s="6"/>
      <c r="E542" s="27"/>
      <c r="F542" s="7"/>
      <c r="G542" s="7"/>
      <c r="H542" s="7"/>
      <c r="I542" s="9"/>
      <c r="J542" s="28"/>
    </row>
    <row r="543" spans="1:10" ht="15">
      <c r="A543" s="1"/>
      <c r="B543" s="27"/>
      <c r="C543" s="48" t="s">
        <v>288</v>
      </c>
      <c r="D543" s="6"/>
      <c r="E543" s="27" t="s">
        <v>209</v>
      </c>
      <c r="F543" s="7"/>
      <c r="G543" s="7" t="e">
        <f>#REF!</f>
        <v>#REF!</v>
      </c>
      <c r="H543" s="7" t="e">
        <f>G543+F543</f>
        <v>#REF!</v>
      </c>
      <c r="I543" s="9"/>
      <c r="J543" s="28"/>
    </row>
    <row r="544" spans="1:10" ht="15">
      <c r="A544" s="1"/>
      <c r="B544" s="27"/>
      <c r="C544" s="29" t="s">
        <v>262</v>
      </c>
      <c r="D544" s="26"/>
      <c r="E544" s="27"/>
      <c r="F544" s="30">
        <f>SUM(F543:F543)</f>
        <v>0</v>
      </c>
      <c r="G544" s="30" t="e">
        <f>SUM(G543:G543)</f>
        <v>#REF!</v>
      </c>
      <c r="H544" s="30" t="e">
        <f>SUM(H543:H543)</f>
        <v>#REF!</v>
      </c>
      <c r="I544" s="46">
        <v>1</v>
      </c>
      <c r="J544" s="31" t="e">
        <f>I544*H544</f>
        <v>#REF!</v>
      </c>
    </row>
    <row r="545" spans="1:12" ht="15">
      <c r="A545" s="1">
        <v>49</v>
      </c>
      <c r="B545" s="27" t="s">
        <v>280</v>
      </c>
      <c r="C545" s="10" t="s">
        <v>284</v>
      </c>
      <c r="D545" s="6"/>
      <c r="E545" s="27"/>
      <c r="F545" s="7"/>
      <c r="G545" s="7"/>
      <c r="H545" s="7"/>
      <c r="I545" s="9"/>
      <c r="J545" s="28"/>
    </row>
    <row r="546" spans="1:12" ht="15">
      <c r="A546" s="1"/>
      <c r="B546" s="27"/>
      <c r="C546" s="48" t="s">
        <v>175</v>
      </c>
      <c r="D546" s="6"/>
      <c r="E546" s="27" t="s">
        <v>8</v>
      </c>
      <c r="F546" s="7"/>
      <c r="G546" s="7" t="e">
        <f>#REF!</f>
        <v>#REF!</v>
      </c>
      <c r="H546" s="7" t="e">
        <f>G546+F546</f>
        <v>#REF!</v>
      </c>
      <c r="I546" s="9"/>
      <c r="J546" s="28"/>
    </row>
    <row r="547" spans="1:12" ht="15">
      <c r="A547" s="1"/>
      <c r="B547" s="27"/>
      <c r="C547" s="29" t="s">
        <v>262</v>
      </c>
      <c r="D547" s="26"/>
      <c r="E547" s="27"/>
      <c r="F547" s="30">
        <f>SUM(F546:F546)</f>
        <v>0</v>
      </c>
      <c r="G547" s="30" t="e">
        <f>SUM(G546:G546)</f>
        <v>#REF!</v>
      </c>
      <c r="H547" s="30" t="e">
        <f>SUM(H546:H546)</f>
        <v>#REF!</v>
      </c>
      <c r="I547" s="46">
        <v>1400</v>
      </c>
      <c r="J547" s="31" t="e">
        <f>I547*H547</f>
        <v>#REF!</v>
      </c>
    </row>
    <row r="548" spans="1:12" ht="15">
      <c r="A548" s="1">
        <v>50</v>
      </c>
      <c r="B548" s="27" t="s">
        <v>291</v>
      </c>
      <c r="C548" s="47" t="s">
        <v>281</v>
      </c>
      <c r="D548" s="6"/>
      <c r="E548" s="27"/>
      <c r="F548" s="7"/>
      <c r="G548" s="7"/>
      <c r="H548" s="7"/>
      <c r="I548" s="9"/>
      <c r="J548" s="28"/>
    </row>
    <row r="549" spans="1:12" ht="15">
      <c r="A549" s="1"/>
      <c r="B549" s="27"/>
      <c r="C549" s="48" t="s">
        <v>175</v>
      </c>
      <c r="D549" s="6"/>
      <c r="E549" s="27" t="s">
        <v>8</v>
      </c>
      <c r="F549" s="7"/>
      <c r="G549" s="7" t="e">
        <f>#REF!</f>
        <v>#REF!</v>
      </c>
      <c r="H549" s="7" t="e">
        <f>G549+F549</f>
        <v>#REF!</v>
      </c>
      <c r="I549" s="9"/>
      <c r="J549" s="28"/>
    </row>
    <row r="550" spans="1:12" ht="15">
      <c r="A550" s="1"/>
      <c r="B550" s="27"/>
      <c r="C550" s="29" t="s">
        <v>262</v>
      </c>
      <c r="D550" s="26"/>
      <c r="E550" s="27"/>
      <c r="F550" s="30">
        <f>SUM(F549:F549)</f>
        <v>0</v>
      </c>
      <c r="G550" s="30" t="e">
        <f>SUM(G549:G549)</f>
        <v>#REF!</v>
      </c>
      <c r="H550" s="30" t="e">
        <f>SUM(H549:H549)</f>
        <v>#REF!</v>
      </c>
      <c r="I550" s="46">
        <v>30</v>
      </c>
      <c r="J550" s="31" t="e">
        <f>I550*H550</f>
        <v>#REF!</v>
      </c>
    </row>
    <row r="551" spans="1:12" ht="15">
      <c r="A551" s="1">
        <v>51</v>
      </c>
      <c r="B551" s="27" t="s">
        <v>294</v>
      </c>
      <c r="C551" s="43" t="s">
        <v>295</v>
      </c>
      <c r="D551" s="6"/>
      <c r="E551" s="27"/>
      <c r="F551" s="7"/>
      <c r="G551" s="7"/>
      <c r="H551" s="7"/>
      <c r="I551" s="9"/>
      <c r="J551" s="28"/>
    </row>
    <row r="552" spans="1:12" ht="15">
      <c r="A552" s="1"/>
      <c r="B552" s="27"/>
      <c r="C552" s="48" t="s">
        <v>175</v>
      </c>
      <c r="D552" s="6"/>
      <c r="E552" s="27" t="s">
        <v>11</v>
      </c>
      <c r="F552" s="7"/>
      <c r="G552" s="7" t="e">
        <f>#REF!</f>
        <v>#REF!</v>
      </c>
      <c r="H552" s="7" t="e">
        <f>G552+F552</f>
        <v>#REF!</v>
      </c>
      <c r="I552" s="9"/>
      <c r="J552" s="28"/>
    </row>
    <row r="553" spans="1:12" ht="15">
      <c r="A553" s="1"/>
      <c r="B553" s="27"/>
      <c r="C553" s="29" t="s">
        <v>262</v>
      </c>
      <c r="D553" s="26"/>
      <c r="E553" s="27"/>
      <c r="F553" s="30">
        <f>SUM(F552:F552)</f>
        <v>0</v>
      </c>
      <c r="G553" s="30" t="e">
        <f>SUM(G552:G552)</f>
        <v>#REF!</v>
      </c>
      <c r="H553" s="30" t="e">
        <f>SUM(H552:H552)</f>
        <v>#REF!</v>
      </c>
      <c r="I553" s="60">
        <v>2000</v>
      </c>
      <c r="J553" s="31" t="e">
        <f>I553*H553</f>
        <v>#REF!</v>
      </c>
    </row>
    <row r="554" spans="1:12" ht="15.75" thickBot="1">
      <c r="A554" s="1"/>
      <c r="B554" s="27"/>
      <c r="C554" s="1291"/>
      <c r="D554" s="1292"/>
      <c r="E554" s="1292"/>
      <c r="F554" s="1292"/>
      <c r="G554" s="1292"/>
      <c r="H554" s="1292"/>
      <c r="I554" s="1293"/>
      <c r="J554" s="49"/>
    </row>
    <row r="555" spans="1:12" ht="15.75" customHeight="1" thickBot="1">
      <c r="A555" s="1285" t="s">
        <v>137</v>
      </c>
      <c r="B555" s="1286"/>
      <c r="C555" s="1286"/>
      <c r="D555" s="1286"/>
      <c r="E555" s="1286"/>
      <c r="F555" s="1286"/>
      <c r="G555" s="1286"/>
      <c r="H555" s="1286"/>
      <c r="I555" s="1287"/>
      <c r="J555" s="41" t="e">
        <f>SUM(J4:J554)</f>
        <v>#REF!</v>
      </c>
      <c r="L555" s="42"/>
    </row>
    <row r="556" spans="1:12" ht="15.75" thickBot="1">
      <c r="A556" s="1285" t="s">
        <v>138</v>
      </c>
      <c r="B556" s="1286"/>
      <c r="C556" s="1286"/>
      <c r="D556" s="1286"/>
      <c r="E556" s="1286"/>
      <c r="F556" s="1286"/>
      <c r="G556" s="1286"/>
      <c r="H556" s="1286"/>
      <c r="I556" s="1287"/>
      <c r="J556" s="61">
        <f>[1]Summary!$J$455</f>
        <v>17430527.433688875</v>
      </c>
    </row>
    <row r="557" spans="1:12" ht="15.75" thickBot="1">
      <c r="A557" s="1288" t="s">
        <v>139</v>
      </c>
      <c r="B557" s="1289"/>
      <c r="C557" s="1289"/>
      <c r="D557" s="1289"/>
      <c r="E557" s="1289"/>
      <c r="F557" s="1289"/>
      <c r="G557" s="1289"/>
      <c r="H557" s="1289"/>
      <c r="I557" s="1290"/>
      <c r="J557" s="41" t="e">
        <f>J555-J556</f>
        <v>#REF!</v>
      </c>
    </row>
  </sheetData>
  <mergeCells count="7">
    <mergeCell ref="A556:I556"/>
    <mergeCell ref="A557:I557"/>
    <mergeCell ref="C554:I554"/>
    <mergeCell ref="B1:J1"/>
    <mergeCell ref="A2:H2"/>
    <mergeCell ref="I2:J2"/>
    <mergeCell ref="A555:I555"/>
  </mergeCells>
  <phoneticPr fontId="0" type="noConversion"/>
  <pageMargins left="0.16" right="0.15748031496062992" top="0.16" bottom="0.16" header="0.15748031496062992" footer="0.15748031496062992"/>
  <pageSetup paperSize="9" orientation="landscape" r:id="rId1"/>
  <headerFooter>
    <oddFooter>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
  <sheetViews>
    <sheetView view="pageBreakPreview" zoomScale="110" zoomScaleSheetLayoutView="110" workbookViewId="0">
      <pane ySplit="6" topLeftCell="A7" activePane="bottomLeft" state="frozen"/>
      <selection pane="bottomLeft" activeCell="G8" sqref="G8"/>
    </sheetView>
  </sheetViews>
  <sheetFormatPr defaultRowHeight="12.75"/>
  <cols>
    <col min="1" max="1" width="9.7109375" style="157" bestFit="1" customWidth="1"/>
    <col min="2" max="2" width="27.7109375" style="157" bestFit="1" customWidth="1"/>
    <col min="3" max="3" width="4.85546875" style="157" hidden="1" customWidth="1"/>
    <col min="4" max="4" width="14" style="157" customWidth="1"/>
    <col min="5" max="5" width="17.140625" style="157" bestFit="1" customWidth="1"/>
    <col min="6" max="6" width="14.140625" style="157" bestFit="1" customWidth="1"/>
    <col min="7" max="7" width="18.85546875" style="157" bestFit="1" customWidth="1"/>
    <col min="8" max="16384" width="9.140625" style="157"/>
  </cols>
  <sheetData>
    <row r="1" spans="1:9">
      <c r="A1" s="155" t="s">
        <v>304</v>
      </c>
      <c r="B1" s="155" t="s">
        <v>305</v>
      </c>
      <c r="C1" s="156"/>
      <c r="D1" s="156" t="s">
        <v>306</v>
      </c>
      <c r="E1" s="155" t="s">
        <v>307</v>
      </c>
      <c r="F1" s="1299" t="s">
        <v>308</v>
      </c>
      <c r="G1" s="1299"/>
    </row>
    <row r="2" spans="1:9">
      <c r="A2" s="155" t="s">
        <v>309</v>
      </c>
      <c r="B2" s="158" t="s">
        <v>310</v>
      </c>
      <c r="C2" s="155"/>
      <c r="D2" s="1300" t="s">
        <v>331</v>
      </c>
      <c r="E2" s="1300"/>
      <c r="F2" s="159" t="s">
        <v>311</v>
      </c>
      <c r="G2" s="160" t="s">
        <v>312</v>
      </c>
    </row>
    <row r="3" spans="1:9" ht="15.75">
      <c r="A3" s="1301" t="s">
        <v>333</v>
      </c>
      <c r="B3" s="1302"/>
      <c r="C3" s="1302"/>
      <c r="D3" s="1302"/>
      <c r="E3" s="1302"/>
      <c r="F3" s="1302"/>
      <c r="G3" s="1303"/>
    </row>
    <row r="4" spans="1:9" ht="15.75">
      <c r="A4" s="161" t="s">
        <v>313</v>
      </c>
      <c r="B4" s="162" t="s">
        <v>935</v>
      </c>
      <c r="C4" s="163"/>
      <c r="D4" s="163"/>
      <c r="E4" s="163"/>
      <c r="F4" s="164" t="s">
        <v>330</v>
      </c>
      <c r="G4" s="165">
        <v>42522</v>
      </c>
    </row>
    <row r="5" spans="1:9" ht="20.25">
      <c r="A5" s="1304" t="s">
        <v>314</v>
      </c>
      <c r="B5" s="1304"/>
      <c r="C5" s="1304"/>
      <c r="D5" s="1304"/>
      <c r="E5" s="1304"/>
      <c r="F5" s="1304"/>
      <c r="G5" s="1304"/>
    </row>
    <row r="6" spans="1:9" ht="33" customHeight="1">
      <c r="A6" s="247" t="s">
        <v>300</v>
      </c>
      <c r="B6" s="1305" t="s">
        <v>0</v>
      </c>
      <c r="C6" s="1305"/>
      <c r="D6" s="1305"/>
      <c r="E6" s="167" t="s">
        <v>328</v>
      </c>
      <c r="F6" s="167" t="s">
        <v>329</v>
      </c>
      <c r="G6" s="167" t="s">
        <v>315</v>
      </c>
    </row>
    <row r="7" spans="1:9" ht="15.75">
      <c r="A7" s="247" t="s">
        <v>299</v>
      </c>
      <c r="B7" s="1297" t="s">
        <v>316</v>
      </c>
      <c r="C7" s="1298"/>
      <c r="D7" s="247"/>
      <c r="E7" s="168"/>
      <c r="F7" s="169"/>
      <c r="G7" s="169"/>
    </row>
    <row r="8" spans="1:9" ht="14.25">
      <c r="A8" s="170" t="s">
        <v>317</v>
      </c>
      <c r="B8" s="1310" t="s">
        <v>318</v>
      </c>
      <c r="C8" s="1310"/>
      <c r="D8" s="1310"/>
      <c r="E8" s="171" t="e">
        <f>#REF!</f>
        <v>#REF!</v>
      </c>
      <c r="F8" s="172" t="e">
        <f>#REF!</f>
        <v>#REF!</v>
      </c>
      <c r="G8" s="173" t="e">
        <f>#REF!</f>
        <v>#REF!</v>
      </c>
    </row>
    <row r="9" spans="1:9" s="176" customFormat="1" ht="14.25">
      <c r="A9" s="174" t="s">
        <v>46</v>
      </c>
      <c r="B9" s="1311" t="s">
        <v>319</v>
      </c>
      <c r="C9" s="1311"/>
      <c r="D9" s="1311"/>
      <c r="E9" s="175" t="e">
        <f>E8</f>
        <v>#REF!</v>
      </c>
      <c r="F9" s="175" t="e">
        <f>SUM(F8:F8)</f>
        <v>#REF!</v>
      </c>
      <c r="G9" s="175" t="e">
        <f>ROUND(SUM(G8:G8),0)</f>
        <v>#REF!</v>
      </c>
      <c r="I9" s="215"/>
    </row>
    <row r="10" spans="1:9" ht="14.25">
      <c r="A10" s="177"/>
      <c r="B10" s="178"/>
      <c r="C10" s="179"/>
      <c r="D10" s="180"/>
      <c r="E10" s="181"/>
      <c r="F10" s="181"/>
      <c r="G10" s="181"/>
    </row>
    <row r="11" spans="1:9">
      <c r="A11" s="182"/>
      <c r="B11" s="183"/>
      <c r="C11" s="184"/>
      <c r="D11" s="185"/>
      <c r="E11" s="186"/>
      <c r="F11" s="186"/>
      <c r="G11" s="186"/>
    </row>
    <row r="12" spans="1:9">
      <c r="A12" s="182"/>
      <c r="B12" s="183"/>
      <c r="C12" s="184"/>
      <c r="D12" s="185"/>
      <c r="E12" s="186"/>
      <c r="F12" s="186"/>
      <c r="G12" s="186"/>
    </row>
    <row r="13" spans="1:9" ht="14.25">
      <c r="A13" s="174"/>
      <c r="B13" s="187" t="s">
        <v>321</v>
      </c>
      <c r="C13" s="188"/>
      <c r="D13" s="249"/>
      <c r="E13" s="175" t="e">
        <f>SUM(E9:E12)</f>
        <v>#REF!</v>
      </c>
      <c r="F13" s="175" t="e">
        <f>SUM(F9:F12)</f>
        <v>#REF!</v>
      </c>
      <c r="G13" s="175" t="e">
        <f>SUM(G9:G12)</f>
        <v>#REF!</v>
      </c>
    </row>
    <row r="14" spans="1:9">
      <c r="A14" s="170"/>
      <c r="B14" s="1310" t="s">
        <v>327</v>
      </c>
      <c r="C14" s="1310"/>
      <c r="D14" s="1310"/>
      <c r="E14" s="173" t="e">
        <f>ROUND(E13*5.8%,0)</f>
        <v>#REF!</v>
      </c>
      <c r="F14" s="173" t="e">
        <f>ROUND(F13*5.8%,0)</f>
        <v>#REF!</v>
      </c>
      <c r="G14" s="173" t="e">
        <f>ROUND(G13*5.8%,0)</f>
        <v>#REF!</v>
      </c>
      <c r="I14" s="190"/>
    </row>
    <row r="15" spans="1:9">
      <c r="A15" s="170"/>
      <c r="B15" s="248"/>
      <c r="C15" s="248"/>
      <c r="D15" s="248"/>
      <c r="E15" s="173"/>
      <c r="F15" s="173"/>
      <c r="G15" s="173"/>
      <c r="I15" s="190"/>
    </row>
    <row r="16" spans="1:9">
      <c r="A16" s="170"/>
      <c r="B16" s="248"/>
      <c r="C16" s="248"/>
      <c r="D16" s="248"/>
      <c r="E16" s="173"/>
      <c r="F16" s="173"/>
      <c r="G16" s="173"/>
      <c r="I16" s="190"/>
    </row>
    <row r="17" spans="1:9">
      <c r="A17" s="170"/>
      <c r="B17" s="248"/>
      <c r="C17" s="248"/>
      <c r="D17" s="248"/>
      <c r="E17" s="173"/>
      <c r="F17" s="173"/>
      <c r="G17" s="173"/>
      <c r="I17" s="190"/>
    </row>
    <row r="18" spans="1:9" ht="14.25">
      <c r="A18" s="192"/>
      <c r="B18" s="1312" t="s">
        <v>322</v>
      </c>
      <c r="C18" s="1312"/>
      <c r="D18" s="1312"/>
      <c r="E18" s="193" t="e">
        <f>SUM(E13:E17)</f>
        <v>#REF!</v>
      </c>
      <c r="F18" s="193" t="e">
        <f>SUM(F13:F17)</f>
        <v>#REF!</v>
      </c>
      <c r="G18" s="193" t="e">
        <f>SUM(G13:G17)</f>
        <v>#REF!</v>
      </c>
    </row>
    <row r="19" spans="1:9" s="196" customFormat="1" ht="14.25">
      <c r="A19" s="72"/>
      <c r="B19" s="194"/>
      <c r="C19" s="194"/>
      <c r="D19" s="194"/>
      <c r="E19" s="195"/>
      <c r="F19" s="195"/>
      <c r="G19" s="195"/>
    </row>
    <row r="20" spans="1:9" ht="14.25">
      <c r="A20" s="208"/>
      <c r="B20" s="194"/>
      <c r="C20" s="194"/>
      <c r="D20" s="194"/>
      <c r="E20" s="209"/>
      <c r="F20" s="210"/>
      <c r="G20" s="210"/>
    </row>
    <row r="21" spans="1:9" ht="14.25">
      <c r="A21" s="213"/>
      <c r="B21" s="1306" t="s">
        <v>324</v>
      </c>
      <c r="C21" s="1306"/>
      <c r="D21" s="1306"/>
      <c r="E21" s="250" t="e">
        <f>SUM(E16:E20)</f>
        <v>#REF!</v>
      </c>
      <c r="F21" s="250" t="e">
        <f>SUM(F16:F20)</f>
        <v>#REF!</v>
      </c>
      <c r="G21" s="250" t="e">
        <f>SUM(G16:G20)</f>
        <v>#REF!</v>
      </c>
    </row>
    <row r="22" spans="1:9">
      <c r="A22" s="1307"/>
      <c r="B22" s="1308"/>
      <c r="C22" s="1308"/>
      <c r="D22" s="1308"/>
      <c r="E22" s="1308"/>
      <c r="F22" s="1308"/>
      <c r="G22" s="1309"/>
    </row>
    <row r="24" spans="1:9">
      <c r="F24" s="190"/>
    </row>
  </sheetData>
  <mergeCells count="12">
    <mergeCell ref="B21:D21"/>
    <mergeCell ref="A22:G22"/>
    <mergeCell ref="B8:D8"/>
    <mergeCell ref="B9:D9"/>
    <mergeCell ref="B14:D14"/>
    <mergeCell ref="B18:D18"/>
    <mergeCell ref="B7:C7"/>
    <mergeCell ref="F1:G1"/>
    <mergeCell ref="D2:E2"/>
    <mergeCell ref="A3:G3"/>
    <mergeCell ref="A5:G5"/>
    <mergeCell ref="B6:D6"/>
  </mergeCells>
  <pageMargins left="0.6" right="0.7" top="2.06" bottom="0.75" header="0.3" footer="0.3"/>
  <pageSetup paperSize="9" scale="87" orientation="portrait" r:id="rId1"/>
  <ignoredErrors>
    <ignoredError sqref="G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6"/>
  <sheetViews>
    <sheetView view="pageBreakPreview" zoomScale="110" zoomScaleSheetLayoutView="110" workbookViewId="0">
      <pane ySplit="6" topLeftCell="A7" activePane="bottomLeft" state="frozen"/>
      <selection activeCell="H3" sqref="H3"/>
      <selection pane="bottomLeft" activeCell="B6" sqref="B6:D6"/>
    </sheetView>
  </sheetViews>
  <sheetFormatPr defaultRowHeight="12.75"/>
  <cols>
    <col min="1" max="1" width="9.7109375" style="157" bestFit="1" customWidth="1"/>
    <col min="2" max="2" width="27.7109375" style="157" bestFit="1" customWidth="1"/>
    <col min="3" max="3" width="4.85546875" style="157" hidden="1" customWidth="1"/>
    <col min="4" max="4" width="14" style="157" customWidth="1"/>
    <col min="5" max="6" width="16.140625" style="157" bestFit="1" customWidth="1"/>
    <col min="7" max="7" width="18.85546875" style="157" bestFit="1" customWidth="1"/>
    <col min="8" max="8" width="9.140625" style="157"/>
    <col min="9" max="9" width="10.5703125" style="157" bestFit="1" customWidth="1"/>
    <col min="10" max="11" width="9.85546875" style="157" bestFit="1" customWidth="1"/>
    <col min="12" max="16384" width="9.140625" style="157"/>
  </cols>
  <sheetData>
    <row r="1" spans="1:10">
      <c r="A1" s="155" t="s">
        <v>304</v>
      </c>
      <c r="B1" s="155" t="s">
        <v>305</v>
      </c>
      <c r="C1" s="156"/>
      <c r="D1" s="156" t="s">
        <v>306</v>
      </c>
      <c r="E1" s="155" t="s">
        <v>307</v>
      </c>
      <c r="F1" s="1299" t="s">
        <v>308</v>
      </c>
      <c r="G1" s="1299"/>
    </row>
    <row r="2" spans="1:10">
      <c r="A2" s="155" t="s">
        <v>309</v>
      </c>
      <c r="B2" s="158" t="s">
        <v>310</v>
      </c>
      <c r="C2" s="155"/>
      <c r="D2" s="1300" t="s">
        <v>331</v>
      </c>
      <c r="E2" s="1300"/>
      <c r="F2" s="159" t="s">
        <v>311</v>
      </c>
      <c r="G2" s="160" t="s">
        <v>312</v>
      </c>
    </row>
    <row r="3" spans="1:10" ht="15.75">
      <c r="A3" s="1301" t="s">
        <v>333</v>
      </c>
      <c r="B3" s="1302"/>
      <c r="C3" s="1302"/>
      <c r="D3" s="1302"/>
      <c r="E3" s="1302"/>
      <c r="F3" s="1302"/>
      <c r="G3" s="1303"/>
    </row>
    <row r="4" spans="1:10" ht="15.75">
      <c r="A4" s="161" t="s">
        <v>313</v>
      </c>
      <c r="B4" s="1284" t="s">
        <v>2554</v>
      </c>
      <c r="C4" s="163"/>
      <c r="D4" s="163"/>
      <c r="E4" s="163"/>
      <c r="F4" s="164" t="s">
        <v>330</v>
      </c>
      <c r="G4" s="165">
        <v>42655</v>
      </c>
    </row>
    <row r="5" spans="1:10" ht="18">
      <c r="A5" s="1315" t="s">
        <v>314</v>
      </c>
      <c r="B5" s="1315"/>
      <c r="C5" s="1315"/>
      <c r="D5" s="1315"/>
      <c r="E5" s="1315"/>
      <c r="F5" s="1315"/>
      <c r="G5" s="1315"/>
    </row>
    <row r="6" spans="1:10" ht="33" customHeight="1">
      <c r="A6" s="166" t="s">
        <v>300</v>
      </c>
      <c r="B6" s="1305" t="s">
        <v>0</v>
      </c>
      <c r="C6" s="1305"/>
      <c r="D6" s="1305"/>
      <c r="E6" s="167" t="s">
        <v>328</v>
      </c>
      <c r="F6" s="167" t="s">
        <v>329</v>
      </c>
      <c r="G6" s="167" t="s">
        <v>315</v>
      </c>
    </row>
    <row r="7" spans="1:10" ht="15.75">
      <c r="A7" s="166" t="s">
        <v>299</v>
      </c>
      <c r="B7" s="1297" t="s">
        <v>316</v>
      </c>
      <c r="C7" s="1298"/>
      <c r="D7" s="166"/>
      <c r="E7" s="168"/>
      <c r="F7" s="169"/>
      <c r="G7" s="169"/>
    </row>
    <row r="8" spans="1:10" ht="14.25">
      <c r="A8" s="170" t="s">
        <v>317</v>
      </c>
      <c r="B8" s="1310" t="s">
        <v>318</v>
      </c>
      <c r="C8" s="1310"/>
      <c r="D8" s="1310"/>
      <c r="E8" s="171">
        <v>52888796</v>
      </c>
      <c r="F8" s="172">
        <f>G8-E8</f>
        <v>328400</v>
      </c>
      <c r="G8" s="173">
        <f>+Abstract!K275</f>
        <v>53217196</v>
      </c>
    </row>
    <row r="9" spans="1:10" ht="14.25">
      <c r="A9" s="170" t="s">
        <v>1036</v>
      </c>
      <c r="B9" s="251" t="s">
        <v>1037</v>
      </c>
      <c r="C9" s="251"/>
      <c r="D9" s="251"/>
      <c r="E9" s="171">
        <v>7781601</v>
      </c>
      <c r="F9" s="172">
        <f>G9-E9</f>
        <v>0</v>
      </c>
      <c r="G9" s="173">
        <f>Abstract!K330</f>
        <v>7781601</v>
      </c>
    </row>
    <row r="10" spans="1:10" s="176" customFormat="1" ht="14.25">
      <c r="A10" s="174" t="s">
        <v>46</v>
      </c>
      <c r="B10" s="1311" t="s">
        <v>319</v>
      </c>
      <c r="C10" s="1311"/>
      <c r="D10" s="1311"/>
      <c r="E10" s="175">
        <f>SUM(E8:E9)</f>
        <v>60670397</v>
      </c>
      <c r="F10" s="175">
        <f>SUM(F8:F9)</f>
        <v>328400</v>
      </c>
      <c r="G10" s="175">
        <f>ROUND(SUM(G8:G9),0)</f>
        <v>60998797</v>
      </c>
      <c r="I10" s="215"/>
    </row>
    <row r="11" spans="1:10" ht="14.25">
      <c r="A11" s="177"/>
      <c r="B11" s="178"/>
      <c r="C11" s="179"/>
      <c r="D11" s="180"/>
      <c r="E11" s="181"/>
      <c r="F11" s="181"/>
      <c r="G11" s="181"/>
      <c r="I11" s="564"/>
      <c r="J11" s="564"/>
    </row>
    <row r="12" spans="1:10">
      <c r="A12" s="182" t="s">
        <v>320</v>
      </c>
      <c r="B12" s="183" t="s">
        <v>2271</v>
      </c>
      <c r="C12" s="184"/>
      <c r="D12" s="185"/>
      <c r="E12" s="186">
        <v>-1141412</v>
      </c>
      <c r="F12" s="172">
        <f>G12-E12</f>
        <v>0</v>
      </c>
      <c r="G12" s="186">
        <f>BRD_Tiles!N10</f>
        <v>-1141412</v>
      </c>
    </row>
    <row r="13" spans="1:10" ht="16.5" customHeight="1">
      <c r="A13" s="182"/>
      <c r="B13" s="183" t="s">
        <v>2272</v>
      </c>
      <c r="C13" s="184"/>
      <c r="D13" s="185"/>
      <c r="E13" s="186">
        <v>65704</v>
      </c>
      <c r="F13" s="172">
        <f>G13-E13</f>
        <v>523394</v>
      </c>
      <c r="G13" s="186">
        <f>'BRD_Cement &amp; Steel'!H9</f>
        <v>589098</v>
      </c>
    </row>
    <row r="14" spans="1:10" ht="14.25">
      <c r="A14" s="174" t="s">
        <v>50</v>
      </c>
      <c r="B14" s="187" t="s">
        <v>321</v>
      </c>
      <c r="C14" s="188"/>
      <c r="D14" s="189"/>
      <c r="E14" s="175">
        <f>SUM(E10:E13)</f>
        <v>59594689</v>
      </c>
      <c r="F14" s="175">
        <f>SUM(F10:F13)</f>
        <v>851794</v>
      </c>
      <c r="G14" s="175">
        <f>SUM(G10:G13)</f>
        <v>60446483</v>
      </c>
    </row>
    <row r="15" spans="1:10">
      <c r="A15" s="170" t="s">
        <v>67</v>
      </c>
      <c r="B15" s="1310" t="s">
        <v>1356</v>
      </c>
      <c r="C15" s="1310"/>
      <c r="D15" s="1310"/>
      <c r="E15" s="173">
        <v>3456492</v>
      </c>
      <c r="F15" s="1268">
        <f>ROUND(F14*5.8%,0)</f>
        <v>49404</v>
      </c>
      <c r="G15" s="173">
        <f>+F15+E15</f>
        <v>3505896</v>
      </c>
      <c r="I15" s="190"/>
    </row>
    <row r="16" spans="1:10">
      <c r="A16" s="170"/>
      <c r="B16" s="191"/>
      <c r="C16" s="191"/>
      <c r="D16" s="191"/>
      <c r="E16" s="173"/>
      <c r="F16" s="173"/>
      <c r="G16" s="173"/>
      <c r="I16" s="190"/>
    </row>
    <row r="17" spans="1:11">
      <c r="A17" s="170"/>
      <c r="B17" s="191"/>
      <c r="C17" s="191"/>
      <c r="D17" s="191"/>
      <c r="E17" s="173"/>
      <c r="F17" s="173"/>
      <c r="G17" s="173"/>
      <c r="I17" s="190"/>
    </row>
    <row r="18" spans="1:11">
      <c r="A18" s="170"/>
      <c r="B18" s="191"/>
      <c r="C18" s="191"/>
      <c r="D18" s="191"/>
      <c r="E18" s="173"/>
      <c r="F18" s="173"/>
      <c r="G18" s="173"/>
      <c r="I18" s="190"/>
    </row>
    <row r="19" spans="1:11">
      <c r="A19" s="170"/>
      <c r="B19" s="191"/>
      <c r="C19" s="191"/>
      <c r="D19" s="191"/>
      <c r="E19" s="173"/>
      <c r="F19" s="173"/>
      <c r="G19" s="173"/>
      <c r="I19" s="190"/>
    </row>
    <row r="20" spans="1:11">
      <c r="A20" s="170"/>
      <c r="B20" s="191"/>
      <c r="C20" s="191"/>
      <c r="D20" s="191"/>
      <c r="E20" s="173"/>
      <c r="F20" s="173"/>
      <c r="G20" s="173"/>
      <c r="I20" s="190"/>
    </row>
    <row r="21" spans="1:11" ht="14.25">
      <c r="A21" s="192" t="s">
        <v>73</v>
      </c>
      <c r="B21" s="1312" t="s">
        <v>322</v>
      </c>
      <c r="C21" s="1312"/>
      <c r="D21" s="1312"/>
      <c r="E21" s="193">
        <f>SUM(E14:E20)</f>
        <v>63051181</v>
      </c>
      <c r="F21" s="193">
        <f>SUM(F14:F20)</f>
        <v>901198</v>
      </c>
      <c r="G21" s="193">
        <f>SUM(G14:G20)</f>
        <v>63952379</v>
      </c>
    </row>
    <row r="22" spans="1:11" s="196" customFormat="1" ht="14.25">
      <c r="A22" s="72"/>
      <c r="B22" s="194"/>
      <c r="C22" s="194"/>
      <c r="D22" s="194"/>
      <c r="E22" s="195"/>
      <c r="F22" s="195"/>
      <c r="G22" s="195"/>
    </row>
    <row r="23" spans="1:11" ht="14.25">
      <c r="A23" s="73" t="s">
        <v>213</v>
      </c>
      <c r="B23" s="1311" t="s">
        <v>7</v>
      </c>
      <c r="C23" s="1311"/>
      <c r="D23" s="1311"/>
      <c r="E23" s="197">
        <f>SUM(E21:E22)</f>
        <v>63051181</v>
      </c>
      <c r="F23" s="197">
        <f>SUM(F21:F22)</f>
        <v>901198</v>
      </c>
      <c r="G23" s="197">
        <f>SUM(G21:G22)</f>
        <v>63952379</v>
      </c>
    </row>
    <row r="24" spans="1:11">
      <c r="A24" s="170" t="s">
        <v>162</v>
      </c>
      <c r="B24" s="1313" t="s">
        <v>323</v>
      </c>
      <c r="C24" s="1313"/>
      <c r="D24" s="1313"/>
      <c r="E24" s="198"/>
      <c r="F24" s="173"/>
      <c r="G24" s="173"/>
    </row>
    <row r="25" spans="1:11" s="204" customFormat="1">
      <c r="A25" s="199"/>
      <c r="B25" s="200" t="s">
        <v>337</v>
      </c>
      <c r="C25" s="201"/>
      <c r="D25" s="202"/>
      <c r="E25" s="252">
        <f>E14*5%</f>
        <v>2979734.45</v>
      </c>
      <c r="F25" s="203">
        <f>G25-E25</f>
        <v>42589.700000000186</v>
      </c>
      <c r="G25" s="252">
        <f>G14*5%</f>
        <v>3022324.1500000004</v>
      </c>
    </row>
    <row r="26" spans="1:11">
      <c r="A26" s="205"/>
      <c r="B26" s="191"/>
      <c r="C26" s="191"/>
      <c r="D26" s="191"/>
      <c r="E26" s="198"/>
      <c r="F26" s="173"/>
      <c r="G26" s="173"/>
    </row>
    <row r="27" spans="1:11" ht="14.25">
      <c r="A27" s="206"/>
      <c r="B27" s="1316" t="s">
        <v>326</v>
      </c>
      <c r="C27" s="1316"/>
      <c r="D27" s="1316"/>
      <c r="E27" s="207">
        <f>SUM(E25:E25)</f>
        <v>2979734.45</v>
      </c>
      <c r="F27" s="207">
        <f>SUM(F25:F25)</f>
        <v>42589.700000000186</v>
      </c>
      <c r="G27" s="207">
        <f>SUM(G25:G25)</f>
        <v>3022324.1500000004</v>
      </c>
    </row>
    <row r="28" spans="1:11" ht="14.25">
      <c r="A28" s="208"/>
      <c r="B28" s="194"/>
      <c r="C28" s="194"/>
      <c r="D28" s="194"/>
      <c r="E28" s="209"/>
      <c r="F28" s="210"/>
      <c r="G28" s="210"/>
    </row>
    <row r="29" spans="1:11" ht="15.75">
      <c r="A29" s="211"/>
      <c r="B29" s="1314" t="s">
        <v>325</v>
      </c>
      <c r="C29" s="1314"/>
      <c r="D29" s="1314"/>
      <c r="E29" s="212">
        <f>E23-E27</f>
        <v>60071446.549999997</v>
      </c>
      <c r="F29" s="212">
        <f>F23-F27</f>
        <v>858608.29999999981</v>
      </c>
      <c r="G29" s="212">
        <f>G23-G27</f>
        <v>60930054.850000001</v>
      </c>
    </row>
    <row r="30" spans="1:11">
      <c r="A30" s="170"/>
      <c r="B30" s="1313"/>
      <c r="C30" s="1313"/>
      <c r="D30" s="1313"/>
      <c r="E30" s="173"/>
      <c r="F30" s="173"/>
      <c r="G30" s="173"/>
    </row>
    <row r="31" spans="1:11">
      <c r="A31" s="205"/>
      <c r="B31" s="1310"/>
      <c r="C31" s="1310"/>
      <c r="D31" s="1310"/>
      <c r="E31" s="173"/>
      <c r="F31" s="173"/>
      <c r="G31" s="173"/>
    </row>
    <row r="32" spans="1:11" ht="14.25">
      <c r="A32" s="208"/>
      <c r="B32" s="194"/>
      <c r="C32" s="194"/>
      <c r="D32" s="194"/>
      <c r="E32" s="209"/>
      <c r="F32" s="210"/>
      <c r="G32" s="210"/>
      <c r="K32" s="564"/>
    </row>
    <row r="33" spans="1:11" ht="15.75">
      <c r="A33" s="213"/>
      <c r="B33" s="1306" t="s">
        <v>324</v>
      </c>
      <c r="C33" s="1306"/>
      <c r="D33" s="1306"/>
      <c r="E33" s="214">
        <f>E23-E27-E31</f>
        <v>60071446.549999997</v>
      </c>
      <c r="F33" s="214">
        <f>F23-F27-F31</f>
        <v>858608.29999999981</v>
      </c>
      <c r="G33" s="214">
        <f>G23-G27-G31</f>
        <v>60930054.850000001</v>
      </c>
      <c r="K33" s="564"/>
    </row>
    <row r="34" spans="1:11">
      <c r="A34" s="1307"/>
      <c r="B34" s="1308"/>
      <c r="C34" s="1308"/>
      <c r="D34" s="1308"/>
      <c r="E34" s="1308"/>
      <c r="F34" s="1308"/>
      <c r="G34" s="1309"/>
    </row>
    <row r="36" spans="1:11">
      <c r="F36" s="190"/>
    </row>
  </sheetData>
  <mergeCells count="18">
    <mergeCell ref="F1:G1"/>
    <mergeCell ref="D2:E2"/>
    <mergeCell ref="A3:G3"/>
    <mergeCell ref="A5:G5"/>
    <mergeCell ref="B27:D27"/>
    <mergeCell ref="B6:D6"/>
    <mergeCell ref="B7:C7"/>
    <mergeCell ref="B8:D8"/>
    <mergeCell ref="B10:D10"/>
    <mergeCell ref="A34:G34"/>
    <mergeCell ref="B23:D23"/>
    <mergeCell ref="B24:D24"/>
    <mergeCell ref="B15:D15"/>
    <mergeCell ref="B21:D21"/>
    <mergeCell ref="B29:D29"/>
    <mergeCell ref="B30:D30"/>
    <mergeCell ref="B31:D31"/>
    <mergeCell ref="B33:D33"/>
  </mergeCells>
  <pageMargins left="0.33" right="0.22" top="2.2400000000000002" bottom="0.75" header="0.3" footer="0.3"/>
  <pageSetup paperSize="9" scale="95" orientation="portrait" r:id="rId1"/>
  <ignoredErrors>
    <ignoredError sqref="F25" formula="1"/>
    <ignoredError sqref="G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X334"/>
  <sheetViews>
    <sheetView showZeros="0" view="pageBreakPreview" topLeftCell="B1" zoomScaleNormal="85" zoomScaleSheetLayoutView="100" workbookViewId="0">
      <pane ySplit="6" topLeftCell="A54" activePane="bottomLeft" state="frozen"/>
      <selection activeCell="H3" sqref="H3"/>
      <selection pane="bottomLeft" activeCell="G54" sqref="G54"/>
    </sheetView>
  </sheetViews>
  <sheetFormatPr defaultRowHeight="15.75"/>
  <cols>
    <col min="1" max="1" width="9.28515625" style="838" customWidth="1"/>
    <col min="2" max="2" width="51" style="833" customWidth="1"/>
    <col min="3" max="3" width="7.42578125" style="839" bestFit="1" customWidth="1"/>
    <col min="4" max="4" width="8" style="840" customWidth="1"/>
    <col min="5" max="5" width="11.7109375" style="840" bestFit="1" customWidth="1"/>
    <col min="6" max="6" width="9.85546875" style="837" bestFit="1" customWidth="1"/>
    <col min="7" max="7" width="10.28515625" style="837" customWidth="1"/>
    <col min="8" max="8" width="10.5703125" style="837" bestFit="1" customWidth="1"/>
    <col min="9" max="9" width="18.140625" style="837" bestFit="1" customWidth="1"/>
    <col min="10" max="10" width="15.85546875" style="837" bestFit="1" customWidth="1"/>
    <col min="11" max="11" width="18.140625" style="837" bestFit="1" customWidth="1"/>
    <col min="12" max="12" width="20.85546875" style="755" customWidth="1"/>
    <col min="13" max="13" width="14.7109375" style="755" customWidth="1"/>
    <col min="14" max="14" width="16.7109375" style="755" customWidth="1"/>
    <col min="15" max="15" width="15.28515625" style="755" customWidth="1"/>
    <col min="16" max="16384" width="9.140625" style="755"/>
  </cols>
  <sheetData>
    <row r="1" spans="1:12" s="745" customFormat="1">
      <c r="A1" s="1324" t="s">
        <v>1</v>
      </c>
      <c r="B1" s="1325"/>
      <c r="C1" s="1325"/>
      <c r="D1" s="1325"/>
      <c r="E1" s="1325"/>
      <c r="F1" s="1325"/>
      <c r="G1" s="1325"/>
      <c r="H1" s="1325"/>
      <c r="I1" s="1325"/>
      <c r="J1" s="1325"/>
      <c r="K1" s="1326"/>
    </row>
    <row r="2" spans="1:12" s="746" customFormat="1">
      <c r="A2" s="1324" t="s">
        <v>2426</v>
      </c>
      <c r="B2" s="1325"/>
      <c r="C2" s="1325"/>
      <c r="D2" s="1325"/>
      <c r="E2" s="1325"/>
      <c r="F2" s="1325"/>
      <c r="G2" s="1325"/>
      <c r="H2" s="1325"/>
      <c r="I2" s="1325"/>
      <c r="J2" s="1325"/>
      <c r="K2" s="1326"/>
    </row>
    <row r="3" spans="1:12" s="746" customFormat="1" ht="18">
      <c r="A3" s="747"/>
      <c r="B3" s="1327" t="s">
        <v>2555</v>
      </c>
      <c r="C3" s="1327"/>
      <c r="D3" s="1327"/>
      <c r="E3" s="1327"/>
      <c r="F3" s="1327"/>
      <c r="G3" s="1327"/>
      <c r="H3" s="1327"/>
      <c r="I3" s="1328" t="s">
        <v>2552</v>
      </c>
      <c r="J3" s="1328"/>
      <c r="K3" s="1329"/>
    </row>
    <row r="4" spans="1:12" s="748" customFormat="1" ht="14.25">
      <c r="A4" s="1330" t="s">
        <v>300</v>
      </c>
      <c r="B4" s="1330" t="s">
        <v>0</v>
      </c>
      <c r="C4" s="1330" t="s">
        <v>297</v>
      </c>
      <c r="D4" s="1332" t="s">
        <v>26</v>
      </c>
      <c r="E4" s="1334" t="s">
        <v>1337</v>
      </c>
      <c r="F4" s="1335"/>
      <c r="G4" s="1336"/>
      <c r="H4" s="1317" t="s">
        <v>594</v>
      </c>
      <c r="I4" s="1319" t="s">
        <v>303</v>
      </c>
      <c r="J4" s="1320"/>
      <c r="K4" s="1321"/>
      <c r="L4" s="1317" t="s">
        <v>2430</v>
      </c>
    </row>
    <row r="5" spans="1:12" s="748" customFormat="1" ht="28.5">
      <c r="A5" s="1331"/>
      <c r="B5" s="1331"/>
      <c r="C5" s="1331"/>
      <c r="D5" s="1333"/>
      <c r="E5" s="749" t="s">
        <v>592</v>
      </c>
      <c r="F5" s="750" t="s">
        <v>591</v>
      </c>
      <c r="G5" s="750" t="s">
        <v>2548</v>
      </c>
      <c r="H5" s="1318"/>
      <c r="I5" s="751" t="s">
        <v>592</v>
      </c>
      <c r="J5" s="750" t="s">
        <v>591</v>
      </c>
      <c r="K5" s="750" t="s">
        <v>593</v>
      </c>
      <c r="L5" s="1318"/>
    </row>
    <row r="6" spans="1:12">
      <c r="A6" s="882"/>
      <c r="B6" s="1135" t="s">
        <v>341</v>
      </c>
      <c r="C6" s="752"/>
      <c r="D6" s="753"/>
      <c r="E6" s="753"/>
      <c r="F6" s="754"/>
      <c r="G6" s="754"/>
      <c r="H6" s="754"/>
      <c r="I6" s="754"/>
      <c r="J6" s="754"/>
      <c r="K6" s="754"/>
      <c r="L6" s="1269"/>
    </row>
    <row r="7" spans="1:12">
      <c r="A7" s="1136">
        <v>1</v>
      </c>
      <c r="B7" s="1137" t="s">
        <v>342</v>
      </c>
      <c r="C7" s="756"/>
      <c r="D7" s="893"/>
      <c r="E7" s="893"/>
      <c r="F7" s="763"/>
      <c r="G7" s="434"/>
      <c r="H7" s="763"/>
      <c r="I7" s="763"/>
      <c r="J7" s="763"/>
      <c r="K7" s="763"/>
      <c r="L7" s="1269"/>
    </row>
    <row r="8" spans="1:12" ht="47.25">
      <c r="A8" s="1138"/>
      <c r="B8" s="1139" t="s">
        <v>343</v>
      </c>
      <c r="C8" s="757"/>
      <c r="D8" s="894"/>
      <c r="E8" s="894"/>
      <c r="F8" s="766"/>
      <c r="G8" s="791"/>
      <c r="H8" s="766"/>
      <c r="I8" s="766"/>
      <c r="J8" s="766"/>
      <c r="K8" s="766"/>
      <c r="L8" s="1269"/>
    </row>
    <row r="9" spans="1:12" ht="204.75">
      <c r="A9" s="1140">
        <v>1.1000000000000001</v>
      </c>
      <c r="B9" s="1139" t="s">
        <v>344</v>
      </c>
      <c r="C9" s="758"/>
      <c r="D9" s="895"/>
      <c r="E9" s="895"/>
      <c r="F9" s="744"/>
      <c r="G9" s="434"/>
      <c r="H9" s="744"/>
      <c r="I9" s="744"/>
      <c r="J9" s="744"/>
      <c r="K9" s="744"/>
      <c r="L9" s="1269"/>
    </row>
    <row r="10" spans="1:12" ht="47.25">
      <c r="A10" s="1140" t="s">
        <v>345</v>
      </c>
      <c r="B10" s="1139" t="s">
        <v>346</v>
      </c>
      <c r="C10" s="758" t="s">
        <v>347</v>
      </c>
      <c r="D10" s="895">
        <v>500</v>
      </c>
      <c r="E10" s="744">
        <v>1810.57</v>
      </c>
      <c r="F10" s="744">
        <f>G10-E10</f>
        <v>0</v>
      </c>
      <c r="G10" s="434">
        <f>MB!G97</f>
        <v>1810.57</v>
      </c>
      <c r="H10" s="744">
        <v>125</v>
      </c>
      <c r="I10" s="760">
        <f>ROUND(E10*H10,0)</f>
        <v>226321</v>
      </c>
      <c r="J10" s="761">
        <f>K10-I10</f>
        <v>0</v>
      </c>
      <c r="K10" s="761">
        <f>ROUND(G10*H10,0)</f>
        <v>226321</v>
      </c>
      <c r="L10" s="1269"/>
    </row>
    <row r="11" spans="1:12" ht="204.75">
      <c r="A11" s="1140"/>
      <c r="B11" s="1139" t="s">
        <v>2515</v>
      </c>
      <c r="C11" s="758"/>
      <c r="D11" s="895"/>
      <c r="E11" s="744"/>
      <c r="F11" s="744">
        <f t="shared" ref="F11:F54" si="0">G11-E11</f>
        <v>0</v>
      </c>
      <c r="G11" s="434"/>
      <c r="H11" s="744"/>
      <c r="I11" s="761">
        <f t="shared" ref="I11:I50" si="1">ROUND(E11*H11,0)</f>
        <v>0</v>
      </c>
      <c r="J11" s="761">
        <f t="shared" ref="J11:J72" si="2">K11-I11</f>
        <v>0</v>
      </c>
      <c r="K11" s="761">
        <f t="shared" ref="K11:K72" si="3">ROUND(G11*H11,0)</f>
        <v>0</v>
      </c>
      <c r="L11" s="1269"/>
    </row>
    <row r="12" spans="1:12" ht="252">
      <c r="A12" s="1140">
        <v>1.6</v>
      </c>
      <c r="B12" s="1139" t="s">
        <v>348</v>
      </c>
      <c r="C12" s="758"/>
      <c r="D12" s="895">
        <v>0</v>
      </c>
      <c r="E12" s="744"/>
      <c r="F12" s="744">
        <f t="shared" si="0"/>
        <v>0</v>
      </c>
      <c r="G12" s="434"/>
      <c r="H12" s="744"/>
      <c r="I12" s="761">
        <f t="shared" si="1"/>
        <v>0</v>
      </c>
      <c r="J12" s="761">
        <f t="shared" si="2"/>
        <v>0</v>
      </c>
      <c r="K12" s="761">
        <f t="shared" si="3"/>
        <v>0</v>
      </c>
      <c r="L12" s="1269"/>
    </row>
    <row r="13" spans="1:12" ht="31.5">
      <c r="A13" s="1140" t="s">
        <v>336</v>
      </c>
      <c r="B13" s="889" t="s">
        <v>349</v>
      </c>
      <c r="C13" s="759" t="s">
        <v>350</v>
      </c>
      <c r="D13" s="895">
        <v>2500</v>
      </c>
      <c r="E13" s="744">
        <v>1909.24</v>
      </c>
      <c r="F13" s="744">
        <f t="shared" si="0"/>
        <v>0</v>
      </c>
      <c r="G13" s="434">
        <f>MB!G112</f>
        <v>1909.24</v>
      </c>
      <c r="H13" s="744">
        <v>100</v>
      </c>
      <c r="I13" s="761">
        <f t="shared" si="1"/>
        <v>190924</v>
      </c>
      <c r="J13" s="761">
        <f t="shared" si="2"/>
        <v>0</v>
      </c>
      <c r="K13" s="761">
        <f t="shared" si="3"/>
        <v>190924</v>
      </c>
      <c r="L13" s="1269"/>
    </row>
    <row r="14" spans="1:12" ht="267.75">
      <c r="A14" s="1140">
        <v>1.7</v>
      </c>
      <c r="B14" s="1139" t="s">
        <v>351</v>
      </c>
      <c r="C14" s="758" t="s">
        <v>352</v>
      </c>
      <c r="D14" s="895">
        <v>0</v>
      </c>
      <c r="E14" s="744">
        <v>0</v>
      </c>
      <c r="F14" s="744">
        <f t="shared" si="0"/>
        <v>0</v>
      </c>
      <c r="G14" s="434"/>
      <c r="H14" s="744"/>
      <c r="I14" s="761">
        <f t="shared" si="1"/>
        <v>0</v>
      </c>
      <c r="J14" s="761">
        <f t="shared" si="2"/>
        <v>0</v>
      </c>
      <c r="K14" s="761">
        <f t="shared" si="3"/>
        <v>0</v>
      </c>
      <c r="L14" s="1269"/>
    </row>
    <row r="15" spans="1:12">
      <c r="A15" s="1140"/>
      <c r="B15" s="889"/>
      <c r="C15" s="758"/>
      <c r="D15" s="895">
        <v>0</v>
      </c>
      <c r="E15" s="744">
        <v>0</v>
      </c>
      <c r="F15" s="744">
        <f t="shared" si="0"/>
        <v>0</v>
      </c>
      <c r="G15" s="434"/>
      <c r="H15" s="744"/>
      <c r="I15" s="761">
        <f t="shared" si="1"/>
        <v>0</v>
      </c>
      <c r="J15" s="761">
        <f t="shared" si="2"/>
        <v>0</v>
      </c>
      <c r="K15" s="761">
        <f t="shared" si="3"/>
        <v>0</v>
      </c>
      <c r="L15" s="1269"/>
    </row>
    <row r="16" spans="1:12" ht="94.5">
      <c r="A16" s="1141">
        <v>1.8</v>
      </c>
      <c r="B16" s="1139" t="s">
        <v>353</v>
      </c>
      <c r="C16" s="762" t="s">
        <v>350</v>
      </c>
      <c r="D16" s="893">
        <v>1536</v>
      </c>
      <c r="E16" s="763">
        <v>0</v>
      </c>
      <c r="F16" s="744">
        <f t="shared" si="0"/>
        <v>0</v>
      </c>
      <c r="G16" s="763"/>
      <c r="H16" s="763">
        <v>370</v>
      </c>
      <c r="I16" s="760">
        <f t="shared" si="1"/>
        <v>0</v>
      </c>
      <c r="J16" s="760">
        <f t="shared" si="2"/>
        <v>0</v>
      </c>
      <c r="K16" s="760">
        <f t="shared" si="3"/>
        <v>0</v>
      </c>
      <c r="L16" s="1269"/>
    </row>
    <row r="17" spans="1:12">
      <c r="A17" s="1140"/>
      <c r="B17" s="889"/>
      <c r="C17" s="758"/>
      <c r="D17" s="895">
        <v>0</v>
      </c>
      <c r="E17" s="744">
        <v>0</v>
      </c>
      <c r="F17" s="744">
        <f t="shared" si="0"/>
        <v>0</v>
      </c>
      <c r="G17" s="434"/>
      <c r="H17" s="744"/>
      <c r="I17" s="761">
        <f t="shared" si="1"/>
        <v>0</v>
      </c>
      <c r="J17" s="761">
        <f t="shared" si="2"/>
        <v>0</v>
      </c>
      <c r="K17" s="761">
        <f t="shared" si="3"/>
        <v>0</v>
      </c>
      <c r="L17" s="1269"/>
    </row>
    <row r="18" spans="1:12" hidden="1">
      <c r="A18" s="1142">
        <v>2</v>
      </c>
      <c r="B18" s="1143" t="s">
        <v>354</v>
      </c>
      <c r="C18" s="764"/>
      <c r="D18" s="893">
        <v>0</v>
      </c>
      <c r="E18" s="763">
        <v>0</v>
      </c>
      <c r="F18" s="744">
        <f t="shared" si="0"/>
        <v>0</v>
      </c>
      <c r="G18" s="434"/>
      <c r="H18" s="765"/>
      <c r="I18" s="761">
        <f t="shared" si="1"/>
        <v>0</v>
      </c>
      <c r="J18" s="761">
        <f t="shared" si="2"/>
        <v>0</v>
      </c>
      <c r="K18" s="761">
        <f t="shared" si="3"/>
        <v>0</v>
      </c>
      <c r="L18" s="1269"/>
    </row>
    <row r="19" spans="1:12" ht="47.25" hidden="1">
      <c r="A19" s="1138"/>
      <c r="B19" s="1139" t="s">
        <v>343</v>
      </c>
      <c r="C19" s="757"/>
      <c r="D19" s="895">
        <v>0</v>
      </c>
      <c r="E19" s="744">
        <v>0</v>
      </c>
      <c r="F19" s="744">
        <f t="shared" si="0"/>
        <v>0</v>
      </c>
      <c r="G19" s="434"/>
      <c r="H19" s="766"/>
      <c r="I19" s="761">
        <f t="shared" si="1"/>
        <v>0</v>
      </c>
      <c r="J19" s="761">
        <f t="shared" si="2"/>
        <v>0</v>
      </c>
      <c r="K19" s="761">
        <f t="shared" si="3"/>
        <v>0</v>
      </c>
      <c r="L19" s="1269"/>
    </row>
    <row r="20" spans="1:12" ht="173.25" hidden="1">
      <c r="A20" s="1142">
        <v>2.1</v>
      </c>
      <c r="B20" s="1139" t="s">
        <v>355</v>
      </c>
      <c r="C20" s="767"/>
      <c r="D20" s="895">
        <v>0</v>
      </c>
      <c r="E20" s="744">
        <v>0</v>
      </c>
      <c r="F20" s="744">
        <f t="shared" si="0"/>
        <v>0</v>
      </c>
      <c r="G20" s="434"/>
      <c r="H20" s="768"/>
      <c r="I20" s="761">
        <f t="shared" si="1"/>
        <v>0</v>
      </c>
      <c r="J20" s="761">
        <f t="shared" si="2"/>
        <v>0</v>
      </c>
      <c r="K20" s="761">
        <f t="shared" si="3"/>
        <v>0</v>
      </c>
      <c r="L20" s="1269"/>
    </row>
    <row r="21" spans="1:12" ht="31.5" hidden="1">
      <c r="A21" s="1142">
        <v>2.8</v>
      </c>
      <c r="B21" s="1144" t="s">
        <v>357</v>
      </c>
      <c r="C21" s="769" t="s">
        <v>358</v>
      </c>
      <c r="D21" s="895">
        <v>0</v>
      </c>
      <c r="E21" s="744">
        <v>0</v>
      </c>
      <c r="F21" s="744">
        <f t="shared" si="0"/>
        <v>0</v>
      </c>
      <c r="G21" s="434"/>
      <c r="H21" s="768"/>
      <c r="I21" s="761">
        <f t="shared" si="1"/>
        <v>0</v>
      </c>
      <c r="J21" s="761">
        <f t="shared" si="2"/>
        <v>0</v>
      </c>
      <c r="K21" s="761">
        <f t="shared" si="3"/>
        <v>0</v>
      </c>
      <c r="L21" s="1269"/>
    </row>
    <row r="22" spans="1:12" hidden="1">
      <c r="A22" s="1140"/>
      <c r="B22" s="889"/>
      <c r="C22" s="759"/>
      <c r="D22" s="895">
        <v>0</v>
      </c>
      <c r="E22" s="744">
        <v>0</v>
      </c>
      <c r="F22" s="744">
        <f t="shared" si="0"/>
        <v>0</v>
      </c>
      <c r="G22" s="434"/>
      <c r="H22" s="744"/>
      <c r="I22" s="761">
        <f t="shared" si="1"/>
        <v>0</v>
      </c>
      <c r="J22" s="761">
        <f t="shared" si="2"/>
        <v>0</v>
      </c>
      <c r="K22" s="761">
        <f t="shared" si="3"/>
        <v>0</v>
      </c>
      <c r="L22" s="1269"/>
    </row>
    <row r="23" spans="1:12">
      <c r="A23" s="1145">
        <v>3</v>
      </c>
      <c r="B23" s="1137" t="s">
        <v>359</v>
      </c>
      <c r="C23" s="756"/>
      <c r="D23" s="893">
        <v>0</v>
      </c>
      <c r="E23" s="763">
        <v>0</v>
      </c>
      <c r="F23" s="744">
        <f t="shared" si="0"/>
        <v>0</v>
      </c>
      <c r="G23" s="434"/>
      <c r="H23" s="763"/>
      <c r="I23" s="761">
        <f t="shared" si="1"/>
        <v>0</v>
      </c>
      <c r="J23" s="761">
        <f t="shared" si="2"/>
        <v>0</v>
      </c>
      <c r="K23" s="761">
        <f t="shared" si="3"/>
        <v>0</v>
      </c>
      <c r="L23" s="1269"/>
    </row>
    <row r="24" spans="1:12" ht="94.5">
      <c r="A24" s="1140"/>
      <c r="B24" s="1139" t="s">
        <v>360</v>
      </c>
      <c r="C24" s="759"/>
      <c r="D24" s="895">
        <v>0</v>
      </c>
      <c r="E24" s="744">
        <v>0</v>
      </c>
      <c r="F24" s="744">
        <f t="shared" si="0"/>
        <v>0</v>
      </c>
      <c r="G24" s="434"/>
      <c r="H24" s="744"/>
      <c r="I24" s="761">
        <f t="shared" si="1"/>
        <v>0</v>
      </c>
      <c r="J24" s="761">
        <f t="shared" si="2"/>
        <v>0</v>
      </c>
      <c r="K24" s="761">
        <f t="shared" si="3"/>
        <v>0</v>
      </c>
      <c r="L24" s="1269"/>
    </row>
    <row r="25" spans="1:12" ht="47.25">
      <c r="A25" s="1140">
        <v>3.1</v>
      </c>
      <c r="B25" s="1139" t="s">
        <v>361</v>
      </c>
      <c r="C25" s="759"/>
      <c r="D25" s="895">
        <v>0</v>
      </c>
      <c r="E25" s="744">
        <v>0</v>
      </c>
      <c r="F25" s="744">
        <f t="shared" si="0"/>
        <v>0</v>
      </c>
      <c r="G25" s="434"/>
      <c r="H25" s="744"/>
      <c r="I25" s="761">
        <f t="shared" si="1"/>
        <v>0</v>
      </c>
      <c r="J25" s="761">
        <f t="shared" si="2"/>
        <v>0</v>
      </c>
      <c r="K25" s="761">
        <f t="shared" si="3"/>
        <v>0</v>
      </c>
      <c r="L25" s="1269"/>
    </row>
    <row r="26" spans="1:12" ht="31.5">
      <c r="A26" s="1140" t="s">
        <v>362</v>
      </c>
      <c r="B26" s="1139" t="s">
        <v>363</v>
      </c>
      <c r="C26" s="758" t="s">
        <v>347</v>
      </c>
      <c r="D26" s="895">
        <v>10</v>
      </c>
      <c r="E26" s="744">
        <v>0</v>
      </c>
      <c r="F26" s="744">
        <f t="shared" si="0"/>
        <v>0</v>
      </c>
      <c r="G26" s="434"/>
      <c r="H26" s="744">
        <v>3925</v>
      </c>
      <c r="I26" s="761">
        <f t="shared" si="1"/>
        <v>0</v>
      </c>
      <c r="J26" s="761">
        <f t="shared" si="2"/>
        <v>0</v>
      </c>
      <c r="K26" s="761">
        <f t="shared" si="3"/>
        <v>0</v>
      </c>
      <c r="L26" s="1269"/>
    </row>
    <row r="27" spans="1:12" ht="31.5">
      <c r="A27" s="1140" t="s">
        <v>334</v>
      </c>
      <c r="B27" s="1139" t="s">
        <v>364</v>
      </c>
      <c r="C27" s="758" t="s">
        <v>347</v>
      </c>
      <c r="D27" s="895">
        <v>275</v>
      </c>
      <c r="E27" s="744">
        <v>309.24</v>
      </c>
      <c r="F27" s="744">
        <f t="shared" si="0"/>
        <v>0</v>
      </c>
      <c r="G27" s="434">
        <f>MB!G340</f>
        <v>309.24000000000007</v>
      </c>
      <c r="H27" s="744">
        <v>4220</v>
      </c>
      <c r="I27" s="761">
        <f t="shared" si="1"/>
        <v>1304993</v>
      </c>
      <c r="J27" s="761">
        <f t="shared" si="2"/>
        <v>0</v>
      </c>
      <c r="K27" s="761">
        <f t="shared" si="3"/>
        <v>1304993</v>
      </c>
      <c r="L27" s="1269"/>
    </row>
    <row r="28" spans="1:12">
      <c r="A28" s="1140"/>
      <c r="B28" s="889"/>
      <c r="C28" s="759"/>
      <c r="D28" s="895">
        <v>0</v>
      </c>
      <c r="E28" s="744">
        <v>0</v>
      </c>
      <c r="F28" s="744">
        <f t="shared" si="0"/>
        <v>0</v>
      </c>
      <c r="G28" s="434"/>
      <c r="H28" s="744"/>
      <c r="I28" s="761">
        <f t="shared" si="1"/>
        <v>0</v>
      </c>
      <c r="J28" s="761">
        <f t="shared" si="2"/>
        <v>0</v>
      </c>
      <c r="K28" s="761">
        <f t="shared" si="3"/>
        <v>0</v>
      </c>
      <c r="L28" s="1269"/>
    </row>
    <row r="29" spans="1:12" ht="47.25">
      <c r="A29" s="1138"/>
      <c r="B29" s="1139" t="s">
        <v>343</v>
      </c>
      <c r="C29" s="757"/>
      <c r="D29" s="895">
        <v>0</v>
      </c>
      <c r="E29" s="744">
        <v>0</v>
      </c>
      <c r="F29" s="744">
        <f t="shared" si="0"/>
        <v>0</v>
      </c>
      <c r="G29" s="434"/>
      <c r="H29" s="766"/>
      <c r="I29" s="761">
        <f t="shared" si="1"/>
        <v>0</v>
      </c>
      <c r="J29" s="761">
        <f t="shared" si="2"/>
        <v>0</v>
      </c>
      <c r="K29" s="761">
        <f t="shared" si="3"/>
        <v>0</v>
      </c>
      <c r="L29" s="1269"/>
    </row>
    <row r="30" spans="1:12">
      <c r="A30" s="1145">
        <v>4</v>
      </c>
      <c r="B30" s="1137" t="s">
        <v>365</v>
      </c>
      <c r="C30" s="756"/>
      <c r="D30" s="893">
        <v>0</v>
      </c>
      <c r="E30" s="763">
        <v>0</v>
      </c>
      <c r="F30" s="744">
        <f t="shared" si="0"/>
        <v>0</v>
      </c>
      <c r="G30" s="434"/>
      <c r="H30" s="763"/>
      <c r="I30" s="761">
        <f t="shared" si="1"/>
        <v>0</v>
      </c>
      <c r="J30" s="761">
        <f t="shared" si="2"/>
        <v>0</v>
      </c>
      <c r="K30" s="761">
        <f t="shared" si="3"/>
        <v>0</v>
      </c>
      <c r="L30" s="1269"/>
    </row>
    <row r="31" spans="1:12" ht="249.95" customHeight="1">
      <c r="A31" s="1140">
        <v>4.0999999999999996</v>
      </c>
      <c r="B31" s="1139" t="s">
        <v>366</v>
      </c>
      <c r="C31" s="758" t="s">
        <v>347</v>
      </c>
      <c r="D31" s="895">
        <v>0</v>
      </c>
      <c r="E31" s="744">
        <v>0</v>
      </c>
      <c r="F31" s="744">
        <f t="shared" si="0"/>
        <v>987</v>
      </c>
      <c r="G31" s="434">
        <f>'RMC Rec Detail'!G81</f>
        <v>987</v>
      </c>
      <c r="H31" s="744">
        <v>6000</v>
      </c>
      <c r="I31" s="761">
        <f t="shared" si="1"/>
        <v>0</v>
      </c>
      <c r="J31" s="761">
        <f t="shared" si="2"/>
        <v>5922000</v>
      </c>
      <c r="K31" s="761">
        <f t="shared" si="3"/>
        <v>5922000</v>
      </c>
      <c r="L31" s="1270" t="s">
        <v>2550</v>
      </c>
    </row>
    <row r="32" spans="1:12">
      <c r="A32" s="1140" t="s">
        <v>367</v>
      </c>
      <c r="B32" s="889" t="s">
        <v>368</v>
      </c>
      <c r="C32" s="758" t="s">
        <v>347</v>
      </c>
      <c r="D32" s="895">
        <v>0</v>
      </c>
      <c r="E32" s="744">
        <v>0</v>
      </c>
      <c r="F32" s="744">
        <f t="shared" si="0"/>
        <v>0</v>
      </c>
      <c r="G32" s="434"/>
      <c r="H32" s="744">
        <v>950</v>
      </c>
      <c r="I32" s="761">
        <f t="shared" si="1"/>
        <v>0</v>
      </c>
      <c r="J32" s="761">
        <f t="shared" si="2"/>
        <v>0</v>
      </c>
      <c r="K32" s="761">
        <f t="shared" si="3"/>
        <v>0</v>
      </c>
      <c r="L32" s="1269"/>
    </row>
    <row r="33" spans="1:12" ht="249.95" customHeight="1">
      <c r="A33" s="1140">
        <v>4.2</v>
      </c>
      <c r="B33" s="1139" t="s">
        <v>369</v>
      </c>
      <c r="C33" s="758"/>
      <c r="D33" s="895">
        <v>0</v>
      </c>
      <c r="E33" s="744">
        <v>0</v>
      </c>
      <c r="F33" s="744">
        <f t="shared" si="0"/>
        <v>0</v>
      </c>
      <c r="G33" s="434"/>
      <c r="H33" s="744"/>
      <c r="I33" s="761">
        <f t="shared" si="1"/>
        <v>0</v>
      </c>
      <c r="J33" s="761">
        <f t="shared" si="2"/>
        <v>0</v>
      </c>
      <c r="K33" s="761">
        <f t="shared" si="3"/>
        <v>0</v>
      </c>
      <c r="L33" s="1269"/>
    </row>
    <row r="34" spans="1:12" ht="31.5">
      <c r="A34" s="1146" t="s">
        <v>335</v>
      </c>
      <c r="B34" s="821" t="s">
        <v>370</v>
      </c>
      <c r="C34" s="770" t="s">
        <v>350</v>
      </c>
      <c r="D34" s="896">
        <v>900</v>
      </c>
      <c r="E34" s="434">
        <v>1596.13</v>
      </c>
      <c r="F34" s="744">
        <f t="shared" si="0"/>
        <v>0</v>
      </c>
      <c r="G34" s="434">
        <f>MB!G417</f>
        <v>1596.1300000000006</v>
      </c>
      <c r="H34" s="434">
        <v>380</v>
      </c>
      <c r="I34" s="772">
        <f t="shared" si="1"/>
        <v>606529</v>
      </c>
      <c r="J34" s="761">
        <f t="shared" si="2"/>
        <v>0</v>
      </c>
      <c r="K34" s="761">
        <f t="shared" si="3"/>
        <v>606529</v>
      </c>
      <c r="L34" s="1269"/>
    </row>
    <row r="35" spans="1:12">
      <c r="A35" s="1140" t="s">
        <v>371</v>
      </c>
      <c r="B35" s="889" t="s">
        <v>372</v>
      </c>
      <c r="C35" s="758" t="s">
        <v>350</v>
      </c>
      <c r="D35" s="895">
        <v>25</v>
      </c>
      <c r="E35" s="744">
        <v>0</v>
      </c>
      <c r="F35" s="744">
        <f t="shared" si="0"/>
        <v>0</v>
      </c>
      <c r="G35" s="434"/>
      <c r="H35" s="744">
        <v>475</v>
      </c>
      <c r="I35" s="761">
        <f t="shared" si="1"/>
        <v>0</v>
      </c>
      <c r="J35" s="761">
        <f t="shared" si="2"/>
        <v>0</v>
      </c>
      <c r="K35" s="761">
        <f t="shared" si="3"/>
        <v>0</v>
      </c>
      <c r="L35" s="1269"/>
    </row>
    <row r="36" spans="1:12">
      <c r="A36" s="1140" t="s">
        <v>373</v>
      </c>
      <c r="B36" s="1147" t="s">
        <v>374</v>
      </c>
      <c r="C36" s="758" t="s">
        <v>350</v>
      </c>
      <c r="D36" s="895">
        <v>0</v>
      </c>
      <c r="E36" s="744">
        <v>0</v>
      </c>
      <c r="F36" s="744">
        <f t="shared" si="0"/>
        <v>0</v>
      </c>
      <c r="G36" s="434"/>
      <c r="H36" s="744"/>
      <c r="I36" s="761">
        <f t="shared" si="1"/>
        <v>0</v>
      </c>
      <c r="J36" s="761">
        <f t="shared" si="2"/>
        <v>0</v>
      </c>
      <c r="K36" s="761">
        <f t="shared" si="3"/>
        <v>0</v>
      </c>
      <c r="L36" s="1269"/>
    </row>
    <row r="37" spans="1:12">
      <c r="A37" s="1140" t="s">
        <v>375</v>
      </c>
      <c r="B37" s="1147" t="s">
        <v>376</v>
      </c>
      <c r="C37" s="758" t="s">
        <v>350</v>
      </c>
      <c r="D37" s="895">
        <v>0</v>
      </c>
      <c r="E37" s="744">
        <v>0</v>
      </c>
      <c r="F37" s="744">
        <f t="shared" si="0"/>
        <v>0</v>
      </c>
      <c r="G37" s="434"/>
      <c r="H37" s="744"/>
      <c r="I37" s="761">
        <f t="shared" si="1"/>
        <v>0</v>
      </c>
      <c r="J37" s="761">
        <f t="shared" si="2"/>
        <v>0</v>
      </c>
      <c r="K37" s="761">
        <f t="shared" si="3"/>
        <v>0</v>
      </c>
      <c r="L37" s="1269"/>
    </row>
    <row r="38" spans="1:12" ht="63">
      <c r="A38" s="1140" t="s">
        <v>339</v>
      </c>
      <c r="B38" s="1139" t="s">
        <v>377</v>
      </c>
      <c r="C38" s="758" t="s">
        <v>350</v>
      </c>
      <c r="D38" s="895">
        <v>50</v>
      </c>
      <c r="E38" s="744">
        <v>1243.33</v>
      </c>
      <c r="F38" s="744">
        <f t="shared" si="0"/>
        <v>0</v>
      </c>
      <c r="G38" s="434">
        <f>MB!G558</f>
        <v>1243.3299999999995</v>
      </c>
      <c r="H38" s="744">
        <v>525</v>
      </c>
      <c r="I38" s="761">
        <f t="shared" si="1"/>
        <v>652748</v>
      </c>
      <c r="J38" s="761">
        <f t="shared" si="2"/>
        <v>0</v>
      </c>
      <c r="K38" s="761">
        <f t="shared" si="3"/>
        <v>652748</v>
      </c>
      <c r="L38" s="1269"/>
    </row>
    <row r="39" spans="1:12">
      <c r="A39" s="1140" t="s">
        <v>378</v>
      </c>
      <c r="B39" s="1147" t="s">
        <v>379</v>
      </c>
      <c r="C39" s="758" t="s">
        <v>350</v>
      </c>
      <c r="D39" s="895">
        <v>0</v>
      </c>
      <c r="E39" s="744">
        <v>0</v>
      </c>
      <c r="F39" s="744">
        <f t="shared" si="0"/>
        <v>0</v>
      </c>
      <c r="G39" s="434"/>
      <c r="H39" s="744"/>
      <c r="I39" s="761">
        <f t="shared" si="1"/>
        <v>0</v>
      </c>
      <c r="J39" s="761">
        <f t="shared" si="2"/>
        <v>0</v>
      </c>
      <c r="K39" s="761">
        <f t="shared" si="3"/>
        <v>0</v>
      </c>
      <c r="L39" s="1269"/>
    </row>
    <row r="40" spans="1:12">
      <c r="A40" s="1140" t="s">
        <v>380</v>
      </c>
      <c r="B40" s="889" t="s">
        <v>381</v>
      </c>
      <c r="C40" s="758" t="s">
        <v>350</v>
      </c>
      <c r="D40" s="895">
        <v>25</v>
      </c>
      <c r="E40" s="744">
        <v>0</v>
      </c>
      <c r="F40" s="744">
        <f t="shared" si="0"/>
        <v>0</v>
      </c>
      <c r="G40" s="434"/>
      <c r="H40" s="744">
        <v>525</v>
      </c>
      <c r="I40" s="761">
        <f t="shared" si="1"/>
        <v>0</v>
      </c>
      <c r="J40" s="761">
        <f t="shared" si="2"/>
        <v>0</v>
      </c>
      <c r="K40" s="761">
        <f t="shared" si="3"/>
        <v>0</v>
      </c>
      <c r="L40" s="1269"/>
    </row>
    <row r="41" spans="1:12" ht="31.5">
      <c r="A41" s="1140" t="s">
        <v>382</v>
      </c>
      <c r="B41" s="889" t="s">
        <v>383</v>
      </c>
      <c r="C41" s="758" t="s">
        <v>350</v>
      </c>
      <c r="D41" s="895">
        <v>0</v>
      </c>
      <c r="E41" s="744">
        <v>0</v>
      </c>
      <c r="F41" s="744">
        <f t="shared" si="0"/>
        <v>0</v>
      </c>
      <c r="G41" s="434"/>
      <c r="H41" s="744"/>
      <c r="I41" s="761">
        <f t="shared" si="1"/>
        <v>0</v>
      </c>
      <c r="J41" s="761">
        <f t="shared" si="2"/>
        <v>0</v>
      </c>
      <c r="K41" s="761">
        <f t="shared" si="3"/>
        <v>0</v>
      </c>
      <c r="L41" s="1269"/>
    </row>
    <row r="42" spans="1:12" ht="94.5">
      <c r="A42" s="1140" t="s">
        <v>384</v>
      </c>
      <c r="B42" s="1139" t="s">
        <v>385</v>
      </c>
      <c r="C42" s="758"/>
      <c r="D42" s="895">
        <v>0</v>
      </c>
      <c r="E42" s="744">
        <v>0</v>
      </c>
      <c r="F42" s="744">
        <f t="shared" si="0"/>
        <v>0</v>
      </c>
      <c r="G42" s="434"/>
      <c r="H42" s="744"/>
      <c r="I42" s="761">
        <f t="shared" si="1"/>
        <v>0</v>
      </c>
      <c r="J42" s="761">
        <f t="shared" si="2"/>
        <v>0</v>
      </c>
      <c r="K42" s="761">
        <f t="shared" si="3"/>
        <v>0</v>
      </c>
      <c r="L42" s="1269"/>
    </row>
    <row r="43" spans="1:12">
      <c r="A43" s="1267"/>
      <c r="B43" s="1147"/>
      <c r="C43" s="758"/>
      <c r="D43" s="895">
        <v>0</v>
      </c>
      <c r="E43" s="744"/>
      <c r="F43" s="744">
        <f t="shared" si="0"/>
        <v>0</v>
      </c>
      <c r="G43" s="434"/>
      <c r="H43" s="744"/>
      <c r="I43" s="761">
        <f t="shared" si="1"/>
        <v>0</v>
      </c>
      <c r="J43" s="761">
        <f t="shared" si="2"/>
        <v>0</v>
      </c>
      <c r="K43" s="761">
        <f t="shared" si="3"/>
        <v>0</v>
      </c>
      <c r="L43" s="1269"/>
    </row>
    <row r="44" spans="1:12" ht="57">
      <c r="A44" s="1140" t="s">
        <v>386</v>
      </c>
      <c r="B44" s="889" t="s">
        <v>387</v>
      </c>
      <c r="C44" s="758" t="s">
        <v>347</v>
      </c>
      <c r="D44" s="895">
        <v>550</v>
      </c>
      <c r="E44" s="744">
        <v>357.86</v>
      </c>
      <c r="F44" s="744">
        <f t="shared" si="0"/>
        <v>-323</v>
      </c>
      <c r="G44" s="434">
        <v>34.86</v>
      </c>
      <c r="H44" s="744">
        <v>5600</v>
      </c>
      <c r="I44" s="761">
        <f t="shared" si="1"/>
        <v>2004016</v>
      </c>
      <c r="J44" s="761">
        <f t="shared" si="2"/>
        <v>-1808800</v>
      </c>
      <c r="K44" s="761">
        <f t="shared" si="3"/>
        <v>195216</v>
      </c>
      <c r="L44" s="1270" t="s">
        <v>2549</v>
      </c>
    </row>
    <row r="45" spans="1:12">
      <c r="A45" s="1140" t="s">
        <v>388</v>
      </c>
      <c r="B45" s="889" t="s">
        <v>389</v>
      </c>
      <c r="C45" s="758" t="s">
        <v>347</v>
      </c>
      <c r="D45" s="895">
        <v>50</v>
      </c>
      <c r="E45" s="744">
        <v>0</v>
      </c>
      <c r="F45" s="744">
        <f t="shared" si="0"/>
        <v>0</v>
      </c>
      <c r="G45" s="434"/>
      <c r="H45" s="744">
        <v>5700</v>
      </c>
      <c r="I45" s="761">
        <f t="shared" si="1"/>
        <v>0</v>
      </c>
      <c r="J45" s="761">
        <f t="shared" si="2"/>
        <v>0</v>
      </c>
      <c r="K45" s="761">
        <f t="shared" si="3"/>
        <v>0</v>
      </c>
      <c r="L45" s="1269"/>
    </row>
    <row r="46" spans="1:12" ht="31.5">
      <c r="A46" s="1148"/>
      <c r="B46" s="889" t="s">
        <v>390</v>
      </c>
      <c r="C46" s="758"/>
      <c r="D46" s="895">
        <v>0</v>
      </c>
      <c r="E46" s="744">
        <v>0</v>
      </c>
      <c r="F46" s="744">
        <f t="shared" si="0"/>
        <v>0</v>
      </c>
      <c r="G46" s="434"/>
      <c r="H46" s="744"/>
      <c r="I46" s="761">
        <f t="shared" si="1"/>
        <v>0</v>
      </c>
      <c r="J46" s="761">
        <f t="shared" si="2"/>
        <v>0</v>
      </c>
      <c r="K46" s="761">
        <f t="shared" si="3"/>
        <v>0</v>
      </c>
      <c r="L46" s="1269"/>
    </row>
    <row r="47" spans="1:12" ht="31.5">
      <c r="A47" s="1140" t="s">
        <v>391</v>
      </c>
      <c r="B47" s="889" t="s">
        <v>392</v>
      </c>
      <c r="C47" s="758" t="s">
        <v>347</v>
      </c>
      <c r="D47" s="895">
        <v>0</v>
      </c>
      <c r="E47" s="744">
        <v>0</v>
      </c>
      <c r="F47" s="744">
        <f t="shared" si="0"/>
        <v>0</v>
      </c>
      <c r="G47" s="434"/>
      <c r="H47" s="744"/>
      <c r="I47" s="761">
        <f t="shared" si="1"/>
        <v>0</v>
      </c>
      <c r="J47" s="761">
        <f t="shared" si="2"/>
        <v>0</v>
      </c>
      <c r="K47" s="761">
        <f t="shared" si="3"/>
        <v>0</v>
      </c>
      <c r="L47" s="1269"/>
    </row>
    <row r="48" spans="1:12" ht="31.5">
      <c r="A48" s="1140" t="s">
        <v>393</v>
      </c>
      <c r="B48" s="889" t="s">
        <v>394</v>
      </c>
      <c r="C48" s="758" t="s">
        <v>347</v>
      </c>
      <c r="D48" s="895">
        <v>0</v>
      </c>
      <c r="E48" s="744">
        <v>0</v>
      </c>
      <c r="F48" s="744">
        <f t="shared" si="0"/>
        <v>0</v>
      </c>
      <c r="G48" s="434"/>
      <c r="H48" s="744"/>
      <c r="I48" s="761">
        <f t="shared" si="1"/>
        <v>0</v>
      </c>
      <c r="J48" s="761">
        <f t="shared" si="2"/>
        <v>0</v>
      </c>
      <c r="K48" s="761">
        <f t="shared" si="3"/>
        <v>0</v>
      </c>
      <c r="L48" s="1269"/>
    </row>
    <row r="49" spans="1:12" ht="31.5">
      <c r="A49" s="1140" t="s">
        <v>395</v>
      </c>
      <c r="B49" s="889" t="s">
        <v>396</v>
      </c>
      <c r="C49" s="758" t="s">
        <v>347</v>
      </c>
      <c r="D49" s="895">
        <v>0</v>
      </c>
      <c r="E49" s="744">
        <v>0</v>
      </c>
      <c r="F49" s="744">
        <f t="shared" si="0"/>
        <v>0</v>
      </c>
      <c r="G49" s="434"/>
      <c r="H49" s="744"/>
      <c r="I49" s="761">
        <f t="shared" si="1"/>
        <v>0</v>
      </c>
      <c r="J49" s="761">
        <f t="shared" si="2"/>
        <v>0</v>
      </c>
      <c r="K49" s="761">
        <f t="shared" si="3"/>
        <v>0</v>
      </c>
      <c r="L49" s="1269"/>
    </row>
    <row r="50" spans="1:12" ht="71.25">
      <c r="A50" s="1140" t="s">
        <v>397</v>
      </c>
      <c r="B50" s="1139" t="s">
        <v>2282</v>
      </c>
      <c r="C50" s="758" t="s">
        <v>347</v>
      </c>
      <c r="D50" s="895">
        <v>525</v>
      </c>
      <c r="E50" s="744">
        <v>664</v>
      </c>
      <c r="F50" s="744">
        <f t="shared" si="0"/>
        <v>-664</v>
      </c>
      <c r="G50" s="434">
        <v>0</v>
      </c>
      <c r="H50" s="744">
        <v>5700</v>
      </c>
      <c r="I50" s="761">
        <f t="shared" si="1"/>
        <v>3784800</v>
      </c>
      <c r="J50" s="761">
        <f t="shared" si="2"/>
        <v>-3784800</v>
      </c>
      <c r="K50" s="761">
        <f t="shared" si="3"/>
        <v>0</v>
      </c>
      <c r="L50" s="1270" t="s">
        <v>2551</v>
      </c>
    </row>
    <row r="51" spans="1:12" ht="31.5">
      <c r="A51" s="1148"/>
      <c r="B51" s="889" t="s">
        <v>390</v>
      </c>
      <c r="C51" s="758"/>
      <c r="D51" s="895">
        <v>0</v>
      </c>
      <c r="E51" s="744">
        <v>0</v>
      </c>
      <c r="F51" s="744">
        <f t="shared" si="0"/>
        <v>0</v>
      </c>
      <c r="G51" s="434"/>
      <c r="H51" s="744"/>
      <c r="I51" s="761">
        <f t="shared" ref="I51:I72" si="4">ROUND(E51*H51,0)</f>
        <v>0</v>
      </c>
      <c r="J51" s="761">
        <f t="shared" si="2"/>
        <v>0</v>
      </c>
      <c r="K51" s="761">
        <f t="shared" si="3"/>
        <v>0</v>
      </c>
      <c r="L51" s="1269"/>
    </row>
    <row r="52" spans="1:12" ht="31.5">
      <c r="A52" s="1140" t="s">
        <v>398</v>
      </c>
      <c r="B52" s="889" t="s">
        <v>396</v>
      </c>
      <c r="C52" s="758" t="s">
        <v>347</v>
      </c>
      <c r="D52" s="895">
        <v>0</v>
      </c>
      <c r="E52" s="744">
        <v>0</v>
      </c>
      <c r="F52" s="744">
        <f t="shared" si="0"/>
        <v>0</v>
      </c>
      <c r="G52" s="434"/>
      <c r="H52" s="744"/>
      <c r="I52" s="761">
        <f t="shared" si="4"/>
        <v>0</v>
      </c>
      <c r="J52" s="761">
        <f t="shared" si="2"/>
        <v>0</v>
      </c>
      <c r="K52" s="761">
        <f t="shared" si="3"/>
        <v>0</v>
      </c>
      <c r="L52" s="1269"/>
    </row>
    <row r="53" spans="1:12">
      <c r="A53" s="1140" t="s">
        <v>399</v>
      </c>
      <c r="B53" s="889" t="s">
        <v>400</v>
      </c>
      <c r="C53" s="758" t="s">
        <v>347</v>
      </c>
      <c r="D53" s="895">
        <v>13</v>
      </c>
      <c r="E53" s="744">
        <v>0</v>
      </c>
      <c r="F53" s="744">
        <f t="shared" si="0"/>
        <v>0</v>
      </c>
      <c r="G53" s="434"/>
      <c r="H53" s="744">
        <v>5850</v>
      </c>
      <c r="I53" s="761">
        <f t="shared" si="4"/>
        <v>0</v>
      </c>
      <c r="J53" s="761">
        <f t="shared" si="2"/>
        <v>0</v>
      </c>
      <c r="K53" s="761">
        <f t="shared" si="3"/>
        <v>0</v>
      </c>
      <c r="L53" s="1269"/>
    </row>
    <row r="54" spans="1:12" s="745" customFormat="1" ht="126">
      <c r="A54" s="1141">
        <v>4.4000000000000004</v>
      </c>
      <c r="B54" s="1139" t="s">
        <v>401</v>
      </c>
      <c r="C54" s="756" t="s">
        <v>301</v>
      </c>
      <c r="D54" s="893">
        <v>100</v>
      </c>
      <c r="E54" s="773">
        <v>66.436000000000007</v>
      </c>
      <c r="F54" s="799">
        <f t="shared" si="0"/>
        <v>0</v>
      </c>
      <c r="G54" s="774">
        <f>MB!G815</f>
        <v>66.436000000000007</v>
      </c>
      <c r="H54" s="763">
        <v>49000</v>
      </c>
      <c r="I54" s="760">
        <f t="shared" si="4"/>
        <v>3255364</v>
      </c>
      <c r="J54" s="761">
        <f t="shared" si="2"/>
        <v>0</v>
      </c>
      <c r="K54" s="761">
        <f t="shared" si="3"/>
        <v>3255364</v>
      </c>
      <c r="L54" s="1271"/>
    </row>
    <row r="55" spans="1:12">
      <c r="A55" s="1140">
        <v>4.5</v>
      </c>
      <c r="B55" s="889" t="s">
        <v>402</v>
      </c>
      <c r="C55" s="758"/>
      <c r="D55" s="895">
        <v>0</v>
      </c>
      <c r="E55" s="744">
        <v>0</v>
      </c>
      <c r="F55" s="775"/>
      <c r="G55" s="434"/>
      <c r="H55" s="775"/>
      <c r="I55" s="761">
        <f t="shared" si="4"/>
        <v>0</v>
      </c>
      <c r="J55" s="761">
        <f t="shared" si="2"/>
        <v>0</v>
      </c>
      <c r="K55" s="761">
        <f t="shared" si="3"/>
        <v>0</v>
      </c>
      <c r="L55" s="1269"/>
    </row>
    <row r="56" spans="1:12">
      <c r="A56" s="1140"/>
      <c r="B56" s="889"/>
      <c r="C56" s="759"/>
      <c r="D56" s="895">
        <v>0</v>
      </c>
      <c r="E56" s="744">
        <v>0</v>
      </c>
      <c r="F56" s="744"/>
      <c r="G56" s="434"/>
      <c r="H56" s="744"/>
      <c r="I56" s="761">
        <f t="shared" si="4"/>
        <v>0</v>
      </c>
      <c r="J56" s="761">
        <f t="shared" si="2"/>
        <v>0</v>
      </c>
      <c r="K56" s="761">
        <f t="shared" si="3"/>
        <v>0</v>
      </c>
      <c r="L56" s="1269"/>
    </row>
    <row r="57" spans="1:12">
      <c r="A57" s="1145">
        <v>5</v>
      </c>
      <c r="B57" s="1137" t="s">
        <v>403</v>
      </c>
      <c r="C57" s="756"/>
      <c r="D57" s="893">
        <v>0</v>
      </c>
      <c r="E57" s="763">
        <v>0</v>
      </c>
      <c r="F57" s="773"/>
      <c r="G57" s="434"/>
      <c r="H57" s="763"/>
      <c r="I57" s="761">
        <f t="shared" si="4"/>
        <v>0</v>
      </c>
      <c r="J57" s="761">
        <f t="shared" si="2"/>
        <v>0</v>
      </c>
      <c r="K57" s="761">
        <f t="shared" si="3"/>
        <v>0</v>
      </c>
      <c r="L57" s="1269"/>
    </row>
    <row r="58" spans="1:12" ht="47.25">
      <c r="A58" s="1138"/>
      <c r="B58" s="1139" t="s">
        <v>343</v>
      </c>
      <c r="C58" s="757"/>
      <c r="D58" s="895">
        <v>0</v>
      </c>
      <c r="E58" s="744">
        <v>0</v>
      </c>
      <c r="F58" s="766"/>
      <c r="G58" s="434"/>
      <c r="H58" s="766"/>
      <c r="I58" s="761">
        <f t="shared" si="4"/>
        <v>0</v>
      </c>
      <c r="J58" s="761">
        <f t="shared" si="2"/>
        <v>0</v>
      </c>
      <c r="K58" s="761">
        <f t="shared" si="3"/>
        <v>0</v>
      </c>
      <c r="L58" s="1269"/>
    </row>
    <row r="59" spans="1:12" ht="141.75">
      <c r="A59" s="1140">
        <v>5.0999999999999996</v>
      </c>
      <c r="B59" s="1139" t="s">
        <v>404</v>
      </c>
      <c r="C59" s="759" t="s">
        <v>405</v>
      </c>
      <c r="D59" s="895">
        <v>5000</v>
      </c>
      <c r="E59" s="744">
        <v>2103.83</v>
      </c>
      <c r="F59" s="799">
        <f t="shared" ref="F59:F114" si="5">G59-E59</f>
        <v>0</v>
      </c>
      <c r="G59" s="434">
        <f>MB!G831</f>
        <v>2103.83</v>
      </c>
      <c r="H59" s="744">
        <v>72</v>
      </c>
      <c r="I59" s="761">
        <f t="shared" si="4"/>
        <v>151476</v>
      </c>
      <c r="J59" s="761">
        <f t="shared" si="2"/>
        <v>0</v>
      </c>
      <c r="K59" s="761">
        <f t="shared" si="3"/>
        <v>151476</v>
      </c>
      <c r="L59" s="1269"/>
    </row>
    <row r="60" spans="1:12">
      <c r="A60" s="1140"/>
      <c r="B60" s="889"/>
      <c r="C60" s="759"/>
      <c r="D60" s="895">
        <v>0</v>
      </c>
      <c r="E60" s="744">
        <v>0</v>
      </c>
      <c r="F60" s="799">
        <f t="shared" si="5"/>
        <v>0</v>
      </c>
      <c r="G60" s="434"/>
      <c r="H60" s="744"/>
      <c r="I60" s="761">
        <f t="shared" si="4"/>
        <v>0</v>
      </c>
      <c r="J60" s="761">
        <f t="shared" si="2"/>
        <v>0</v>
      </c>
      <c r="K60" s="761">
        <f t="shared" si="3"/>
        <v>0</v>
      </c>
      <c r="L60" s="1269"/>
    </row>
    <row r="61" spans="1:12" ht="78.75">
      <c r="A61" s="1140">
        <v>5.4</v>
      </c>
      <c r="B61" s="1139" t="s">
        <v>406</v>
      </c>
      <c r="C61" s="759" t="s">
        <v>301</v>
      </c>
      <c r="D61" s="895">
        <v>1</v>
      </c>
      <c r="E61" s="744">
        <v>0</v>
      </c>
      <c r="F61" s="799">
        <f t="shared" si="5"/>
        <v>0</v>
      </c>
      <c r="G61" s="434"/>
      <c r="H61" s="744">
        <v>72000</v>
      </c>
      <c r="I61" s="761">
        <f t="shared" si="4"/>
        <v>0</v>
      </c>
      <c r="J61" s="761">
        <f t="shared" si="2"/>
        <v>0</v>
      </c>
      <c r="K61" s="761">
        <f t="shared" si="3"/>
        <v>0</v>
      </c>
      <c r="L61" s="1269"/>
    </row>
    <row r="62" spans="1:12">
      <c r="A62" s="1140"/>
      <c r="B62" s="889"/>
      <c r="C62" s="759"/>
      <c r="D62" s="895">
        <v>0</v>
      </c>
      <c r="E62" s="744">
        <v>0</v>
      </c>
      <c r="F62" s="799">
        <f t="shared" si="5"/>
        <v>0</v>
      </c>
      <c r="G62" s="434"/>
      <c r="H62" s="744"/>
      <c r="I62" s="761">
        <f t="shared" si="4"/>
        <v>0</v>
      </c>
      <c r="J62" s="761">
        <f t="shared" si="2"/>
        <v>0</v>
      </c>
      <c r="K62" s="761">
        <f t="shared" si="3"/>
        <v>0</v>
      </c>
      <c r="L62" s="1269"/>
    </row>
    <row r="63" spans="1:12">
      <c r="A63" s="1145">
        <v>6</v>
      </c>
      <c r="B63" s="1137" t="s">
        <v>407</v>
      </c>
      <c r="C63" s="756"/>
      <c r="D63" s="893">
        <v>0</v>
      </c>
      <c r="E63" s="763">
        <v>0</v>
      </c>
      <c r="F63" s="799">
        <f t="shared" si="5"/>
        <v>0</v>
      </c>
      <c r="G63" s="434"/>
      <c r="H63" s="763"/>
      <c r="I63" s="761">
        <f t="shared" si="4"/>
        <v>0</v>
      </c>
      <c r="J63" s="761">
        <f t="shared" si="2"/>
        <v>0</v>
      </c>
      <c r="K63" s="761">
        <f t="shared" si="3"/>
        <v>0</v>
      </c>
      <c r="L63" s="1269"/>
    </row>
    <row r="64" spans="1:12" ht="47.25">
      <c r="A64" s="1138"/>
      <c r="B64" s="1149" t="s">
        <v>343</v>
      </c>
      <c r="C64" s="757"/>
      <c r="D64" s="895">
        <v>0</v>
      </c>
      <c r="E64" s="744">
        <v>0</v>
      </c>
      <c r="F64" s="799">
        <f t="shared" si="5"/>
        <v>0</v>
      </c>
      <c r="G64" s="434"/>
      <c r="H64" s="766"/>
      <c r="I64" s="761">
        <f t="shared" si="4"/>
        <v>0</v>
      </c>
      <c r="J64" s="761">
        <f t="shared" si="2"/>
        <v>0</v>
      </c>
      <c r="K64" s="761">
        <f t="shared" si="3"/>
        <v>0</v>
      </c>
      <c r="L64" s="1269"/>
    </row>
    <row r="65" spans="1:12">
      <c r="A65" s="1150"/>
      <c r="B65" s="1151"/>
      <c r="C65" s="759"/>
      <c r="D65" s="895">
        <v>0</v>
      </c>
      <c r="E65" s="744">
        <v>0</v>
      </c>
      <c r="F65" s="799">
        <f t="shared" si="5"/>
        <v>0</v>
      </c>
      <c r="G65" s="434"/>
      <c r="H65" s="744"/>
      <c r="I65" s="761">
        <f t="shared" si="4"/>
        <v>0</v>
      </c>
      <c r="J65" s="761">
        <f t="shared" si="2"/>
        <v>0</v>
      </c>
      <c r="K65" s="761">
        <f t="shared" si="3"/>
        <v>0</v>
      </c>
      <c r="L65" s="1269"/>
    </row>
    <row r="66" spans="1:12" ht="204.75">
      <c r="A66" s="1140">
        <v>6.1</v>
      </c>
      <c r="B66" s="1139" t="s">
        <v>408</v>
      </c>
      <c r="C66" s="759"/>
      <c r="D66" s="895">
        <v>0</v>
      </c>
      <c r="E66" s="744">
        <v>0</v>
      </c>
      <c r="F66" s="799">
        <f t="shared" si="5"/>
        <v>0</v>
      </c>
      <c r="G66" s="434"/>
      <c r="H66" s="744"/>
      <c r="I66" s="761">
        <f t="shared" si="4"/>
        <v>0</v>
      </c>
      <c r="J66" s="761">
        <f t="shared" si="2"/>
        <v>0</v>
      </c>
      <c r="K66" s="761">
        <f t="shared" si="3"/>
        <v>0</v>
      </c>
      <c r="L66" s="1269"/>
    </row>
    <row r="67" spans="1:12">
      <c r="A67" s="1140" t="s">
        <v>409</v>
      </c>
      <c r="B67" s="889" t="s">
        <v>410</v>
      </c>
      <c r="C67" s="759" t="s">
        <v>350</v>
      </c>
      <c r="D67" s="895">
        <v>1000</v>
      </c>
      <c r="E67" s="744">
        <v>0</v>
      </c>
      <c r="F67" s="799">
        <f t="shared" si="5"/>
        <v>0</v>
      </c>
      <c r="G67" s="434"/>
      <c r="H67" s="763">
        <v>425</v>
      </c>
      <c r="I67" s="761">
        <f t="shared" si="4"/>
        <v>0</v>
      </c>
      <c r="J67" s="761">
        <f t="shared" si="2"/>
        <v>0</v>
      </c>
      <c r="K67" s="761">
        <f t="shared" si="3"/>
        <v>0</v>
      </c>
      <c r="L67" s="1269"/>
    </row>
    <row r="68" spans="1:12">
      <c r="A68" s="1140" t="s">
        <v>411</v>
      </c>
      <c r="B68" s="889" t="s">
        <v>412</v>
      </c>
      <c r="C68" s="759" t="s">
        <v>350</v>
      </c>
      <c r="D68" s="895">
        <v>100</v>
      </c>
      <c r="E68" s="744">
        <v>0</v>
      </c>
      <c r="F68" s="799">
        <f t="shared" si="5"/>
        <v>0</v>
      </c>
      <c r="G68" s="434"/>
      <c r="H68" s="763">
        <v>475</v>
      </c>
      <c r="I68" s="761">
        <f t="shared" si="4"/>
        <v>0</v>
      </c>
      <c r="J68" s="761">
        <f t="shared" si="2"/>
        <v>0</v>
      </c>
      <c r="K68" s="761">
        <f t="shared" si="3"/>
        <v>0</v>
      </c>
      <c r="L68" s="1269"/>
    </row>
    <row r="69" spans="1:12">
      <c r="A69" s="1140"/>
      <c r="B69" s="889"/>
      <c r="C69" s="759"/>
      <c r="D69" s="895">
        <v>0</v>
      </c>
      <c r="E69" s="744">
        <v>0</v>
      </c>
      <c r="F69" s="799">
        <f t="shared" si="5"/>
        <v>0</v>
      </c>
      <c r="G69" s="434"/>
      <c r="H69" s="744"/>
      <c r="I69" s="761">
        <f t="shared" si="4"/>
        <v>0</v>
      </c>
      <c r="J69" s="761">
        <f t="shared" si="2"/>
        <v>0</v>
      </c>
      <c r="K69" s="761">
        <f t="shared" si="3"/>
        <v>0</v>
      </c>
      <c r="L69" s="1269"/>
    </row>
    <row r="70" spans="1:12" ht="47.25">
      <c r="A70" s="1140">
        <v>6.2</v>
      </c>
      <c r="B70" s="1139" t="s">
        <v>413</v>
      </c>
      <c r="C70" s="771" t="s">
        <v>347</v>
      </c>
      <c r="D70" s="895">
        <v>0</v>
      </c>
      <c r="E70" s="744">
        <v>0</v>
      </c>
      <c r="F70" s="799">
        <f t="shared" si="5"/>
        <v>0</v>
      </c>
      <c r="G70" s="434"/>
      <c r="H70" s="434"/>
      <c r="I70" s="761">
        <f t="shared" si="4"/>
        <v>0</v>
      </c>
      <c r="J70" s="761">
        <f t="shared" si="2"/>
        <v>0</v>
      </c>
      <c r="K70" s="761">
        <f t="shared" si="3"/>
        <v>0</v>
      </c>
      <c r="L70" s="1269"/>
    </row>
    <row r="71" spans="1:12">
      <c r="A71" s="1146"/>
      <c r="B71" s="1135"/>
      <c r="C71" s="776"/>
      <c r="D71" s="895">
        <v>0</v>
      </c>
      <c r="E71" s="744">
        <v>0</v>
      </c>
      <c r="F71" s="799">
        <f t="shared" si="5"/>
        <v>0</v>
      </c>
      <c r="G71" s="434"/>
      <c r="H71" s="777"/>
      <c r="I71" s="761">
        <f t="shared" si="4"/>
        <v>0</v>
      </c>
      <c r="J71" s="761">
        <f t="shared" si="2"/>
        <v>0</v>
      </c>
      <c r="K71" s="761">
        <f t="shared" si="3"/>
        <v>0</v>
      </c>
      <c r="L71" s="1269"/>
    </row>
    <row r="72" spans="1:12">
      <c r="A72" s="1152"/>
      <c r="B72" s="1153"/>
      <c r="C72" s="519"/>
      <c r="D72" s="895">
        <v>0</v>
      </c>
      <c r="E72" s="744">
        <v>0</v>
      </c>
      <c r="F72" s="799">
        <f t="shared" si="5"/>
        <v>0</v>
      </c>
      <c r="G72" s="434"/>
      <c r="H72" s="744"/>
      <c r="I72" s="761">
        <f t="shared" si="4"/>
        <v>0</v>
      </c>
      <c r="J72" s="761">
        <f t="shared" si="2"/>
        <v>0</v>
      </c>
      <c r="K72" s="761">
        <f t="shared" si="3"/>
        <v>0</v>
      </c>
      <c r="L72" s="1269"/>
    </row>
    <row r="73" spans="1:12">
      <c r="A73" s="1140"/>
      <c r="B73" s="889"/>
      <c r="C73" s="759"/>
      <c r="D73" s="895">
        <v>0</v>
      </c>
      <c r="E73" s="744">
        <v>0</v>
      </c>
      <c r="F73" s="799">
        <f t="shared" si="5"/>
        <v>0</v>
      </c>
      <c r="G73" s="434"/>
      <c r="H73" s="744"/>
      <c r="I73" s="761">
        <f t="shared" ref="I73:I119" si="6">ROUND(E73*H73,0)</f>
        <v>0</v>
      </c>
      <c r="J73" s="761">
        <f t="shared" ref="J73:J127" si="7">K73-I73</f>
        <v>0</v>
      </c>
      <c r="K73" s="761">
        <f t="shared" ref="K73:K127" si="8">ROUND(G73*H73,0)</f>
        <v>0</v>
      </c>
      <c r="L73" s="1269"/>
    </row>
    <row r="74" spans="1:12">
      <c r="A74" s="1154"/>
      <c r="B74" s="1137" t="s">
        <v>418</v>
      </c>
      <c r="C74" s="778"/>
      <c r="D74" s="895">
        <v>0</v>
      </c>
      <c r="E74" s="744">
        <v>0</v>
      </c>
      <c r="F74" s="799">
        <f t="shared" si="5"/>
        <v>0</v>
      </c>
      <c r="G74" s="434"/>
      <c r="H74" s="779"/>
      <c r="I74" s="761">
        <f t="shared" si="6"/>
        <v>0</v>
      </c>
      <c r="J74" s="761">
        <f t="shared" si="7"/>
        <v>0</v>
      </c>
      <c r="K74" s="761">
        <f t="shared" si="8"/>
        <v>0</v>
      </c>
      <c r="L74" s="1269"/>
    </row>
    <row r="75" spans="1:12">
      <c r="A75" s="1155">
        <v>8</v>
      </c>
      <c r="B75" s="1156" t="s">
        <v>419</v>
      </c>
      <c r="C75" s="778"/>
      <c r="D75" s="895">
        <v>0</v>
      </c>
      <c r="E75" s="744">
        <v>0</v>
      </c>
      <c r="F75" s="799">
        <f t="shared" si="5"/>
        <v>0</v>
      </c>
      <c r="G75" s="434"/>
      <c r="H75" s="779"/>
      <c r="I75" s="761">
        <f t="shared" si="6"/>
        <v>0</v>
      </c>
      <c r="J75" s="761">
        <f t="shared" si="7"/>
        <v>0</v>
      </c>
      <c r="K75" s="761">
        <f t="shared" si="8"/>
        <v>0</v>
      </c>
      <c r="L75" s="1269"/>
    </row>
    <row r="76" spans="1:12" ht="63">
      <c r="A76" s="1157"/>
      <c r="B76" s="1139" t="s">
        <v>420</v>
      </c>
      <c r="C76" s="778"/>
      <c r="D76" s="895">
        <v>0</v>
      </c>
      <c r="E76" s="744">
        <v>0</v>
      </c>
      <c r="F76" s="799">
        <f t="shared" si="5"/>
        <v>0</v>
      </c>
      <c r="G76" s="434"/>
      <c r="H76" s="779"/>
      <c r="I76" s="761">
        <f t="shared" si="6"/>
        <v>0</v>
      </c>
      <c r="J76" s="761">
        <f t="shared" si="7"/>
        <v>0</v>
      </c>
      <c r="K76" s="761">
        <f t="shared" si="8"/>
        <v>0</v>
      </c>
      <c r="L76" s="1269"/>
    </row>
    <row r="77" spans="1:12">
      <c r="A77" s="1157"/>
      <c r="B77" s="1149"/>
      <c r="C77" s="778"/>
      <c r="D77" s="895">
        <v>0</v>
      </c>
      <c r="E77" s="744">
        <v>0</v>
      </c>
      <c r="F77" s="799">
        <f t="shared" si="5"/>
        <v>0</v>
      </c>
      <c r="G77" s="434"/>
      <c r="H77" s="779"/>
      <c r="I77" s="761">
        <f t="shared" si="6"/>
        <v>0</v>
      </c>
      <c r="J77" s="761">
        <f t="shared" si="7"/>
        <v>0</v>
      </c>
      <c r="K77" s="761">
        <f t="shared" si="8"/>
        <v>0</v>
      </c>
      <c r="L77" s="1269"/>
    </row>
    <row r="78" spans="1:12">
      <c r="A78" s="1155">
        <v>8.1</v>
      </c>
      <c r="B78" s="1156" t="s">
        <v>421</v>
      </c>
      <c r="C78" s="778"/>
      <c r="D78" s="895">
        <v>0</v>
      </c>
      <c r="E78" s="744">
        <v>0</v>
      </c>
      <c r="F78" s="799">
        <f t="shared" si="5"/>
        <v>0</v>
      </c>
      <c r="G78" s="434"/>
      <c r="H78" s="779"/>
      <c r="I78" s="761">
        <f t="shared" si="6"/>
        <v>0</v>
      </c>
      <c r="J78" s="761">
        <f t="shared" si="7"/>
        <v>0</v>
      </c>
      <c r="K78" s="761">
        <f t="shared" si="8"/>
        <v>0</v>
      </c>
      <c r="L78" s="1269"/>
    </row>
    <row r="79" spans="1:12">
      <c r="A79" s="1157"/>
      <c r="B79" s="1149"/>
      <c r="C79" s="778"/>
      <c r="D79" s="895"/>
      <c r="E79" s="744"/>
      <c r="F79" s="799">
        <f t="shared" si="5"/>
        <v>0</v>
      </c>
      <c r="G79" s="434"/>
      <c r="H79" s="779"/>
      <c r="I79" s="761">
        <f t="shared" si="6"/>
        <v>0</v>
      </c>
      <c r="J79" s="761">
        <f t="shared" si="7"/>
        <v>0</v>
      </c>
      <c r="K79" s="761">
        <f t="shared" si="8"/>
        <v>0</v>
      </c>
      <c r="L79" s="1269"/>
    </row>
    <row r="80" spans="1:12" ht="141.75">
      <c r="A80" s="1158" t="s">
        <v>422</v>
      </c>
      <c r="B80" s="1139" t="s">
        <v>2283</v>
      </c>
      <c r="C80" s="778" t="s">
        <v>415</v>
      </c>
      <c r="D80" s="895">
        <v>562</v>
      </c>
      <c r="E80" s="744">
        <v>769.49999999999966</v>
      </c>
      <c r="F80" s="799">
        <f t="shared" si="5"/>
        <v>0</v>
      </c>
      <c r="G80" s="434">
        <f>MB!G1236</f>
        <v>769.49999999999966</v>
      </c>
      <c r="H80" s="779">
        <v>5900</v>
      </c>
      <c r="I80" s="761">
        <f t="shared" si="6"/>
        <v>4540050</v>
      </c>
      <c r="J80" s="761">
        <f t="shared" si="7"/>
        <v>0</v>
      </c>
      <c r="K80" s="761">
        <f t="shared" si="8"/>
        <v>4540050</v>
      </c>
      <c r="L80" s="1269"/>
    </row>
    <row r="81" spans="1:12">
      <c r="A81" s="1158"/>
      <c r="B81" s="1156" t="s">
        <v>68</v>
      </c>
      <c r="C81" s="778"/>
      <c r="D81" s="895">
        <v>0</v>
      </c>
      <c r="E81" s="744">
        <v>0</v>
      </c>
      <c r="F81" s="799">
        <f t="shared" si="5"/>
        <v>0</v>
      </c>
      <c r="G81" s="434"/>
      <c r="H81" s="779"/>
      <c r="I81" s="761">
        <f t="shared" si="6"/>
        <v>0</v>
      </c>
      <c r="J81" s="761">
        <f t="shared" si="7"/>
        <v>0</v>
      </c>
      <c r="K81" s="761">
        <f t="shared" si="8"/>
        <v>0</v>
      </c>
      <c r="L81" s="1269"/>
    </row>
    <row r="82" spans="1:12" ht="157.5">
      <c r="A82" s="1157" t="s">
        <v>424</v>
      </c>
      <c r="B82" s="1139" t="s">
        <v>425</v>
      </c>
      <c r="C82" s="778" t="s">
        <v>415</v>
      </c>
      <c r="D82" s="895">
        <v>0</v>
      </c>
      <c r="E82" s="744">
        <v>0</v>
      </c>
      <c r="F82" s="799">
        <f t="shared" si="5"/>
        <v>0</v>
      </c>
      <c r="G82" s="434"/>
      <c r="H82" s="779"/>
      <c r="I82" s="761">
        <f t="shared" si="6"/>
        <v>0</v>
      </c>
      <c r="J82" s="761">
        <f t="shared" si="7"/>
        <v>0</v>
      </c>
      <c r="K82" s="761">
        <f t="shared" si="8"/>
        <v>0</v>
      </c>
      <c r="L82" s="1269"/>
    </row>
    <row r="83" spans="1:12">
      <c r="A83" s="1157"/>
      <c r="B83" s="1156" t="s">
        <v>426</v>
      </c>
      <c r="C83" s="778"/>
      <c r="D83" s="895">
        <v>0</v>
      </c>
      <c r="E83" s="744">
        <v>0</v>
      </c>
      <c r="F83" s="799">
        <f t="shared" si="5"/>
        <v>0</v>
      </c>
      <c r="G83" s="434"/>
      <c r="H83" s="779"/>
      <c r="I83" s="761">
        <f t="shared" si="6"/>
        <v>0</v>
      </c>
      <c r="J83" s="761">
        <f t="shared" si="7"/>
        <v>0</v>
      </c>
      <c r="K83" s="761">
        <f t="shared" si="8"/>
        <v>0</v>
      </c>
      <c r="L83" s="1269"/>
    </row>
    <row r="84" spans="1:12" ht="94.5">
      <c r="A84" s="1157" t="s">
        <v>427</v>
      </c>
      <c r="B84" s="1139" t="s">
        <v>428</v>
      </c>
      <c r="C84" s="778" t="s">
        <v>415</v>
      </c>
      <c r="D84" s="895">
        <v>0</v>
      </c>
      <c r="E84" s="744">
        <v>0</v>
      </c>
      <c r="F84" s="799">
        <f t="shared" si="5"/>
        <v>0</v>
      </c>
      <c r="G84" s="434"/>
      <c r="H84" s="779"/>
      <c r="I84" s="761">
        <f t="shared" si="6"/>
        <v>0</v>
      </c>
      <c r="J84" s="761">
        <f t="shared" si="7"/>
        <v>0</v>
      </c>
      <c r="K84" s="761">
        <f t="shared" si="8"/>
        <v>0</v>
      </c>
      <c r="L84" s="1269"/>
    </row>
    <row r="85" spans="1:12">
      <c r="A85" s="1159">
        <v>8.1999999999999993</v>
      </c>
      <c r="B85" s="1156" t="s">
        <v>429</v>
      </c>
      <c r="C85" s="778"/>
      <c r="D85" s="895">
        <v>0</v>
      </c>
      <c r="E85" s="744">
        <v>0</v>
      </c>
      <c r="F85" s="799">
        <f t="shared" si="5"/>
        <v>0</v>
      </c>
      <c r="G85" s="434"/>
      <c r="H85" s="779"/>
      <c r="I85" s="761">
        <f t="shared" si="6"/>
        <v>0</v>
      </c>
      <c r="J85" s="761">
        <f t="shared" si="7"/>
        <v>0</v>
      </c>
      <c r="K85" s="761">
        <f t="shared" si="8"/>
        <v>0</v>
      </c>
      <c r="L85" s="1269"/>
    </row>
    <row r="86" spans="1:12">
      <c r="A86" s="1157"/>
      <c r="B86" s="1149"/>
      <c r="C86" s="778"/>
      <c r="D86" s="895"/>
      <c r="E86" s="744"/>
      <c r="F86" s="799">
        <f t="shared" si="5"/>
        <v>0</v>
      </c>
      <c r="G86" s="434"/>
      <c r="H86" s="779"/>
      <c r="I86" s="761">
        <f t="shared" si="6"/>
        <v>0</v>
      </c>
      <c r="J86" s="761">
        <f t="shared" si="7"/>
        <v>0</v>
      </c>
      <c r="K86" s="761">
        <f t="shared" si="8"/>
        <v>0</v>
      </c>
      <c r="L86" s="1269"/>
    </row>
    <row r="87" spans="1:12" s="745" customFormat="1" ht="141.75">
      <c r="A87" s="1160" t="s">
        <v>430</v>
      </c>
      <c r="B87" s="1161" t="s">
        <v>2284</v>
      </c>
      <c r="C87" s="780" t="s">
        <v>416</v>
      </c>
      <c r="D87" s="893">
        <v>181</v>
      </c>
      <c r="E87" s="763">
        <v>22.15</v>
      </c>
      <c r="F87" s="799">
        <f t="shared" si="5"/>
        <v>0</v>
      </c>
      <c r="G87" s="434">
        <f>MB!G1248</f>
        <v>22.150000000000002</v>
      </c>
      <c r="H87" s="781">
        <v>680</v>
      </c>
      <c r="I87" s="760">
        <f t="shared" si="6"/>
        <v>15062</v>
      </c>
      <c r="J87" s="761">
        <f t="shared" si="7"/>
        <v>0</v>
      </c>
      <c r="K87" s="761">
        <f t="shared" si="8"/>
        <v>15062</v>
      </c>
      <c r="L87" s="1271"/>
    </row>
    <row r="88" spans="1:12">
      <c r="A88" s="1157"/>
      <c r="B88" s="1156" t="s">
        <v>432</v>
      </c>
      <c r="C88" s="778"/>
      <c r="D88" s="895">
        <v>0</v>
      </c>
      <c r="E88" s="744">
        <v>0</v>
      </c>
      <c r="F88" s="799">
        <f t="shared" si="5"/>
        <v>0</v>
      </c>
      <c r="G88" s="434"/>
      <c r="H88" s="779"/>
      <c r="I88" s="761">
        <f t="shared" si="6"/>
        <v>0</v>
      </c>
      <c r="J88" s="761">
        <f t="shared" si="7"/>
        <v>0</v>
      </c>
      <c r="K88" s="761">
        <f t="shared" si="8"/>
        <v>0</v>
      </c>
      <c r="L88" s="1269"/>
    </row>
    <row r="89" spans="1:12" ht="189">
      <c r="A89" s="1157" t="s">
        <v>433</v>
      </c>
      <c r="B89" s="1139" t="s">
        <v>434</v>
      </c>
      <c r="C89" s="778" t="s">
        <v>416</v>
      </c>
      <c r="D89" s="895">
        <v>0</v>
      </c>
      <c r="E89" s="744">
        <v>0</v>
      </c>
      <c r="F89" s="799">
        <f t="shared" si="5"/>
        <v>0</v>
      </c>
      <c r="G89" s="434"/>
      <c r="H89" s="781"/>
      <c r="I89" s="761">
        <f t="shared" si="6"/>
        <v>0</v>
      </c>
      <c r="J89" s="761">
        <f t="shared" si="7"/>
        <v>0</v>
      </c>
      <c r="K89" s="761">
        <f t="shared" si="8"/>
        <v>0</v>
      </c>
      <c r="L89" s="1269"/>
    </row>
    <row r="90" spans="1:12">
      <c r="A90" s="1157"/>
      <c r="B90" s="1149"/>
      <c r="C90" s="782"/>
      <c r="D90" s="895">
        <v>0</v>
      </c>
      <c r="E90" s="744">
        <v>0</v>
      </c>
      <c r="F90" s="799">
        <f t="shared" si="5"/>
        <v>0</v>
      </c>
      <c r="G90" s="434"/>
      <c r="H90" s="783"/>
      <c r="I90" s="761">
        <f t="shared" si="6"/>
        <v>0</v>
      </c>
      <c r="J90" s="761">
        <f t="shared" si="7"/>
        <v>0</v>
      </c>
      <c r="K90" s="761">
        <f t="shared" si="8"/>
        <v>0</v>
      </c>
      <c r="L90" s="1269"/>
    </row>
    <row r="91" spans="1:12">
      <c r="A91" s="1157">
        <v>8.3000000000000007</v>
      </c>
      <c r="B91" s="1156" t="s">
        <v>435</v>
      </c>
      <c r="C91" s="778"/>
      <c r="D91" s="895">
        <v>0</v>
      </c>
      <c r="E91" s="744">
        <v>0</v>
      </c>
      <c r="F91" s="799">
        <f t="shared" si="5"/>
        <v>0</v>
      </c>
      <c r="G91" s="434"/>
      <c r="H91" s="779"/>
      <c r="I91" s="761">
        <f t="shared" si="6"/>
        <v>0</v>
      </c>
      <c r="J91" s="761">
        <f t="shared" si="7"/>
        <v>0</v>
      </c>
      <c r="K91" s="761">
        <f t="shared" si="8"/>
        <v>0</v>
      </c>
      <c r="L91" s="1269"/>
    </row>
    <row r="92" spans="1:12" ht="200.1" customHeight="1">
      <c r="A92" s="1157"/>
      <c r="B92" s="1139" t="s">
        <v>2516</v>
      </c>
      <c r="C92" s="778" t="s">
        <v>416</v>
      </c>
      <c r="D92" s="895">
        <v>3588</v>
      </c>
      <c r="E92" s="744">
        <v>3035.3</v>
      </c>
      <c r="F92" s="799">
        <f t="shared" si="5"/>
        <v>0</v>
      </c>
      <c r="G92" s="434">
        <f>MB!G1406</f>
        <v>3035.3000000000011</v>
      </c>
      <c r="H92" s="803">
        <v>1800</v>
      </c>
      <c r="I92" s="761">
        <f t="shared" si="6"/>
        <v>5463540</v>
      </c>
      <c r="J92" s="761">
        <f t="shared" si="7"/>
        <v>0</v>
      </c>
      <c r="K92" s="761">
        <f t="shared" si="8"/>
        <v>5463540</v>
      </c>
      <c r="L92" s="1269"/>
    </row>
    <row r="93" spans="1:12">
      <c r="A93" s="1157"/>
      <c r="B93" s="1149"/>
      <c r="C93" s="778"/>
      <c r="D93" s="895"/>
      <c r="E93" s="744"/>
      <c r="F93" s="799">
        <f t="shared" si="5"/>
        <v>0</v>
      </c>
      <c r="G93" s="434"/>
      <c r="H93" s="803"/>
      <c r="I93" s="761"/>
      <c r="J93" s="761">
        <f t="shared" si="7"/>
        <v>0</v>
      </c>
      <c r="K93" s="761">
        <f t="shared" si="8"/>
        <v>0</v>
      </c>
      <c r="L93" s="1269"/>
    </row>
    <row r="94" spans="1:12" ht="126">
      <c r="A94" s="1160"/>
      <c r="B94" s="1139" t="s">
        <v>436</v>
      </c>
      <c r="C94" s="784"/>
      <c r="D94" s="897"/>
      <c r="E94" s="785">
        <v>0</v>
      </c>
      <c r="F94" s="799">
        <f t="shared" si="5"/>
        <v>0</v>
      </c>
      <c r="G94" s="434"/>
      <c r="H94" s="781"/>
      <c r="I94" s="761">
        <f t="shared" si="6"/>
        <v>0</v>
      </c>
      <c r="J94" s="761">
        <f t="shared" si="7"/>
        <v>0</v>
      </c>
      <c r="K94" s="761">
        <f t="shared" si="8"/>
        <v>0</v>
      </c>
      <c r="L94" s="1269"/>
    </row>
    <row r="95" spans="1:12" ht="31.5">
      <c r="A95" s="1160" t="s">
        <v>437</v>
      </c>
      <c r="B95" s="1162" t="s">
        <v>438</v>
      </c>
      <c r="C95" s="780"/>
      <c r="D95" s="898"/>
      <c r="E95" s="785">
        <v>0</v>
      </c>
      <c r="F95" s="799">
        <f t="shared" si="5"/>
        <v>0</v>
      </c>
      <c r="G95" s="434"/>
      <c r="H95" s="781"/>
      <c r="I95" s="761">
        <f t="shared" si="6"/>
        <v>0</v>
      </c>
      <c r="J95" s="761">
        <f t="shared" si="7"/>
        <v>0</v>
      </c>
      <c r="K95" s="761">
        <f t="shared" si="8"/>
        <v>0</v>
      </c>
      <c r="L95" s="1269"/>
    </row>
    <row r="96" spans="1:12" ht="47.25">
      <c r="A96" s="1160"/>
      <c r="B96" s="1139" t="s">
        <v>439</v>
      </c>
      <c r="C96" s="780" t="s">
        <v>416</v>
      </c>
      <c r="D96" s="898">
        <v>7176</v>
      </c>
      <c r="E96" s="763">
        <v>0</v>
      </c>
      <c r="F96" s="799">
        <f t="shared" si="5"/>
        <v>0</v>
      </c>
      <c r="G96" s="434"/>
      <c r="H96" s="781"/>
      <c r="I96" s="761">
        <f t="shared" si="6"/>
        <v>0</v>
      </c>
      <c r="J96" s="761">
        <f t="shared" si="7"/>
        <v>0</v>
      </c>
      <c r="K96" s="761">
        <f t="shared" si="8"/>
        <v>0</v>
      </c>
      <c r="L96" s="1269"/>
    </row>
    <row r="97" spans="1:12">
      <c r="A97" s="1160"/>
      <c r="B97" s="1163"/>
      <c r="C97" s="518"/>
      <c r="D97" s="893">
        <v>0</v>
      </c>
      <c r="E97" s="763">
        <v>0</v>
      </c>
      <c r="F97" s="799">
        <f t="shared" si="5"/>
        <v>0</v>
      </c>
      <c r="G97" s="434"/>
      <c r="H97" s="781"/>
      <c r="I97" s="761">
        <f t="shared" si="6"/>
        <v>0</v>
      </c>
      <c r="J97" s="761">
        <f t="shared" si="7"/>
        <v>0</v>
      </c>
      <c r="K97" s="761">
        <f t="shared" si="8"/>
        <v>0</v>
      </c>
      <c r="L97" s="1269"/>
    </row>
    <row r="98" spans="1:12">
      <c r="A98" s="1164">
        <v>8.4</v>
      </c>
      <c r="B98" s="1156" t="s">
        <v>440</v>
      </c>
      <c r="C98" s="519"/>
      <c r="D98" s="895">
        <v>0</v>
      </c>
      <c r="E98" s="744">
        <v>0</v>
      </c>
      <c r="F98" s="799">
        <f t="shared" si="5"/>
        <v>0</v>
      </c>
      <c r="G98" s="434"/>
      <c r="H98" s="779"/>
      <c r="I98" s="761">
        <f t="shared" si="6"/>
        <v>0</v>
      </c>
      <c r="J98" s="761">
        <f t="shared" si="7"/>
        <v>0</v>
      </c>
      <c r="K98" s="761">
        <f t="shared" si="8"/>
        <v>0</v>
      </c>
      <c r="L98" s="1269"/>
    </row>
    <row r="99" spans="1:12">
      <c r="A99" s="1165"/>
      <c r="B99" s="1166"/>
      <c r="C99" s="778"/>
      <c r="D99" s="895"/>
      <c r="E99" s="744"/>
      <c r="F99" s="799">
        <f t="shared" si="5"/>
        <v>0</v>
      </c>
      <c r="G99" s="434"/>
      <c r="H99" s="779"/>
      <c r="I99" s="761">
        <f t="shared" si="6"/>
        <v>0</v>
      </c>
      <c r="J99" s="761">
        <f t="shared" si="7"/>
        <v>0</v>
      </c>
      <c r="K99" s="761">
        <f t="shared" si="8"/>
        <v>0</v>
      </c>
      <c r="L99" s="1269"/>
    </row>
    <row r="100" spans="1:12" ht="94.5">
      <c r="A100" s="1165" t="s">
        <v>441</v>
      </c>
      <c r="B100" s="1139" t="s">
        <v>442</v>
      </c>
      <c r="C100" s="778" t="s">
        <v>415</v>
      </c>
      <c r="D100" s="895">
        <v>48</v>
      </c>
      <c r="E100" s="744">
        <v>216.56</v>
      </c>
      <c r="F100" s="799">
        <f t="shared" si="5"/>
        <v>0</v>
      </c>
      <c r="G100" s="434">
        <f>MB!G1420</f>
        <v>216.56</v>
      </c>
      <c r="H100" s="779">
        <v>2800</v>
      </c>
      <c r="I100" s="761">
        <f t="shared" si="6"/>
        <v>606368</v>
      </c>
      <c r="J100" s="761">
        <f t="shared" si="7"/>
        <v>0</v>
      </c>
      <c r="K100" s="761">
        <f t="shared" si="8"/>
        <v>606368</v>
      </c>
      <c r="L100" s="1269"/>
    </row>
    <row r="101" spans="1:12">
      <c r="A101" s="882"/>
      <c r="B101" s="1135"/>
      <c r="C101" s="510"/>
      <c r="D101" s="895">
        <v>0</v>
      </c>
      <c r="E101" s="744">
        <v>0</v>
      </c>
      <c r="F101" s="799">
        <f t="shared" si="5"/>
        <v>0</v>
      </c>
      <c r="G101" s="434"/>
      <c r="H101" s="766"/>
      <c r="I101" s="761">
        <f t="shared" si="6"/>
        <v>0</v>
      </c>
      <c r="J101" s="761">
        <f t="shared" si="7"/>
        <v>0</v>
      </c>
      <c r="K101" s="761">
        <f t="shared" si="8"/>
        <v>0</v>
      </c>
      <c r="L101" s="1269"/>
    </row>
    <row r="102" spans="1:12">
      <c r="A102" s="1167">
        <v>9</v>
      </c>
      <c r="B102" s="1168" t="s">
        <v>443</v>
      </c>
      <c r="C102" s="510"/>
      <c r="D102" s="895">
        <v>0</v>
      </c>
      <c r="E102" s="744">
        <v>0</v>
      </c>
      <c r="F102" s="799">
        <f t="shared" si="5"/>
        <v>0</v>
      </c>
      <c r="G102" s="434"/>
      <c r="H102" s="786"/>
      <c r="I102" s="761">
        <f t="shared" si="6"/>
        <v>0</v>
      </c>
      <c r="J102" s="761">
        <f t="shared" si="7"/>
        <v>0</v>
      </c>
      <c r="K102" s="761">
        <f t="shared" si="8"/>
        <v>0</v>
      </c>
      <c r="L102" s="1269"/>
    </row>
    <row r="103" spans="1:12" ht="94.5">
      <c r="A103" s="1138"/>
      <c r="B103" s="1139" t="s">
        <v>444</v>
      </c>
      <c r="C103" s="510"/>
      <c r="D103" s="895">
        <v>0</v>
      </c>
      <c r="E103" s="744">
        <v>0</v>
      </c>
      <c r="F103" s="799">
        <f t="shared" si="5"/>
        <v>0</v>
      </c>
      <c r="G103" s="434"/>
      <c r="H103" s="786"/>
      <c r="I103" s="761">
        <f t="shared" si="6"/>
        <v>0</v>
      </c>
      <c r="J103" s="761">
        <f t="shared" si="7"/>
        <v>0</v>
      </c>
      <c r="K103" s="761">
        <f t="shared" si="8"/>
        <v>0</v>
      </c>
      <c r="L103" s="1269">
        <f>3802.43+181.39</f>
        <v>3983.8199999999997</v>
      </c>
    </row>
    <row r="104" spans="1:12">
      <c r="A104" s="1138"/>
      <c r="B104" s="516"/>
      <c r="C104" s="787"/>
      <c r="D104" s="895">
        <v>0</v>
      </c>
      <c r="E104" s="744">
        <v>0</v>
      </c>
      <c r="F104" s="799">
        <f t="shared" si="5"/>
        <v>0</v>
      </c>
      <c r="G104" s="434"/>
      <c r="H104" s="786"/>
      <c r="I104" s="761">
        <f t="shared" si="6"/>
        <v>0</v>
      </c>
      <c r="J104" s="761">
        <f t="shared" si="7"/>
        <v>0</v>
      </c>
      <c r="K104" s="761">
        <f t="shared" si="8"/>
        <v>0</v>
      </c>
      <c r="L104" s="1269"/>
    </row>
    <row r="105" spans="1:12">
      <c r="A105" s="1169">
        <v>9.1</v>
      </c>
      <c r="B105" s="716" t="s">
        <v>445</v>
      </c>
      <c r="C105" s="787"/>
      <c r="D105" s="895">
        <v>0</v>
      </c>
      <c r="E105" s="744">
        <v>0</v>
      </c>
      <c r="F105" s="799">
        <f t="shared" si="5"/>
        <v>0</v>
      </c>
      <c r="G105" s="434"/>
      <c r="H105" s="786"/>
      <c r="I105" s="761">
        <f t="shared" si="6"/>
        <v>0</v>
      </c>
      <c r="J105" s="761">
        <f t="shared" si="7"/>
        <v>0</v>
      </c>
      <c r="K105" s="761">
        <f t="shared" si="8"/>
        <v>0</v>
      </c>
      <c r="L105" s="1269"/>
    </row>
    <row r="106" spans="1:12">
      <c r="A106" s="1170"/>
      <c r="B106" s="516"/>
      <c r="C106" s="788"/>
      <c r="D106" s="895"/>
      <c r="E106" s="744"/>
      <c r="F106" s="799">
        <f t="shared" si="5"/>
        <v>0</v>
      </c>
      <c r="G106" s="434"/>
      <c r="H106" s="766"/>
      <c r="I106" s="761">
        <f t="shared" si="6"/>
        <v>0</v>
      </c>
      <c r="J106" s="761">
        <f t="shared" si="7"/>
        <v>0</v>
      </c>
      <c r="K106" s="761">
        <f t="shared" si="8"/>
        <v>0</v>
      </c>
      <c r="L106" s="1269"/>
    </row>
    <row r="107" spans="1:12" s="745" customFormat="1" ht="94.5">
      <c r="A107" s="1171" t="s">
        <v>446</v>
      </c>
      <c r="B107" s="1139" t="s">
        <v>447</v>
      </c>
      <c r="C107" s="789" t="s">
        <v>350</v>
      </c>
      <c r="D107" s="893">
        <v>3676</v>
      </c>
      <c r="E107" s="763">
        <v>3983.8499999999963</v>
      </c>
      <c r="F107" s="744">
        <f t="shared" si="5"/>
        <v>0</v>
      </c>
      <c r="G107" s="434">
        <f>MB!G1832</f>
        <v>3983.8499999999963</v>
      </c>
      <c r="H107" s="790">
        <v>220</v>
      </c>
      <c r="I107" s="760">
        <f t="shared" si="6"/>
        <v>876447</v>
      </c>
      <c r="J107" s="761">
        <f t="shared" si="7"/>
        <v>0</v>
      </c>
      <c r="K107" s="761">
        <f t="shared" si="8"/>
        <v>876447</v>
      </c>
      <c r="L107" s="1271"/>
    </row>
    <row r="108" spans="1:12">
      <c r="A108" s="1170"/>
      <c r="B108" s="516"/>
      <c r="C108" s="787"/>
      <c r="D108" s="895">
        <v>0</v>
      </c>
      <c r="E108" s="744">
        <v>0</v>
      </c>
      <c r="F108" s="799">
        <f t="shared" si="5"/>
        <v>0</v>
      </c>
      <c r="G108" s="434"/>
      <c r="H108" s="786"/>
      <c r="I108" s="761">
        <f t="shared" si="6"/>
        <v>0</v>
      </c>
      <c r="J108" s="761">
        <f t="shared" si="7"/>
        <v>0</v>
      </c>
      <c r="K108" s="761">
        <f t="shared" si="8"/>
        <v>0</v>
      </c>
      <c r="L108" s="1269"/>
    </row>
    <row r="109" spans="1:12" ht="31.5">
      <c r="A109" s="1169">
        <v>9.3000000000000007</v>
      </c>
      <c r="B109" s="716" t="s">
        <v>448</v>
      </c>
      <c r="C109" s="787"/>
      <c r="D109" s="895">
        <v>0</v>
      </c>
      <c r="E109" s="744">
        <v>0</v>
      </c>
      <c r="F109" s="799">
        <f t="shared" si="5"/>
        <v>0</v>
      </c>
      <c r="G109" s="434"/>
      <c r="H109" s="786"/>
      <c r="I109" s="761">
        <f t="shared" si="6"/>
        <v>0</v>
      </c>
      <c r="J109" s="761">
        <f t="shared" si="7"/>
        <v>0</v>
      </c>
      <c r="K109" s="761">
        <f t="shared" si="8"/>
        <v>0</v>
      </c>
      <c r="L109" s="1269"/>
    </row>
    <row r="110" spans="1:12">
      <c r="A110" s="1170"/>
      <c r="B110" s="516"/>
      <c r="C110" s="788"/>
      <c r="D110" s="895"/>
      <c r="E110" s="744"/>
      <c r="F110" s="799">
        <f t="shared" si="5"/>
        <v>0</v>
      </c>
      <c r="G110" s="434"/>
      <c r="H110" s="766"/>
      <c r="I110" s="761">
        <f t="shared" si="6"/>
        <v>0</v>
      </c>
      <c r="J110" s="761">
        <f t="shared" si="7"/>
        <v>0</v>
      </c>
      <c r="K110" s="761">
        <f t="shared" si="8"/>
        <v>0</v>
      </c>
      <c r="L110" s="1269"/>
    </row>
    <row r="111" spans="1:12" ht="173.25">
      <c r="A111" s="1170" t="s">
        <v>449</v>
      </c>
      <c r="B111" s="1139" t="s">
        <v>450</v>
      </c>
      <c r="C111" s="788" t="s">
        <v>350</v>
      </c>
      <c r="D111" s="895">
        <v>2451</v>
      </c>
      <c r="E111" s="744">
        <v>3784.66</v>
      </c>
      <c r="F111" s="799">
        <f t="shared" si="5"/>
        <v>0</v>
      </c>
      <c r="G111" s="434">
        <f>MB!G1978</f>
        <v>3784.659999999998</v>
      </c>
      <c r="H111" s="766">
        <v>340</v>
      </c>
      <c r="I111" s="761">
        <f>ROUND(E111*H111,0)</f>
        <v>1286784</v>
      </c>
      <c r="J111" s="761">
        <f t="shared" si="7"/>
        <v>0</v>
      </c>
      <c r="K111" s="761">
        <f t="shared" si="8"/>
        <v>1286784</v>
      </c>
      <c r="L111" s="1269"/>
    </row>
    <row r="112" spans="1:12">
      <c r="A112" s="1157">
        <v>9.4</v>
      </c>
      <c r="B112" s="716" t="s">
        <v>451</v>
      </c>
      <c r="C112" s="510"/>
      <c r="D112" s="895">
        <v>0</v>
      </c>
      <c r="E112" s="744">
        <v>0</v>
      </c>
      <c r="F112" s="799">
        <f t="shared" si="5"/>
        <v>0</v>
      </c>
      <c r="G112" s="434"/>
      <c r="H112" s="766"/>
      <c r="I112" s="761">
        <f t="shared" si="6"/>
        <v>0</v>
      </c>
      <c r="J112" s="761">
        <f t="shared" si="7"/>
        <v>0</v>
      </c>
      <c r="K112" s="761">
        <f t="shared" si="8"/>
        <v>0</v>
      </c>
      <c r="L112" s="1269"/>
    </row>
    <row r="113" spans="1:12">
      <c r="A113" s="1138"/>
      <c r="B113" s="516"/>
      <c r="C113" s="510"/>
      <c r="D113" s="895"/>
      <c r="E113" s="744"/>
      <c r="F113" s="799">
        <f t="shared" si="5"/>
        <v>0</v>
      </c>
      <c r="G113" s="434"/>
      <c r="H113" s="766"/>
      <c r="I113" s="761">
        <f t="shared" si="6"/>
        <v>0</v>
      </c>
      <c r="J113" s="761">
        <f t="shared" si="7"/>
        <v>0</v>
      </c>
      <c r="K113" s="761">
        <f t="shared" si="8"/>
        <v>0</v>
      </c>
      <c r="L113" s="1269"/>
    </row>
    <row r="114" spans="1:12" ht="110.25">
      <c r="A114" s="1138" t="s">
        <v>452</v>
      </c>
      <c r="B114" s="1139" t="s">
        <v>453</v>
      </c>
      <c r="C114" s="510" t="s">
        <v>416</v>
      </c>
      <c r="D114" s="895">
        <v>3676</v>
      </c>
      <c r="E114" s="744">
        <v>4354.12</v>
      </c>
      <c r="F114" s="744">
        <f t="shared" si="5"/>
        <v>0</v>
      </c>
      <c r="G114" s="434">
        <f>MB!G2513</f>
        <v>4354.1200000000008</v>
      </c>
      <c r="H114" s="766">
        <v>90</v>
      </c>
      <c r="I114" s="761">
        <f t="shared" si="6"/>
        <v>391871</v>
      </c>
      <c r="J114" s="761">
        <f t="shared" si="7"/>
        <v>0</v>
      </c>
      <c r="K114" s="761">
        <f t="shared" si="8"/>
        <v>391871</v>
      </c>
      <c r="L114" s="1269"/>
    </row>
    <row r="115" spans="1:12">
      <c r="A115" s="1157">
        <v>9.5</v>
      </c>
      <c r="B115" s="716" t="s">
        <v>454</v>
      </c>
      <c r="C115" s="510"/>
      <c r="D115" s="895">
        <v>0</v>
      </c>
      <c r="E115" s="744">
        <v>0</v>
      </c>
      <c r="F115" s="791"/>
      <c r="G115" s="434"/>
      <c r="H115" s="791"/>
      <c r="I115" s="761">
        <f t="shared" si="6"/>
        <v>0</v>
      </c>
      <c r="J115" s="761">
        <f t="shared" si="7"/>
        <v>0</v>
      </c>
      <c r="K115" s="761">
        <f t="shared" si="8"/>
        <v>0</v>
      </c>
      <c r="L115" s="1269"/>
    </row>
    <row r="116" spans="1:12">
      <c r="A116" s="1138"/>
      <c r="B116" s="516"/>
      <c r="C116" s="510"/>
      <c r="D116" s="895"/>
      <c r="E116" s="744"/>
      <c r="F116" s="791"/>
      <c r="G116" s="434"/>
      <c r="H116" s="791"/>
      <c r="I116" s="761">
        <f t="shared" si="6"/>
        <v>0</v>
      </c>
      <c r="J116" s="761">
        <f t="shared" si="7"/>
        <v>0</v>
      </c>
      <c r="K116" s="761">
        <f t="shared" si="8"/>
        <v>0</v>
      </c>
      <c r="L116" s="1269"/>
    </row>
    <row r="117" spans="1:12" ht="94.5">
      <c r="A117" s="1138" t="s">
        <v>456</v>
      </c>
      <c r="B117" s="1139" t="s">
        <v>457</v>
      </c>
      <c r="C117" s="510" t="s">
        <v>455</v>
      </c>
      <c r="D117" s="895">
        <v>735</v>
      </c>
      <c r="E117" s="744">
        <v>0</v>
      </c>
      <c r="F117" s="791"/>
      <c r="G117" s="434"/>
      <c r="H117" s="791">
        <v>45</v>
      </c>
      <c r="I117" s="761">
        <f t="shared" si="6"/>
        <v>0</v>
      </c>
      <c r="J117" s="761">
        <f t="shared" si="7"/>
        <v>0</v>
      </c>
      <c r="K117" s="761">
        <f t="shared" si="8"/>
        <v>0</v>
      </c>
      <c r="L117" s="1269"/>
    </row>
    <row r="118" spans="1:12">
      <c r="A118" s="1138"/>
      <c r="B118" s="516"/>
      <c r="C118" s="510"/>
      <c r="D118" s="895">
        <v>0</v>
      </c>
      <c r="E118" s="744">
        <v>0</v>
      </c>
      <c r="F118" s="791"/>
      <c r="G118" s="434"/>
      <c r="H118" s="791"/>
      <c r="I118" s="761">
        <f t="shared" si="6"/>
        <v>0</v>
      </c>
      <c r="J118" s="761">
        <f t="shared" si="7"/>
        <v>0</v>
      </c>
      <c r="K118" s="761">
        <f t="shared" si="8"/>
        <v>0</v>
      </c>
      <c r="L118" s="1269"/>
    </row>
    <row r="119" spans="1:12">
      <c r="A119" s="1172">
        <v>9.6</v>
      </c>
      <c r="B119" s="716" t="s">
        <v>458</v>
      </c>
      <c r="C119" s="510"/>
      <c r="D119" s="895">
        <v>0</v>
      </c>
      <c r="E119" s="744">
        <v>0</v>
      </c>
      <c r="F119" s="791"/>
      <c r="G119" s="434"/>
      <c r="H119" s="791"/>
      <c r="I119" s="761">
        <f t="shared" si="6"/>
        <v>0</v>
      </c>
      <c r="J119" s="761">
        <f t="shared" si="7"/>
        <v>0</v>
      </c>
      <c r="K119" s="761">
        <f t="shared" si="8"/>
        <v>0</v>
      </c>
      <c r="L119" s="1269"/>
    </row>
    <row r="120" spans="1:12">
      <c r="A120" s="1172"/>
      <c r="B120" s="516"/>
      <c r="C120" s="510"/>
      <c r="D120" s="895"/>
      <c r="E120" s="744"/>
      <c r="F120" s="791"/>
      <c r="G120" s="434"/>
      <c r="H120" s="791"/>
      <c r="I120" s="761">
        <f t="shared" ref="I120:I162" si="9">ROUND(E120*H120,0)</f>
        <v>0</v>
      </c>
      <c r="J120" s="761">
        <f t="shared" si="7"/>
        <v>0</v>
      </c>
      <c r="K120" s="761">
        <f t="shared" si="8"/>
        <v>0</v>
      </c>
      <c r="L120" s="1269"/>
    </row>
    <row r="121" spans="1:12" ht="110.25">
      <c r="A121" s="1172" t="s">
        <v>459</v>
      </c>
      <c r="B121" s="1139" t="s">
        <v>460</v>
      </c>
      <c r="C121" s="510" t="s">
        <v>416</v>
      </c>
      <c r="D121" s="895">
        <v>2451</v>
      </c>
      <c r="E121" s="744">
        <v>4937.67</v>
      </c>
      <c r="F121" s="791">
        <f>G121-E121</f>
        <v>0</v>
      </c>
      <c r="G121" s="434">
        <f>MB!G2666</f>
        <v>4937.6699999999964</v>
      </c>
      <c r="H121" s="791">
        <v>380</v>
      </c>
      <c r="I121" s="761">
        <f t="shared" si="9"/>
        <v>1876315</v>
      </c>
      <c r="J121" s="761">
        <f t="shared" si="7"/>
        <v>0</v>
      </c>
      <c r="K121" s="761">
        <f t="shared" si="8"/>
        <v>1876315</v>
      </c>
      <c r="L121" s="1269"/>
    </row>
    <row r="122" spans="1:12">
      <c r="A122" s="1172"/>
      <c r="B122" s="716"/>
      <c r="C122" s="792"/>
      <c r="D122" s="895"/>
      <c r="E122" s="744"/>
      <c r="F122" s="791">
        <f t="shared" ref="F122:F164" si="10">G122-E122</f>
        <v>0</v>
      </c>
      <c r="G122" s="434"/>
      <c r="H122" s="744"/>
      <c r="I122" s="761"/>
      <c r="J122" s="761">
        <f t="shared" si="7"/>
        <v>0</v>
      </c>
      <c r="K122" s="761">
        <f t="shared" si="8"/>
        <v>0</v>
      </c>
      <c r="L122" s="1269"/>
    </row>
    <row r="123" spans="1:12">
      <c r="A123" s="882"/>
      <c r="B123" s="1135"/>
      <c r="C123" s="792"/>
      <c r="D123" s="895">
        <v>0</v>
      </c>
      <c r="E123" s="744">
        <v>0</v>
      </c>
      <c r="F123" s="791">
        <f t="shared" si="10"/>
        <v>0</v>
      </c>
      <c r="G123" s="434"/>
      <c r="H123" s="744"/>
      <c r="I123" s="761">
        <f t="shared" si="9"/>
        <v>0</v>
      </c>
      <c r="J123" s="761">
        <f t="shared" si="7"/>
        <v>0</v>
      </c>
      <c r="K123" s="761">
        <f t="shared" si="8"/>
        <v>0</v>
      </c>
      <c r="L123" s="1269"/>
    </row>
    <row r="124" spans="1:12">
      <c r="A124" s="1173" t="s">
        <v>158</v>
      </c>
      <c r="B124" s="1174" t="s">
        <v>461</v>
      </c>
      <c r="C124" s="792"/>
      <c r="D124" s="895">
        <v>0</v>
      </c>
      <c r="E124" s="744">
        <v>0</v>
      </c>
      <c r="F124" s="791">
        <f t="shared" si="10"/>
        <v>0</v>
      </c>
      <c r="G124" s="434"/>
      <c r="H124" s="744"/>
      <c r="I124" s="761">
        <f t="shared" si="9"/>
        <v>0</v>
      </c>
      <c r="J124" s="761">
        <f t="shared" si="7"/>
        <v>0</v>
      </c>
      <c r="K124" s="761">
        <f t="shared" si="8"/>
        <v>0</v>
      </c>
      <c r="L124" s="1269"/>
    </row>
    <row r="125" spans="1:12" ht="47.25">
      <c r="A125" s="1170"/>
      <c r="B125" s="1139" t="s">
        <v>462</v>
      </c>
      <c r="C125" s="792"/>
      <c r="D125" s="895">
        <v>0</v>
      </c>
      <c r="E125" s="744">
        <v>0</v>
      </c>
      <c r="F125" s="791">
        <f t="shared" si="10"/>
        <v>0</v>
      </c>
      <c r="G125" s="434"/>
      <c r="H125" s="744"/>
      <c r="I125" s="761">
        <f t="shared" si="9"/>
        <v>0</v>
      </c>
      <c r="J125" s="761">
        <f t="shared" si="7"/>
        <v>0</v>
      </c>
      <c r="K125" s="761">
        <f t="shared" si="8"/>
        <v>0</v>
      </c>
      <c r="L125" s="1269"/>
    </row>
    <row r="126" spans="1:12" ht="78.75">
      <c r="A126" s="1170"/>
      <c r="B126" s="1139" t="s">
        <v>463</v>
      </c>
      <c r="C126" s="792"/>
      <c r="D126" s="895">
        <v>0</v>
      </c>
      <c r="E126" s="744">
        <v>0</v>
      </c>
      <c r="F126" s="791">
        <f t="shared" si="10"/>
        <v>0</v>
      </c>
      <c r="G126" s="434"/>
      <c r="H126" s="744"/>
      <c r="I126" s="761">
        <f t="shared" si="9"/>
        <v>0</v>
      </c>
      <c r="J126" s="761">
        <f t="shared" si="7"/>
        <v>0</v>
      </c>
      <c r="K126" s="761">
        <f t="shared" si="8"/>
        <v>0</v>
      </c>
      <c r="L126" s="1269"/>
    </row>
    <row r="127" spans="1:12" ht="47.25">
      <c r="A127" s="1170"/>
      <c r="B127" s="1139" t="s">
        <v>464</v>
      </c>
      <c r="C127" s="792"/>
      <c r="D127" s="895">
        <v>0</v>
      </c>
      <c r="E127" s="744">
        <v>0</v>
      </c>
      <c r="F127" s="791">
        <f t="shared" si="10"/>
        <v>0</v>
      </c>
      <c r="G127" s="434"/>
      <c r="H127" s="744"/>
      <c r="I127" s="761">
        <f t="shared" si="9"/>
        <v>0</v>
      </c>
      <c r="J127" s="761">
        <f t="shared" si="7"/>
        <v>0</v>
      </c>
      <c r="K127" s="761">
        <f t="shared" si="8"/>
        <v>0</v>
      </c>
      <c r="L127" s="1269"/>
    </row>
    <row r="128" spans="1:12">
      <c r="A128" s="1170"/>
      <c r="B128" s="1175"/>
      <c r="C128" s="792"/>
      <c r="D128" s="895">
        <v>0</v>
      </c>
      <c r="E128" s="744">
        <v>0</v>
      </c>
      <c r="F128" s="791">
        <f t="shared" si="10"/>
        <v>0</v>
      </c>
      <c r="G128" s="434"/>
      <c r="H128" s="744"/>
      <c r="I128" s="761">
        <f t="shared" si="9"/>
        <v>0</v>
      </c>
      <c r="J128" s="761">
        <f t="shared" ref="J128:J184" si="11">K128-I128</f>
        <v>0</v>
      </c>
      <c r="K128" s="761">
        <f t="shared" ref="K128:K184" si="12">ROUND(G128*H128,0)</f>
        <v>0</v>
      </c>
      <c r="L128" s="1269"/>
    </row>
    <row r="129" spans="1:12">
      <c r="A129" s="1170" t="s">
        <v>465</v>
      </c>
      <c r="B129" s="1176" t="s">
        <v>466</v>
      </c>
      <c r="C129" s="792"/>
      <c r="D129" s="895">
        <v>0</v>
      </c>
      <c r="E129" s="744">
        <v>0</v>
      </c>
      <c r="F129" s="791">
        <f t="shared" si="10"/>
        <v>0</v>
      </c>
      <c r="G129" s="434"/>
      <c r="H129" s="744"/>
      <c r="I129" s="761">
        <f t="shared" si="9"/>
        <v>0</v>
      </c>
      <c r="J129" s="761">
        <f t="shared" si="11"/>
        <v>0</v>
      </c>
      <c r="K129" s="761">
        <f t="shared" si="12"/>
        <v>0</v>
      </c>
      <c r="L129" s="1269"/>
    </row>
    <row r="130" spans="1:12">
      <c r="A130" s="1170"/>
      <c r="B130" s="516"/>
      <c r="C130" s="792"/>
      <c r="D130" s="895">
        <v>0</v>
      </c>
      <c r="E130" s="744">
        <v>0</v>
      </c>
      <c r="F130" s="791">
        <f t="shared" si="10"/>
        <v>0</v>
      </c>
      <c r="G130" s="434"/>
      <c r="H130" s="744"/>
      <c r="I130" s="761">
        <f t="shared" si="9"/>
        <v>0</v>
      </c>
      <c r="J130" s="761">
        <f t="shared" si="11"/>
        <v>0</v>
      </c>
      <c r="K130" s="761">
        <f t="shared" si="12"/>
        <v>0</v>
      </c>
      <c r="L130" s="1269"/>
    </row>
    <row r="131" spans="1:12" ht="110.25">
      <c r="A131" s="1170" t="s">
        <v>467</v>
      </c>
      <c r="B131" s="1139" t="s">
        <v>468</v>
      </c>
      <c r="C131" s="792"/>
      <c r="D131" s="895">
        <v>0</v>
      </c>
      <c r="E131" s="744">
        <v>0</v>
      </c>
      <c r="F131" s="791">
        <f t="shared" si="10"/>
        <v>0</v>
      </c>
      <c r="G131" s="434"/>
      <c r="H131" s="744"/>
      <c r="I131" s="761">
        <f t="shared" si="9"/>
        <v>0</v>
      </c>
      <c r="J131" s="761">
        <f t="shared" si="11"/>
        <v>0</v>
      </c>
      <c r="K131" s="761">
        <f t="shared" si="12"/>
        <v>0</v>
      </c>
      <c r="L131" s="1269"/>
    </row>
    <row r="132" spans="1:12">
      <c r="A132" s="1170"/>
      <c r="B132" s="1177"/>
      <c r="C132" s="792"/>
      <c r="D132" s="895"/>
      <c r="E132" s="744"/>
      <c r="F132" s="791">
        <f t="shared" si="10"/>
        <v>0</v>
      </c>
      <c r="G132" s="434"/>
      <c r="H132" s="434"/>
      <c r="I132" s="761">
        <f t="shared" si="9"/>
        <v>0</v>
      </c>
      <c r="J132" s="761">
        <f t="shared" si="11"/>
        <v>0</v>
      </c>
      <c r="K132" s="761">
        <f t="shared" si="12"/>
        <v>0</v>
      </c>
      <c r="L132" s="1269"/>
    </row>
    <row r="133" spans="1:12" ht="31.5">
      <c r="A133" s="1170" t="s">
        <v>469</v>
      </c>
      <c r="B133" s="516" t="s">
        <v>470</v>
      </c>
      <c r="C133" s="792" t="s">
        <v>416</v>
      </c>
      <c r="D133" s="895">
        <v>4302</v>
      </c>
      <c r="E133" s="744">
        <v>4475.1899999999996</v>
      </c>
      <c r="F133" s="791">
        <f t="shared" si="10"/>
        <v>0</v>
      </c>
      <c r="G133" s="434">
        <f>MB!G2856</f>
        <v>4475.1899999999969</v>
      </c>
      <c r="H133" s="434">
        <v>1700</v>
      </c>
      <c r="I133" s="761">
        <f t="shared" si="9"/>
        <v>7607823</v>
      </c>
      <c r="J133" s="761">
        <f t="shared" si="11"/>
        <v>0</v>
      </c>
      <c r="K133" s="761">
        <f t="shared" si="12"/>
        <v>7607823</v>
      </c>
      <c r="L133" s="1269"/>
    </row>
    <row r="134" spans="1:12" ht="47.25">
      <c r="A134" s="1170" t="s">
        <v>471</v>
      </c>
      <c r="B134" s="1139" t="s">
        <v>472</v>
      </c>
      <c r="C134" s="792" t="s">
        <v>416</v>
      </c>
      <c r="D134" s="895">
        <v>886</v>
      </c>
      <c r="E134" s="744">
        <v>1340.88</v>
      </c>
      <c r="F134" s="791">
        <f t="shared" si="10"/>
        <v>0</v>
      </c>
      <c r="G134" s="434">
        <f>MB!G3005</f>
        <v>1340.8800000000008</v>
      </c>
      <c r="H134" s="434">
        <v>1400</v>
      </c>
      <c r="I134" s="761">
        <f t="shared" si="9"/>
        <v>1877232</v>
      </c>
      <c r="J134" s="761">
        <f t="shared" si="11"/>
        <v>0</v>
      </c>
      <c r="K134" s="761">
        <f t="shared" si="12"/>
        <v>1877232</v>
      </c>
      <c r="L134" s="1269"/>
    </row>
    <row r="135" spans="1:12" ht="31.5">
      <c r="A135" s="1171" t="s">
        <v>473</v>
      </c>
      <c r="B135" s="1139" t="s">
        <v>474</v>
      </c>
      <c r="C135" s="792" t="s">
        <v>416</v>
      </c>
      <c r="D135" s="895">
        <v>325</v>
      </c>
      <c r="E135" s="744">
        <v>372.87</v>
      </c>
      <c r="F135" s="791">
        <f t="shared" si="10"/>
        <v>0</v>
      </c>
      <c r="G135" s="434">
        <f>MB!G3329</f>
        <v>372.86999999999989</v>
      </c>
      <c r="H135" s="900">
        <v>1750</v>
      </c>
      <c r="I135" s="761">
        <f t="shared" si="9"/>
        <v>652523</v>
      </c>
      <c r="J135" s="761">
        <f t="shared" si="11"/>
        <v>0</v>
      </c>
      <c r="K135" s="761">
        <f t="shared" si="12"/>
        <v>652523</v>
      </c>
      <c r="L135" s="1269"/>
    </row>
    <row r="136" spans="1:12" ht="31.5">
      <c r="A136" s="1171" t="s">
        <v>475</v>
      </c>
      <c r="B136" s="1139" t="s">
        <v>476</v>
      </c>
      <c r="C136" s="793" t="s">
        <v>416</v>
      </c>
      <c r="D136" s="893">
        <v>650</v>
      </c>
      <c r="E136" s="763">
        <v>0</v>
      </c>
      <c r="F136" s="791">
        <f t="shared" si="10"/>
        <v>0</v>
      </c>
      <c r="G136" s="434"/>
      <c r="H136" s="763">
        <v>1300</v>
      </c>
      <c r="I136" s="761">
        <f t="shared" si="9"/>
        <v>0</v>
      </c>
      <c r="J136" s="761">
        <f t="shared" si="11"/>
        <v>0</v>
      </c>
      <c r="K136" s="761">
        <f t="shared" si="12"/>
        <v>0</v>
      </c>
      <c r="L136" s="1269"/>
    </row>
    <row r="137" spans="1:12" ht="110.25">
      <c r="A137" s="1170" t="s">
        <v>477</v>
      </c>
      <c r="B137" s="1139" t="s">
        <v>2285</v>
      </c>
      <c r="C137" s="792"/>
      <c r="D137" s="895">
        <v>0</v>
      </c>
      <c r="E137" s="744">
        <v>0</v>
      </c>
      <c r="F137" s="791">
        <f t="shared" si="10"/>
        <v>0</v>
      </c>
      <c r="G137" s="434"/>
      <c r="H137" s="777"/>
      <c r="I137" s="761">
        <f t="shared" si="9"/>
        <v>0</v>
      </c>
      <c r="J137" s="761">
        <f t="shared" si="11"/>
        <v>0</v>
      </c>
      <c r="K137" s="761">
        <f t="shared" si="12"/>
        <v>0</v>
      </c>
      <c r="L137" s="1269"/>
    </row>
    <row r="138" spans="1:12">
      <c r="A138" s="1170"/>
      <c r="B138" s="1176" t="s">
        <v>478</v>
      </c>
      <c r="C138" s="792"/>
      <c r="D138" s="895">
        <v>0</v>
      </c>
      <c r="E138" s="744">
        <v>0</v>
      </c>
      <c r="F138" s="791">
        <f t="shared" si="10"/>
        <v>0</v>
      </c>
      <c r="G138" s="434"/>
      <c r="H138" s="744"/>
      <c r="I138" s="761">
        <f t="shared" si="9"/>
        <v>0</v>
      </c>
      <c r="J138" s="761">
        <f t="shared" si="11"/>
        <v>0</v>
      </c>
      <c r="K138" s="761">
        <f t="shared" si="12"/>
        <v>0</v>
      </c>
      <c r="L138" s="1269"/>
    </row>
    <row r="139" spans="1:12" ht="220.5">
      <c r="A139" s="1170" t="s">
        <v>479</v>
      </c>
      <c r="B139" s="1139" t="s">
        <v>480</v>
      </c>
      <c r="C139" s="792"/>
      <c r="D139" s="895"/>
      <c r="E139" s="744"/>
      <c r="F139" s="791">
        <f t="shared" si="10"/>
        <v>0</v>
      </c>
      <c r="G139" s="434"/>
      <c r="H139" s="744"/>
      <c r="I139" s="761">
        <f t="shared" si="9"/>
        <v>0</v>
      </c>
      <c r="J139" s="761">
        <f t="shared" si="11"/>
        <v>0</v>
      </c>
      <c r="K139" s="761">
        <f t="shared" si="12"/>
        <v>0</v>
      </c>
      <c r="L139" s="1269"/>
    </row>
    <row r="140" spans="1:12" ht="94.5">
      <c r="A140" s="1170" t="s">
        <v>481</v>
      </c>
      <c r="B140" s="1139" t="s">
        <v>482</v>
      </c>
      <c r="C140" s="792" t="s">
        <v>350</v>
      </c>
      <c r="D140" s="895">
        <v>34</v>
      </c>
      <c r="E140" s="744">
        <v>61.51</v>
      </c>
      <c r="F140" s="791">
        <f t="shared" si="10"/>
        <v>0</v>
      </c>
      <c r="G140" s="434">
        <f>MB!G3350</f>
        <v>61.51</v>
      </c>
      <c r="H140" s="744">
        <v>1850</v>
      </c>
      <c r="I140" s="761">
        <f t="shared" si="9"/>
        <v>113794</v>
      </c>
      <c r="J140" s="761">
        <f t="shared" si="11"/>
        <v>0</v>
      </c>
      <c r="K140" s="761">
        <f t="shared" si="12"/>
        <v>113794</v>
      </c>
      <c r="L140" s="1269"/>
    </row>
    <row r="141" spans="1:12">
      <c r="A141" s="1170"/>
      <c r="B141" s="1176" t="s">
        <v>483</v>
      </c>
      <c r="C141" s="792"/>
      <c r="D141" s="895"/>
      <c r="E141" s="744"/>
      <c r="F141" s="791">
        <f t="shared" si="10"/>
        <v>0</v>
      </c>
      <c r="G141" s="434"/>
      <c r="H141" s="744"/>
      <c r="I141" s="761">
        <f t="shared" si="9"/>
        <v>0</v>
      </c>
      <c r="J141" s="761">
        <f t="shared" si="11"/>
        <v>0</v>
      </c>
      <c r="K141" s="761">
        <f t="shared" si="12"/>
        <v>0</v>
      </c>
      <c r="L141" s="1269"/>
    </row>
    <row r="142" spans="1:12" ht="126">
      <c r="A142" s="1170" t="s">
        <v>484</v>
      </c>
      <c r="B142" s="1139" t="s">
        <v>2509</v>
      </c>
      <c r="C142" s="792" t="s">
        <v>350</v>
      </c>
      <c r="D142" s="895">
        <v>67</v>
      </c>
      <c r="E142" s="744">
        <v>44.64</v>
      </c>
      <c r="F142" s="791">
        <f t="shared" si="10"/>
        <v>0</v>
      </c>
      <c r="G142" s="434">
        <f>MB!G3355</f>
        <v>44.64</v>
      </c>
      <c r="H142" s="744">
        <v>1900</v>
      </c>
      <c r="I142" s="761">
        <f t="shared" si="9"/>
        <v>84816</v>
      </c>
      <c r="J142" s="761">
        <f t="shared" si="11"/>
        <v>0</v>
      </c>
      <c r="K142" s="761">
        <f t="shared" si="12"/>
        <v>84816</v>
      </c>
      <c r="L142" s="1269"/>
    </row>
    <row r="143" spans="1:12">
      <c r="A143" s="1170" t="s">
        <v>485</v>
      </c>
      <c r="B143" s="1176" t="s">
        <v>486</v>
      </c>
      <c r="C143" s="792"/>
      <c r="D143" s="895"/>
      <c r="E143" s="744"/>
      <c r="F143" s="791">
        <f t="shared" si="10"/>
        <v>0</v>
      </c>
      <c r="G143" s="434"/>
      <c r="H143" s="744"/>
      <c r="I143" s="761">
        <f t="shared" si="9"/>
        <v>0</v>
      </c>
      <c r="J143" s="761">
        <f t="shared" si="11"/>
        <v>0</v>
      </c>
      <c r="K143" s="761">
        <f t="shared" si="12"/>
        <v>0</v>
      </c>
      <c r="L143" s="1269"/>
    </row>
    <row r="144" spans="1:12" ht="141.75">
      <c r="A144" s="1170" t="s">
        <v>487</v>
      </c>
      <c r="B144" s="1139" t="s">
        <v>488</v>
      </c>
      <c r="C144" s="792" t="s">
        <v>416</v>
      </c>
      <c r="D144" s="895">
        <v>4831</v>
      </c>
      <c r="E144" s="744">
        <v>336.4</v>
      </c>
      <c r="F144" s="791">
        <f t="shared" si="10"/>
        <v>0</v>
      </c>
      <c r="G144" s="434">
        <f>MB!G3385</f>
        <v>336.40000000000015</v>
      </c>
      <c r="H144" s="744">
        <v>325</v>
      </c>
      <c r="I144" s="761">
        <f t="shared" si="9"/>
        <v>109330</v>
      </c>
      <c r="J144" s="761">
        <f t="shared" si="11"/>
        <v>0</v>
      </c>
      <c r="K144" s="761">
        <f t="shared" si="12"/>
        <v>109330</v>
      </c>
      <c r="L144" s="1269"/>
    </row>
    <row r="145" spans="1:12">
      <c r="A145" s="1170"/>
      <c r="B145" s="1177"/>
      <c r="C145" s="792"/>
      <c r="D145" s="895"/>
      <c r="E145" s="744"/>
      <c r="F145" s="791">
        <f t="shared" si="10"/>
        <v>0</v>
      </c>
      <c r="G145" s="434"/>
      <c r="H145" s="744"/>
      <c r="I145" s="761">
        <f t="shared" si="9"/>
        <v>0</v>
      </c>
      <c r="J145" s="761">
        <f t="shared" si="11"/>
        <v>0</v>
      </c>
      <c r="K145" s="761">
        <f t="shared" si="12"/>
        <v>0</v>
      </c>
      <c r="L145" s="1269"/>
    </row>
    <row r="146" spans="1:12" ht="94.5">
      <c r="A146" s="1170" t="s">
        <v>489</v>
      </c>
      <c r="B146" s="1139" t="s">
        <v>490</v>
      </c>
      <c r="C146" s="792" t="s">
        <v>347</v>
      </c>
      <c r="D146" s="895">
        <v>3</v>
      </c>
      <c r="E146" s="744">
        <v>14.839999999999996</v>
      </c>
      <c r="F146" s="791">
        <f t="shared" si="10"/>
        <v>0</v>
      </c>
      <c r="G146" s="434">
        <f>MB!G3421</f>
        <v>14.839999999999996</v>
      </c>
      <c r="H146" s="744">
        <v>9500</v>
      </c>
      <c r="I146" s="761">
        <f t="shared" si="9"/>
        <v>140980</v>
      </c>
      <c r="J146" s="761">
        <f t="shared" si="11"/>
        <v>0</v>
      </c>
      <c r="K146" s="761">
        <f t="shared" si="12"/>
        <v>140980</v>
      </c>
      <c r="L146" s="1269"/>
    </row>
    <row r="147" spans="1:12">
      <c r="A147" s="1170"/>
      <c r="B147" s="1177"/>
      <c r="C147" s="792"/>
      <c r="D147" s="895">
        <v>0</v>
      </c>
      <c r="E147" s="744">
        <v>0</v>
      </c>
      <c r="F147" s="791">
        <f t="shared" si="10"/>
        <v>0</v>
      </c>
      <c r="G147" s="434"/>
      <c r="H147" s="744"/>
      <c r="I147" s="761">
        <f t="shared" si="9"/>
        <v>0</v>
      </c>
      <c r="J147" s="761">
        <f t="shared" si="11"/>
        <v>0</v>
      </c>
      <c r="K147" s="761">
        <f t="shared" si="12"/>
        <v>0</v>
      </c>
      <c r="L147" s="1269"/>
    </row>
    <row r="148" spans="1:12">
      <c r="A148" s="1171" t="s">
        <v>491</v>
      </c>
      <c r="B148" s="1178" t="s">
        <v>492</v>
      </c>
      <c r="C148" s="792"/>
      <c r="D148" s="895">
        <v>0</v>
      </c>
      <c r="E148" s="744">
        <v>0</v>
      </c>
      <c r="F148" s="791">
        <f t="shared" si="10"/>
        <v>0</v>
      </c>
      <c r="G148" s="434"/>
      <c r="H148" s="744"/>
      <c r="I148" s="761">
        <f t="shared" si="9"/>
        <v>0</v>
      </c>
      <c r="J148" s="761">
        <f t="shared" si="11"/>
        <v>0</v>
      </c>
      <c r="K148" s="761">
        <f t="shared" si="12"/>
        <v>0</v>
      </c>
      <c r="L148" s="1269"/>
    </row>
    <row r="149" spans="1:12" ht="173.25">
      <c r="A149" s="1170" t="s">
        <v>493</v>
      </c>
      <c r="B149" s="1139" t="s">
        <v>494</v>
      </c>
      <c r="C149" s="792" t="s">
        <v>416</v>
      </c>
      <c r="D149" s="895">
        <v>0</v>
      </c>
      <c r="E149" s="744">
        <v>0</v>
      </c>
      <c r="F149" s="791">
        <f t="shared" si="10"/>
        <v>0</v>
      </c>
      <c r="G149" s="434"/>
      <c r="H149" s="744"/>
      <c r="I149" s="761">
        <f t="shared" si="9"/>
        <v>0</v>
      </c>
      <c r="J149" s="761">
        <f t="shared" si="11"/>
        <v>0</v>
      </c>
      <c r="K149" s="761">
        <f t="shared" si="12"/>
        <v>0</v>
      </c>
      <c r="L149" s="1269"/>
    </row>
    <row r="150" spans="1:12">
      <c r="A150" s="1170"/>
      <c r="B150" s="1177"/>
      <c r="C150" s="792"/>
      <c r="D150" s="895">
        <v>0</v>
      </c>
      <c r="E150" s="744">
        <v>0</v>
      </c>
      <c r="F150" s="791">
        <f t="shared" si="10"/>
        <v>0</v>
      </c>
      <c r="G150" s="434"/>
      <c r="H150" s="744"/>
      <c r="I150" s="761">
        <f t="shared" si="9"/>
        <v>0</v>
      </c>
      <c r="J150" s="761">
        <f t="shared" si="11"/>
        <v>0</v>
      </c>
      <c r="K150" s="761">
        <f t="shared" si="12"/>
        <v>0</v>
      </c>
      <c r="L150" s="1269"/>
    </row>
    <row r="151" spans="1:12">
      <c r="A151" s="1170" t="s">
        <v>495</v>
      </c>
      <c r="B151" s="1176" t="s">
        <v>496</v>
      </c>
      <c r="C151" s="792"/>
      <c r="D151" s="895"/>
      <c r="E151" s="744"/>
      <c r="F151" s="791">
        <f t="shared" si="10"/>
        <v>0</v>
      </c>
      <c r="G151" s="434"/>
      <c r="H151" s="434"/>
      <c r="I151" s="761">
        <f t="shared" si="9"/>
        <v>0</v>
      </c>
      <c r="J151" s="761">
        <f t="shared" si="11"/>
        <v>0</v>
      </c>
      <c r="K151" s="761">
        <f t="shared" si="12"/>
        <v>0</v>
      </c>
      <c r="L151" s="1269"/>
    </row>
    <row r="152" spans="1:12" s="794" customFormat="1" ht="249.95" customHeight="1">
      <c r="A152" s="1170" t="s">
        <v>497</v>
      </c>
      <c r="B152" s="1139" t="s">
        <v>498</v>
      </c>
      <c r="C152" s="792" t="s">
        <v>416</v>
      </c>
      <c r="D152" s="896">
        <v>410</v>
      </c>
      <c r="E152" s="434">
        <v>409.71</v>
      </c>
      <c r="F152" s="791">
        <f t="shared" si="10"/>
        <v>0</v>
      </c>
      <c r="G152" s="434">
        <f>MB!G3438</f>
        <v>409.71000000000004</v>
      </c>
      <c r="H152" s="777">
        <v>5500</v>
      </c>
      <c r="I152" s="761">
        <f t="shared" si="9"/>
        <v>2253405</v>
      </c>
      <c r="J152" s="761">
        <f t="shared" si="11"/>
        <v>0</v>
      </c>
      <c r="K152" s="761">
        <f t="shared" si="12"/>
        <v>2253405</v>
      </c>
      <c r="L152" s="1272"/>
    </row>
    <row r="153" spans="1:12" s="794" customFormat="1">
      <c r="A153" s="1170"/>
      <c r="B153" s="1135"/>
      <c r="C153" s="792"/>
      <c r="D153" s="896"/>
      <c r="E153" s="763"/>
      <c r="F153" s="791">
        <f t="shared" si="10"/>
        <v>0</v>
      </c>
      <c r="G153" s="763"/>
      <c r="H153" s="901"/>
      <c r="I153" s="772"/>
      <c r="J153" s="761"/>
      <c r="K153" s="761"/>
      <c r="L153" s="1272"/>
    </row>
    <row r="154" spans="1:12">
      <c r="A154" s="1170" t="s">
        <v>499</v>
      </c>
      <c r="B154" s="1135" t="s">
        <v>500</v>
      </c>
      <c r="C154" s="792"/>
      <c r="D154" s="895">
        <v>0</v>
      </c>
      <c r="E154" s="763">
        <v>0</v>
      </c>
      <c r="F154" s="791">
        <f t="shared" si="10"/>
        <v>0</v>
      </c>
      <c r="G154" s="763"/>
      <c r="H154" s="901"/>
      <c r="I154" s="761">
        <f t="shared" si="9"/>
        <v>0</v>
      </c>
      <c r="J154" s="761">
        <f t="shared" si="11"/>
        <v>0</v>
      </c>
      <c r="K154" s="761">
        <f t="shared" si="12"/>
        <v>0</v>
      </c>
      <c r="L154" s="1269"/>
    </row>
    <row r="155" spans="1:12" ht="249.95" customHeight="1">
      <c r="A155" s="1170" t="s">
        <v>501</v>
      </c>
      <c r="B155" s="1139" t="s">
        <v>502</v>
      </c>
      <c r="C155" s="792"/>
      <c r="D155" s="895">
        <v>0</v>
      </c>
      <c r="E155" s="744">
        <v>0</v>
      </c>
      <c r="F155" s="791">
        <f t="shared" si="10"/>
        <v>0</v>
      </c>
      <c r="G155" s="434"/>
      <c r="H155" s="744"/>
      <c r="I155" s="761">
        <f t="shared" si="9"/>
        <v>0</v>
      </c>
      <c r="J155" s="761">
        <f t="shared" si="11"/>
        <v>0</v>
      </c>
      <c r="K155" s="761">
        <f t="shared" si="12"/>
        <v>0</v>
      </c>
      <c r="L155" s="1269"/>
    </row>
    <row r="156" spans="1:12" ht="31.5">
      <c r="A156" s="1171" t="s">
        <v>503</v>
      </c>
      <c r="B156" s="1139" t="s">
        <v>504</v>
      </c>
      <c r="C156" s="792" t="s">
        <v>356</v>
      </c>
      <c r="D156" s="895">
        <v>0</v>
      </c>
      <c r="E156" s="744">
        <v>0</v>
      </c>
      <c r="F156" s="791">
        <f t="shared" si="10"/>
        <v>0</v>
      </c>
      <c r="G156" s="434"/>
      <c r="H156" s="744"/>
      <c r="I156" s="761">
        <f t="shared" si="9"/>
        <v>0</v>
      </c>
      <c r="J156" s="761">
        <f t="shared" si="11"/>
        <v>0</v>
      </c>
      <c r="K156" s="761">
        <f t="shared" si="12"/>
        <v>0</v>
      </c>
      <c r="L156" s="1269"/>
    </row>
    <row r="157" spans="1:12" ht="63">
      <c r="A157" s="1171" t="s">
        <v>505</v>
      </c>
      <c r="B157" s="1139" t="s">
        <v>506</v>
      </c>
      <c r="C157" s="793" t="s">
        <v>356</v>
      </c>
      <c r="D157" s="893">
        <v>28</v>
      </c>
      <c r="E157" s="763">
        <v>0</v>
      </c>
      <c r="F157" s="791">
        <f t="shared" si="10"/>
        <v>0</v>
      </c>
      <c r="G157" s="434"/>
      <c r="H157" s="790">
        <v>6100</v>
      </c>
      <c r="I157" s="761">
        <f t="shared" si="9"/>
        <v>0</v>
      </c>
      <c r="J157" s="761">
        <f t="shared" si="11"/>
        <v>0</v>
      </c>
      <c r="K157" s="761">
        <f t="shared" si="12"/>
        <v>0</v>
      </c>
      <c r="L157" s="1269"/>
    </row>
    <row r="158" spans="1:12">
      <c r="A158" s="1179"/>
      <c r="B158" s="516"/>
      <c r="C158" s="795"/>
      <c r="D158" s="895">
        <v>0</v>
      </c>
      <c r="E158" s="744">
        <v>0</v>
      </c>
      <c r="F158" s="791">
        <f t="shared" si="10"/>
        <v>0</v>
      </c>
      <c r="G158" s="434"/>
      <c r="H158" s="779"/>
      <c r="I158" s="761">
        <f t="shared" si="9"/>
        <v>0</v>
      </c>
      <c r="J158" s="761">
        <f t="shared" si="11"/>
        <v>0</v>
      </c>
      <c r="K158" s="761">
        <f t="shared" si="12"/>
        <v>0</v>
      </c>
      <c r="L158" s="1269"/>
    </row>
    <row r="159" spans="1:12">
      <c r="A159" s="1180">
        <v>11</v>
      </c>
      <c r="B159" s="1137" t="s">
        <v>507</v>
      </c>
      <c r="C159" s="757"/>
      <c r="D159" s="895">
        <v>0</v>
      </c>
      <c r="E159" s="744">
        <v>0</v>
      </c>
      <c r="F159" s="791">
        <f t="shared" si="10"/>
        <v>0</v>
      </c>
      <c r="G159" s="434"/>
      <c r="H159" s="766"/>
      <c r="I159" s="761">
        <f t="shared" si="9"/>
        <v>0</v>
      </c>
      <c r="J159" s="761">
        <f t="shared" si="11"/>
        <v>0</v>
      </c>
      <c r="K159" s="761">
        <f t="shared" si="12"/>
        <v>0</v>
      </c>
      <c r="L159" s="1269"/>
    </row>
    <row r="160" spans="1:12" ht="47.25">
      <c r="A160" s="1138"/>
      <c r="B160" s="1139" t="s">
        <v>343</v>
      </c>
      <c r="C160" s="795"/>
      <c r="D160" s="895">
        <v>0</v>
      </c>
      <c r="E160" s="744">
        <v>0</v>
      </c>
      <c r="F160" s="791">
        <f t="shared" si="10"/>
        <v>0</v>
      </c>
      <c r="G160" s="434"/>
      <c r="H160" s="779"/>
      <c r="I160" s="761">
        <f t="shared" si="9"/>
        <v>0</v>
      </c>
      <c r="J160" s="761">
        <f t="shared" si="11"/>
        <v>0</v>
      </c>
      <c r="K160" s="761">
        <f t="shared" si="12"/>
        <v>0</v>
      </c>
      <c r="L160" s="1269"/>
    </row>
    <row r="161" spans="1:12">
      <c r="A161" s="1181">
        <v>11</v>
      </c>
      <c r="B161" s="1149" t="s">
        <v>508</v>
      </c>
      <c r="C161" s="758"/>
      <c r="D161" s="895">
        <v>0</v>
      </c>
      <c r="E161" s="744">
        <v>0</v>
      </c>
      <c r="F161" s="791">
        <f t="shared" si="10"/>
        <v>0</v>
      </c>
      <c r="G161" s="434"/>
      <c r="H161" s="779"/>
      <c r="I161" s="761">
        <f t="shared" si="9"/>
        <v>0</v>
      </c>
      <c r="J161" s="761">
        <f t="shared" si="11"/>
        <v>0</v>
      </c>
      <c r="K161" s="761">
        <f t="shared" si="12"/>
        <v>0</v>
      </c>
      <c r="L161" s="1269"/>
    </row>
    <row r="162" spans="1:12">
      <c r="A162" s="1182"/>
      <c r="B162" s="516"/>
      <c r="C162" s="795"/>
      <c r="D162" s="895"/>
      <c r="E162" s="744">
        <v>0</v>
      </c>
      <c r="F162" s="791">
        <f t="shared" si="10"/>
        <v>0</v>
      </c>
      <c r="G162" s="434"/>
      <c r="H162" s="779"/>
      <c r="I162" s="761">
        <f t="shared" si="9"/>
        <v>0</v>
      </c>
      <c r="J162" s="761">
        <f t="shared" si="11"/>
        <v>0</v>
      </c>
      <c r="K162" s="761">
        <f t="shared" si="12"/>
        <v>0</v>
      </c>
      <c r="L162" s="1269"/>
    </row>
    <row r="163" spans="1:12" ht="236.25">
      <c r="A163" s="1182">
        <v>11.1</v>
      </c>
      <c r="B163" s="1139" t="s">
        <v>509</v>
      </c>
      <c r="C163" s="758"/>
      <c r="D163" s="895"/>
      <c r="E163" s="744"/>
      <c r="F163" s="791">
        <f t="shared" si="10"/>
        <v>0</v>
      </c>
      <c r="G163" s="434"/>
      <c r="H163" s="779"/>
      <c r="I163" s="761">
        <f t="shared" ref="I163:I215" si="13">ROUND(E163*H163,0)</f>
        <v>0</v>
      </c>
      <c r="J163" s="761">
        <f t="shared" si="11"/>
        <v>0</v>
      </c>
      <c r="K163" s="761">
        <f t="shared" si="12"/>
        <v>0</v>
      </c>
      <c r="L163" s="1269"/>
    </row>
    <row r="164" spans="1:12" ht="63">
      <c r="A164" s="1182" t="s">
        <v>510</v>
      </c>
      <c r="B164" s="1139" t="s">
        <v>511</v>
      </c>
      <c r="C164" s="758" t="s">
        <v>350</v>
      </c>
      <c r="D164" s="895">
        <v>839</v>
      </c>
      <c r="E164" s="744">
        <v>1495.54</v>
      </c>
      <c r="F164" s="791">
        <f t="shared" si="10"/>
        <v>0</v>
      </c>
      <c r="G164" s="434">
        <f>MB!G3472</f>
        <v>1495.5400000000002</v>
      </c>
      <c r="H164" s="779">
        <v>575</v>
      </c>
      <c r="I164" s="761">
        <f t="shared" si="13"/>
        <v>859936</v>
      </c>
      <c r="J164" s="761">
        <f t="shared" si="11"/>
        <v>0</v>
      </c>
      <c r="K164" s="761">
        <f t="shared" si="12"/>
        <v>859936</v>
      </c>
      <c r="L164" s="1269"/>
    </row>
    <row r="165" spans="1:12">
      <c r="A165" s="1183"/>
      <c r="B165" s="1184"/>
      <c r="C165" s="519"/>
      <c r="D165" s="895">
        <v>0</v>
      </c>
      <c r="E165" s="744">
        <v>0</v>
      </c>
      <c r="F165" s="779"/>
      <c r="G165" s="434"/>
      <c r="H165" s="779"/>
      <c r="I165" s="761">
        <f t="shared" si="13"/>
        <v>0</v>
      </c>
      <c r="J165" s="761">
        <f t="shared" si="11"/>
        <v>0</v>
      </c>
      <c r="K165" s="761">
        <f t="shared" si="12"/>
        <v>0</v>
      </c>
      <c r="L165" s="1269"/>
    </row>
    <row r="166" spans="1:12">
      <c r="A166" s="1152"/>
      <c r="B166" s="1153"/>
      <c r="C166" s="519"/>
      <c r="D166" s="895">
        <v>0</v>
      </c>
      <c r="E166" s="744">
        <v>0</v>
      </c>
      <c r="F166" s="779"/>
      <c r="G166" s="434"/>
      <c r="H166" s="779"/>
      <c r="I166" s="761">
        <f t="shared" si="13"/>
        <v>0</v>
      </c>
      <c r="J166" s="761">
        <f t="shared" si="11"/>
        <v>0</v>
      </c>
      <c r="K166" s="761">
        <f t="shared" si="12"/>
        <v>0</v>
      </c>
      <c r="L166" s="1269"/>
    </row>
    <row r="167" spans="1:12">
      <c r="A167" s="1183">
        <v>11.2</v>
      </c>
      <c r="B167" s="1135" t="s">
        <v>512</v>
      </c>
      <c r="C167" s="519"/>
      <c r="D167" s="895">
        <v>0</v>
      </c>
      <c r="E167" s="744">
        <v>0</v>
      </c>
      <c r="F167" s="779"/>
      <c r="G167" s="434"/>
      <c r="H167" s="779"/>
      <c r="I167" s="761">
        <f t="shared" si="13"/>
        <v>0</v>
      </c>
      <c r="J167" s="761">
        <f t="shared" si="11"/>
        <v>0</v>
      </c>
      <c r="K167" s="761">
        <f t="shared" si="12"/>
        <v>0</v>
      </c>
      <c r="L167" s="1269"/>
    </row>
    <row r="168" spans="1:12">
      <c r="A168" s="1185"/>
      <c r="B168" s="821"/>
      <c r="C168" s="519"/>
      <c r="D168" s="895">
        <v>0</v>
      </c>
      <c r="E168" s="744">
        <v>0</v>
      </c>
      <c r="F168" s="779"/>
      <c r="G168" s="434"/>
      <c r="H168" s="779"/>
      <c r="I168" s="761">
        <f t="shared" si="13"/>
        <v>0</v>
      </c>
      <c r="J168" s="761">
        <f t="shared" si="11"/>
        <v>0</v>
      </c>
      <c r="K168" s="761">
        <f t="shared" si="12"/>
        <v>0</v>
      </c>
      <c r="L168" s="1269"/>
    </row>
    <row r="169" spans="1:12" ht="330.75">
      <c r="A169" s="1185"/>
      <c r="B169" s="1139" t="s">
        <v>513</v>
      </c>
      <c r="C169" s="519"/>
      <c r="D169" s="895">
        <v>0</v>
      </c>
      <c r="E169" s="744">
        <v>0</v>
      </c>
      <c r="F169" s="779"/>
      <c r="G169" s="434"/>
      <c r="H169" s="779"/>
      <c r="I169" s="761">
        <f t="shared" si="13"/>
        <v>0</v>
      </c>
      <c r="J169" s="761">
        <f t="shared" si="11"/>
        <v>0</v>
      </c>
      <c r="K169" s="761">
        <f t="shared" si="12"/>
        <v>0</v>
      </c>
      <c r="L169" s="1269"/>
    </row>
    <row r="170" spans="1:12" ht="252">
      <c r="A170" s="1185"/>
      <c r="B170" s="1139" t="s">
        <v>514</v>
      </c>
      <c r="C170" s="519"/>
      <c r="D170" s="893"/>
      <c r="E170" s="763"/>
      <c r="F170" s="781"/>
      <c r="G170" s="434"/>
      <c r="H170" s="781"/>
      <c r="I170" s="761">
        <f t="shared" si="13"/>
        <v>0</v>
      </c>
      <c r="J170" s="761">
        <f t="shared" si="11"/>
        <v>0</v>
      </c>
      <c r="K170" s="761">
        <f t="shared" si="12"/>
        <v>0</v>
      </c>
      <c r="L170" s="1269"/>
    </row>
    <row r="171" spans="1:12" ht="47.25">
      <c r="A171" s="1183" t="s">
        <v>515</v>
      </c>
      <c r="B171" s="1139" t="s">
        <v>516</v>
      </c>
      <c r="C171" s="519" t="s">
        <v>350</v>
      </c>
      <c r="D171" s="893">
        <v>600</v>
      </c>
      <c r="E171" s="763">
        <v>566.09</v>
      </c>
      <c r="F171" s="781">
        <f>G171-E171</f>
        <v>0</v>
      </c>
      <c r="G171" s="434">
        <f>MB!G3491</f>
        <v>566.09</v>
      </c>
      <c r="H171" s="781">
        <v>825</v>
      </c>
      <c r="I171" s="761">
        <f t="shared" si="13"/>
        <v>467024</v>
      </c>
      <c r="J171" s="761">
        <f t="shared" si="11"/>
        <v>0</v>
      </c>
      <c r="K171" s="761">
        <f t="shared" si="12"/>
        <v>467024</v>
      </c>
      <c r="L171" s="1269"/>
    </row>
    <row r="172" spans="1:12">
      <c r="A172" s="1185"/>
      <c r="B172" s="1135"/>
      <c r="C172" s="519"/>
      <c r="D172" s="893"/>
      <c r="E172" s="763"/>
      <c r="F172" s="781"/>
      <c r="G172" s="434"/>
      <c r="H172" s="781"/>
      <c r="I172" s="761"/>
      <c r="J172" s="761"/>
      <c r="K172" s="761"/>
      <c r="L172" s="1269"/>
    </row>
    <row r="173" spans="1:12" ht="31.5">
      <c r="A173" s="1183" t="s">
        <v>517</v>
      </c>
      <c r="B173" s="1139" t="s">
        <v>518</v>
      </c>
      <c r="C173" s="519" t="s">
        <v>417</v>
      </c>
      <c r="D173" s="895">
        <v>0</v>
      </c>
      <c r="E173" s="744">
        <v>0</v>
      </c>
      <c r="F173" s="779"/>
      <c r="G173" s="434">
        <f t="shared" ref="G173:G182" si="14">+E173+F173</f>
        <v>0</v>
      </c>
      <c r="H173" s="779"/>
      <c r="I173" s="761">
        <f t="shared" si="13"/>
        <v>0</v>
      </c>
      <c r="J173" s="761">
        <f t="shared" si="11"/>
        <v>0</v>
      </c>
      <c r="K173" s="761">
        <f t="shared" si="12"/>
        <v>0</v>
      </c>
      <c r="L173" s="1269"/>
    </row>
    <row r="174" spans="1:12">
      <c r="A174" s="1183"/>
      <c r="B174" s="821"/>
      <c r="C174" s="519"/>
      <c r="D174" s="895">
        <v>0</v>
      </c>
      <c r="E174" s="744">
        <v>0</v>
      </c>
      <c r="F174" s="779"/>
      <c r="G174" s="434">
        <f t="shared" si="14"/>
        <v>0</v>
      </c>
      <c r="H174" s="779"/>
      <c r="I174" s="761">
        <f t="shared" si="13"/>
        <v>0</v>
      </c>
      <c r="J174" s="761">
        <f t="shared" si="11"/>
        <v>0</v>
      </c>
      <c r="K174" s="761">
        <f t="shared" si="12"/>
        <v>0</v>
      </c>
      <c r="L174" s="1269"/>
    </row>
    <row r="175" spans="1:12" ht="362.25">
      <c r="A175" s="1183">
        <v>11.3</v>
      </c>
      <c r="B175" s="1139" t="s">
        <v>519</v>
      </c>
      <c r="C175" s="519" t="s">
        <v>350</v>
      </c>
      <c r="D175" s="895">
        <v>0</v>
      </c>
      <c r="E175" s="744">
        <v>0</v>
      </c>
      <c r="F175" s="779"/>
      <c r="G175" s="434">
        <f t="shared" si="14"/>
        <v>0</v>
      </c>
      <c r="H175" s="779"/>
      <c r="I175" s="761">
        <f t="shared" si="13"/>
        <v>0</v>
      </c>
      <c r="J175" s="761">
        <f t="shared" si="11"/>
        <v>0</v>
      </c>
      <c r="K175" s="761">
        <f t="shared" si="12"/>
        <v>0</v>
      </c>
      <c r="L175" s="1269"/>
    </row>
    <row r="176" spans="1:12">
      <c r="A176" s="1183"/>
      <c r="B176" s="1177"/>
      <c r="C176" s="519"/>
      <c r="D176" s="895">
        <v>0</v>
      </c>
      <c r="E176" s="744">
        <v>0</v>
      </c>
      <c r="F176" s="779"/>
      <c r="G176" s="434">
        <f t="shared" si="14"/>
        <v>0</v>
      </c>
      <c r="H176" s="779"/>
      <c r="I176" s="761">
        <f t="shared" si="13"/>
        <v>0</v>
      </c>
      <c r="J176" s="761">
        <f t="shared" si="11"/>
        <v>0</v>
      </c>
      <c r="K176" s="761">
        <f t="shared" si="12"/>
        <v>0</v>
      </c>
      <c r="L176" s="1269"/>
    </row>
    <row r="177" spans="1:12">
      <c r="A177" s="1167">
        <v>12</v>
      </c>
      <c r="B177" s="1168" t="s">
        <v>520</v>
      </c>
      <c r="C177" s="757"/>
      <c r="D177" s="895">
        <v>0</v>
      </c>
      <c r="E177" s="744">
        <v>0</v>
      </c>
      <c r="F177" s="766"/>
      <c r="G177" s="434">
        <f t="shared" si="14"/>
        <v>0</v>
      </c>
      <c r="H177" s="766"/>
      <c r="I177" s="761">
        <f t="shared" si="13"/>
        <v>0</v>
      </c>
      <c r="J177" s="761">
        <f t="shared" si="11"/>
        <v>0</v>
      </c>
      <c r="K177" s="761">
        <f t="shared" si="12"/>
        <v>0</v>
      </c>
      <c r="L177" s="1269"/>
    </row>
    <row r="178" spans="1:12" ht="47.25">
      <c r="A178" s="1138"/>
      <c r="B178" s="1139" t="s">
        <v>343</v>
      </c>
      <c r="C178" s="757"/>
      <c r="D178" s="895">
        <v>0</v>
      </c>
      <c r="E178" s="744">
        <v>0</v>
      </c>
      <c r="F178" s="766"/>
      <c r="G178" s="434">
        <f t="shared" si="14"/>
        <v>0</v>
      </c>
      <c r="H178" s="766"/>
      <c r="I178" s="761">
        <f t="shared" si="13"/>
        <v>0</v>
      </c>
      <c r="J178" s="761">
        <f t="shared" si="11"/>
        <v>0</v>
      </c>
      <c r="K178" s="761">
        <f t="shared" si="12"/>
        <v>0</v>
      </c>
      <c r="L178" s="1269"/>
    </row>
    <row r="179" spans="1:12">
      <c r="A179" s="1138"/>
      <c r="B179" s="516"/>
      <c r="C179" s="757"/>
      <c r="D179" s="895">
        <v>0</v>
      </c>
      <c r="E179" s="744">
        <v>0</v>
      </c>
      <c r="F179" s="766"/>
      <c r="G179" s="434">
        <f t="shared" si="14"/>
        <v>0</v>
      </c>
      <c r="H179" s="766"/>
      <c r="I179" s="761">
        <f t="shared" si="13"/>
        <v>0</v>
      </c>
      <c r="J179" s="761">
        <f t="shared" si="11"/>
        <v>0</v>
      </c>
      <c r="K179" s="761">
        <f t="shared" si="12"/>
        <v>0</v>
      </c>
      <c r="L179" s="1269"/>
    </row>
    <row r="180" spans="1:12">
      <c r="A180" s="1167">
        <v>12</v>
      </c>
      <c r="B180" s="1168" t="s">
        <v>521</v>
      </c>
      <c r="C180" s="757"/>
      <c r="D180" s="895">
        <v>0</v>
      </c>
      <c r="E180" s="744">
        <v>0</v>
      </c>
      <c r="F180" s="766"/>
      <c r="G180" s="434">
        <f t="shared" si="14"/>
        <v>0</v>
      </c>
      <c r="H180" s="766"/>
      <c r="I180" s="761">
        <f t="shared" si="13"/>
        <v>0</v>
      </c>
      <c r="J180" s="761">
        <f t="shared" si="11"/>
        <v>0</v>
      </c>
      <c r="K180" s="761">
        <f t="shared" si="12"/>
        <v>0</v>
      </c>
      <c r="L180" s="1269"/>
    </row>
    <row r="181" spans="1:12">
      <c r="A181" s="1138"/>
      <c r="B181" s="516"/>
      <c r="C181" s="757"/>
      <c r="D181" s="895">
        <v>0</v>
      </c>
      <c r="E181" s="744">
        <v>0</v>
      </c>
      <c r="F181" s="766"/>
      <c r="G181" s="434">
        <f t="shared" si="14"/>
        <v>0</v>
      </c>
      <c r="H181" s="766"/>
      <c r="I181" s="761">
        <f t="shared" si="13"/>
        <v>0</v>
      </c>
      <c r="J181" s="761">
        <f t="shared" si="11"/>
        <v>0</v>
      </c>
      <c r="K181" s="761">
        <f t="shared" si="12"/>
        <v>0</v>
      </c>
      <c r="L181" s="1269"/>
    </row>
    <row r="182" spans="1:12" ht="220.5">
      <c r="A182" s="1157">
        <v>12.1</v>
      </c>
      <c r="B182" s="1139" t="s">
        <v>522</v>
      </c>
      <c r="C182" s="757"/>
      <c r="D182" s="895">
        <v>0</v>
      </c>
      <c r="E182" s="744">
        <v>0</v>
      </c>
      <c r="F182" s="766"/>
      <c r="G182" s="434">
        <f t="shared" si="14"/>
        <v>0</v>
      </c>
      <c r="H182" s="766"/>
      <c r="I182" s="761">
        <f t="shared" si="13"/>
        <v>0</v>
      </c>
      <c r="J182" s="761">
        <f t="shared" si="11"/>
        <v>0</v>
      </c>
      <c r="K182" s="761">
        <f t="shared" si="12"/>
        <v>0</v>
      </c>
      <c r="L182" s="1269"/>
    </row>
    <row r="183" spans="1:12">
      <c r="A183" s="1138"/>
      <c r="B183" s="516"/>
      <c r="C183" s="757"/>
      <c r="D183" s="893"/>
      <c r="E183" s="763"/>
      <c r="F183" s="766"/>
      <c r="G183" s="434"/>
      <c r="H183" s="766"/>
      <c r="I183" s="761">
        <f t="shared" si="13"/>
        <v>0</v>
      </c>
      <c r="J183" s="761">
        <f t="shared" si="11"/>
        <v>0</v>
      </c>
      <c r="K183" s="761">
        <f t="shared" si="12"/>
        <v>0</v>
      </c>
      <c r="L183" s="1269"/>
    </row>
    <row r="184" spans="1:12" ht="47.25">
      <c r="A184" s="1160" t="s">
        <v>523</v>
      </c>
      <c r="B184" s="1139" t="s">
        <v>524</v>
      </c>
      <c r="C184" s="796" t="s">
        <v>347</v>
      </c>
      <c r="D184" s="893">
        <v>4</v>
      </c>
      <c r="E184" s="773">
        <v>7.3129999999999997</v>
      </c>
      <c r="F184" s="797">
        <f>G184-E184</f>
        <v>0</v>
      </c>
      <c r="G184" s="773">
        <f>MB!G3520</f>
        <v>7.3129999999999979</v>
      </c>
      <c r="H184" s="790">
        <v>147000</v>
      </c>
      <c r="I184" s="761">
        <f t="shared" si="13"/>
        <v>1075011</v>
      </c>
      <c r="J184" s="761">
        <f t="shared" si="11"/>
        <v>0</v>
      </c>
      <c r="K184" s="761">
        <f t="shared" si="12"/>
        <v>1075011</v>
      </c>
      <c r="L184" s="1269"/>
    </row>
    <row r="185" spans="1:12">
      <c r="A185" s="1138"/>
      <c r="B185" s="516"/>
      <c r="C185" s="757"/>
      <c r="D185" s="895">
        <v>0</v>
      </c>
      <c r="E185" s="744">
        <v>0</v>
      </c>
      <c r="F185" s="797">
        <f t="shared" ref="F185:F247" si="15">G185-E185</f>
        <v>0</v>
      </c>
      <c r="G185" s="434"/>
      <c r="H185" s="766"/>
      <c r="I185" s="761">
        <f t="shared" si="13"/>
        <v>0</v>
      </c>
      <c r="J185" s="761">
        <f t="shared" ref="J185:J245" si="16">K185-I185</f>
        <v>0</v>
      </c>
      <c r="K185" s="761">
        <f t="shared" ref="K185:K245" si="17">ROUND(G185*H185,0)</f>
        <v>0</v>
      </c>
      <c r="L185" s="1269"/>
    </row>
    <row r="186" spans="1:12">
      <c r="A186" s="1157">
        <v>12.2</v>
      </c>
      <c r="B186" s="716" t="s">
        <v>525</v>
      </c>
      <c r="C186" s="757"/>
      <c r="D186" s="895">
        <v>0</v>
      </c>
      <c r="E186" s="744">
        <v>0</v>
      </c>
      <c r="F186" s="797">
        <f t="shared" si="15"/>
        <v>0</v>
      </c>
      <c r="G186" s="434"/>
      <c r="H186" s="766"/>
      <c r="I186" s="761">
        <f t="shared" si="13"/>
        <v>0</v>
      </c>
      <c r="J186" s="761">
        <f t="shared" si="16"/>
        <v>0</v>
      </c>
      <c r="K186" s="761">
        <f t="shared" si="17"/>
        <v>0</v>
      </c>
      <c r="L186" s="1269"/>
    </row>
    <row r="187" spans="1:12">
      <c r="A187" s="1138"/>
      <c r="B187" s="516"/>
      <c r="C187" s="798"/>
      <c r="D187" s="895">
        <v>0</v>
      </c>
      <c r="E187" s="744">
        <v>0</v>
      </c>
      <c r="F187" s="797">
        <f t="shared" si="15"/>
        <v>0</v>
      </c>
      <c r="G187" s="434"/>
      <c r="H187" s="766"/>
      <c r="I187" s="761">
        <f t="shared" si="13"/>
        <v>0</v>
      </c>
      <c r="J187" s="761">
        <f t="shared" si="16"/>
        <v>0</v>
      </c>
      <c r="K187" s="761">
        <f t="shared" si="17"/>
        <v>0</v>
      </c>
      <c r="L187" s="1269"/>
    </row>
    <row r="188" spans="1:12" ht="141.75">
      <c r="A188" s="1157" t="s">
        <v>526</v>
      </c>
      <c r="B188" s="1139" t="s">
        <v>527</v>
      </c>
      <c r="C188" s="757"/>
      <c r="D188" s="895">
        <v>0</v>
      </c>
      <c r="E188" s="744">
        <v>0</v>
      </c>
      <c r="F188" s="797">
        <f t="shared" si="15"/>
        <v>0</v>
      </c>
      <c r="G188" s="434"/>
      <c r="H188" s="766"/>
      <c r="I188" s="761">
        <f t="shared" si="13"/>
        <v>0</v>
      </c>
      <c r="J188" s="761">
        <f t="shared" si="16"/>
        <v>0</v>
      </c>
      <c r="K188" s="761">
        <f t="shared" si="17"/>
        <v>0</v>
      </c>
      <c r="L188" s="1269"/>
    </row>
    <row r="189" spans="1:12">
      <c r="A189" s="1138"/>
      <c r="B189" s="516"/>
      <c r="C189" s="798"/>
      <c r="D189" s="895"/>
      <c r="E189" s="744"/>
      <c r="F189" s="797">
        <f t="shared" si="15"/>
        <v>0</v>
      </c>
      <c r="G189" s="434"/>
      <c r="H189" s="790"/>
      <c r="I189" s="761">
        <f t="shared" si="13"/>
        <v>0</v>
      </c>
      <c r="J189" s="761">
        <f t="shared" si="16"/>
        <v>0</v>
      </c>
      <c r="K189" s="761">
        <f t="shared" si="17"/>
        <v>0</v>
      </c>
      <c r="L189" s="1269"/>
    </row>
    <row r="190" spans="1:12" ht="31.5">
      <c r="A190" s="1157" t="s">
        <v>528</v>
      </c>
      <c r="B190" s="1139" t="s">
        <v>529</v>
      </c>
      <c r="C190" s="798" t="s">
        <v>350</v>
      </c>
      <c r="D190" s="895">
        <v>293</v>
      </c>
      <c r="E190" s="799">
        <v>278.61999999999995</v>
      </c>
      <c r="F190" s="797">
        <f t="shared" si="15"/>
        <v>0</v>
      </c>
      <c r="G190" s="774">
        <f>MB!G3529</f>
        <v>278.61999999999995</v>
      </c>
      <c r="H190" s="790">
        <v>3200</v>
      </c>
      <c r="I190" s="761">
        <f t="shared" si="13"/>
        <v>891584</v>
      </c>
      <c r="J190" s="761">
        <f t="shared" si="16"/>
        <v>0</v>
      </c>
      <c r="K190" s="761">
        <f t="shared" si="17"/>
        <v>891584</v>
      </c>
      <c r="L190" s="1269"/>
    </row>
    <row r="191" spans="1:12">
      <c r="A191" s="1138"/>
      <c r="B191" s="516"/>
      <c r="C191" s="798"/>
      <c r="D191" s="895"/>
      <c r="E191" s="744">
        <v>0</v>
      </c>
      <c r="F191" s="797">
        <f t="shared" si="15"/>
        <v>0</v>
      </c>
      <c r="G191" s="434"/>
      <c r="H191" s="791"/>
      <c r="I191" s="761">
        <f t="shared" si="13"/>
        <v>0</v>
      </c>
      <c r="J191" s="761">
        <f t="shared" si="16"/>
        <v>0</v>
      </c>
      <c r="K191" s="761">
        <f t="shared" si="17"/>
        <v>0</v>
      </c>
      <c r="L191" s="1269"/>
    </row>
    <row r="192" spans="1:12">
      <c r="A192" s="1157">
        <v>12.3</v>
      </c>
      <c r="B192" s="1186" t="s">
        <v>530</v>
      </c>
      <c r="C192" s="798"/>
      <c r="D192" s="895">
        <v>0</v>
      </c>
      <c r="E192" s="744">
        <v>0</v>
      </c>
      <c r="F192" s="797">
        <f t="shared" si="15"/>
        <v>0</v>
      </c>
      <c r="G192" s="434"/>
      <c r="H192" s="791"/>
      <c r="I192" s="761">
        <f t="shared" si="13"/>
        <v>0</v>
      </c>
      <c r="J192" s="761">
        <f t="shared" si="16"/>
        <v>0</v>
      </c>
      <c r="K192" s="761">
        <f t="shared" si="17"/>
        <v>0</v>
      </c>
      <c r="L192" s="1269"/>
    </row>
    <row r="193" spans="1:12" ht="47.25">
      <c r="A193" s="1172" t="s">
        <v>531</v>
      </c>
      <c r="B193" s="1139" t="s">
        <v>532</v>
      </c>
      <c r="C193" s="798"/>
      <c r="D193" s="895">
        <v>0</v>
      </c>
      <c r="E193" s="744">
        <v>0</v>
      </c>
      <c r="F193" s="797">
        <f t="shared" si="15"/>
        <v>0</v>
      </c>
      <c r="G193" s="434"/>
      <c r="H193" s="791"/>
      <c r="I193" s="761">
        <f t="shared" si="13"/>
        <v>0</v>
      </c>
      <c r="J193" s="761">
        <f t="shared" si="16"/>
        <v>0</v>
      </c>
      <c r="K193" s="761">
        <f t="shared" si="17"/>
        <v>0</v>
      </c>
      <c r="L193" s="1269"/>
    </row>
    <row r="194" spans="1:12" ht="31.5">
      <c r="A194" s="1158"/>
      <c r="B194" s="516" t="s">
        <v>533</v>
      </c>
      <c r="C194" s="798"/>
      <c r="D194" s="895">
        <v>0</v>
      </c>
      <c r="E194" s="744">
        <v>0</v>
      </c>
      <c r="F194" s="797">
        <f t="shared" si="15"/>
        <v>0</v>
      </c>
      <c r="G194" s="434"/>
      <c r="H194" s="791"/>
      <c r="I194" s="761">
        <f t="shared" si="13"/>
        <v>0</v>
      </c>
      <c r="J194" s="761">
        <f t="shared" si="16"/>
        <v>0</v>
      </c>
      <c r="K194" s="761">
        <f t="shared" si="17"/>
        <v>0</v>
      </c>
      <c r="L194" s="1269"/>
    </row>
    <row r="195" spans="1:12" ht="409.5">
      <c r="A195" s="1158"/>
      <c r="B195" s="1139" t="s">
        <v>534</v>
      </c>
      <c r="C195" s="798"/>
      <c r="D195" s="895"/>
      <c r="E195" s="744"/>
      <c r="F195" s="797">
        <f t="shared" si="15"/>
        <v>0</v>
      </c>
      <c r="G195" s="434"/>
      <c r="H195" s="791"/>
      <c r="I195" s="761">
        <f t="shared" si="13"/>
        <v>0</v>
      </c>
      <c r="J195" s="761">
        <f t="shared" si="16"/>
        <v>0</v>
      </c>
      <c r="K195" s="761">
        <f t="shared" si="17"/>
        <v>0</v>
      </c>
      <c r="L195" s="1269"/>
    </row>
    <row r="196" spans="1:12" s="794" customFormat="1">
      <c r="A196" s="1158" t="s">
        <v>535</v>
      </c>
      <c r="B196" s="516" t="s">
        <v>536</v>
      </c>
      <c r="C196" s="798" t="s">
        <v>350</v>
      </c>
      <c r="D196" s="896">
        <v>23</v>
      </c>
      <c r="E196" s="434">
        <v>27.72</v>
      </c>
      <c r="F196" s="797">
        <f t="shared" si="15"/>
        <v>0</v>
      </c>
      <c r="G196" s="434">
        <f>MB!G3535</f>
        <v>27.72</v>
      </c>
      <c r="H196" s="791">
        <v>4500</v>
      </c>
      <c r="I196" s="772">
        <f t="shared" si="13"/>
        <v>124740</v>
      </c>
      <c r="J196" s="761">
        <f t="shared" si="16"/>
        <v>0</v>
      </c>
      <c r="K196" s="761">
        <f t="shared" si="17"/>
        <v>124740</v>
      </c>
      <c r="L196" s="1272"/>
    </row>
    <row r="197" spans="1:12">
      <c r="A197" s="1187"/>
      <c r="B197" s="1163"/>
      <c r="C197" s="800"/>
      <c r="D197" s="893"/>
      <c r="E197" s="763">
        <v>0</v>
      </c>
      <c r="F197" s="797">
        <f t="shared" si="15"/>
        <v>0</v>
      </c>
      <c r="G197" s="434"/>
      <c r="H197" s="790"/>
      <c r="I197" s="761">
        <f t="shared" si="13"/>
        <v>0</v>
      </c>
      <c r="J197" s="761">
        <f t="shared" si="16"/>
        <v>0</v>
      </c>
      <c r="K197" s="761">
        <f t="shared" si="17"/>
        <v>0</v>
      </c>
      <c r="L197" s="1269"/>
    </row>
    <row r="198" spans="1:12" ht="283.5">
      <c r="A198" s="1187" t="s">
        <v>537</v>
      </c>
      <c r="B198" s="1139" t="s">
        <v>538</v>
      </c>
      <c r="C198" s="800" t="s">
        <v>350</v>
      </c>
      <c r="D198" s="893">
        <v>32</v>
      </c>
      <c r="E198" s="763">
        <v>0</v>
      </c>
      <c r="F198" s="797">
        <f t="shared" si="15"/>
        <v>0</v>
      </c>
      <c r="G198" s="434"/>
      <c r="H198" s="790"/>
      <c r="I198" s="761">
        <f t="shared" si="13"/>
        <v>0</v>
      </c>
      <c r="J198" s="761">
        <f t="shared" si="16"/>
        <v>0</v>
      </c>
      <c r="K198" s="761">
        <f t="shared" si="17"/>
        <v>0</v>
      </c>
      <c r="L198" s="1269"/>
    </row>
    <row r="199" spans="1:12">
      <c r="A199" s="1187"/>
      <c r="B199" s="1163"/>
      <c r="C199" s="800"/>
      <c r="D199" s="893">
        <v>0</v>
      </c>
      <c r="E199" s="763">
        <v>0</v>
      </c>
      <c r="F199" s="797">
        <f t="shared" si="15"/>
        <v>0</v>
      </c>
      <c r="G199" s="434"/>
      <c r="H199" s="790"/>
      <c r="I199" s="761">
        <f t="shared" si="13"/>
        <v>0</v>
      </c>
      <c r="J199" s="761">
        <f t="shared" si="16"/>
        <v>0</v>
      </c>
      <c r="K199" s="761">
        <f t="shared" si="17"/>
        <v>0</v>
      </c>
      <c r="L199" s="1269"/>
    </row>
    <row r="200" spans="1:12">
      <c r="A200" s="1188">
        <v>12.4</v>
      </c>
      <c r="B200" s="1189" t="s">
        <v>539</v>
      </c>
      <c r="C200" s="798"/>
      <c r="D200" s="895"/>
      <c r="E200" s="744"/>
      <c r="F200" s="797">
        <f t="shared" si="15"/>
        <v>0</v>
      </c>
      <c r="G200" s="434"/>
      <c r="H200" s="791"/>
      <c r="I200" s="761">
        <f t="shared" si="13"/>
        <v>0</v>
      </c>
      <c r="J200" s="761">
        <f t="shared" si="16"/>
        <v>0</v>
      </c>
      <c r="K200" s="761">
        <f t="shared" si="17"/>
        <v>0</v>
      </c>
      <c r="L200" s="1269"/>
    </row>
    <row r="201" spans="1:12" ht="78.75">
      <c r="A201" s="1188" t="s">
        <v>540</v>
      </c>
      <c r="B201" s="1139" t="s">
        <v>541</v>
      </c>
      <c r="C201" s="798" t="s">
        <v>414</v>
      </c>
      <c r="D201" s="895">
        <v>9</v>
      </c>
      <c r="E201" s="744">
        <v>14</v>
      </c>
      <c r="F201" s="797">
        <f t="shared" si="15"/>
        <v>0</v>
      </c>
      <c r="G201" s="434">
        <f>MB!G3542</f>
        <v>14</v>
      </c>
      <c r="H201" s="791">
        <v>3390</v>
      </c>
      <c r="I201" s="761">
        <f t="shared" si="13"/>
        <v>47460</v>
      </c>
      <c r="J201" s="761">
        <f t="shared" si="16"/>
        <v>0</v>
      </c>
      <c r="K201" s="761">
        <f t="shared" si="17"/>
        <v>47460</v>
      </c>
      <c r="L201" s="1269"/>
    </row>
    <row r="202" spans="1:12">
      <c r="A202" s="1190"/>
      <c r="B202" s="1191"/>
      <c r="C202" s="798"/>
      <c r="D202" s="895">
        <v>0</v>
      </c>
      <c r="E202" s="744">
        <v>0</v>
      </c>
      <c r="F202" s="797">
        <f t="shared" si="15"/>
        <v>0</v>
      </c>
      <c r="G202" s="434"/>
      <c r="H202" s="791"/>
      <c r="I202" s="761">
        <f t="shared" si="13"/>
        <v>0</v>
      </c>
      <c r="J202" s="761">
        <f t="shared" si="16"/>
        <v>0</v>
      </c>
      <c r="K202" s="761">
        <f t="shared" si="17"/>
        <v>0</v>
      </c>
      <c r="L202" s="1269"/>
    </row>
    <row r="203" spans="1:12" ht="31.5">
      <c r="A203" s="1188" t="s">
        <v>542</v>
      </c>
      <c r="B203" s="1139" t="s">
        <v>543</v>
      </c>
      <c r="C203" s="798" t="s">
        <v>414</v>
      </c>
      <c r="D203" s="895">
        <v>0</v>
      </c>
      <c r="E203" s="744">
        <v>0</v>
      </c>
      <c r="F203" s="797">
        <f t="shared" si="15"/>
        <v>0</v>
      </c>
      <c r="G203" s="434"/>
      <c r="H203" s="791"/>
      <c r="I203" s="761">
        <f t="shared" si="13"/>
        <v>0</v>
      </c>
      <c r="J203" s="761">
        <f t="shared" si="16"/>
        <v>0</v>
      </c>
      <c r="K203" s="761">
        <f t="shared" si="17"/>
        <v>0</v>
      </c>
      <c r="L203" s="1269"/>
    </row>
    <row r="204" spans="1:12">
      <c r="A204" s="1190"/>
      <c r="B204" s="1191"/>
      <c r="C204" s="798"/>
      <c r="D204" s="895"/>
      <c r="E204" s="744"/>
      <c r="F204" s="797">
        <f t="shared" si="15"/>
        <v>0</v>
      </c>
      <c r="G204" s="434"/>
      <c r="H204" s="791"/>
      <c r="I204" s="761">
        <f t="shared" si="13"/>
        <v>0</v>
      </c>
      <c r="J204" s="761">
        <f t="shared" si="16"/>
        <v>0</v>
      </c>
      <c r="K204" s="761">
        <f t="shared" si="17"/>
        <v>0</v>
      </c>
      <c r="L204" s="1269"/>
    </row>
    <row r="205" spans="1:12" ht="63">
      <c r="A205" s="1188" t="s">
        <v>544</v>
      </c>
      <c r="B205" s="1139" t="s">
        <v>545</v>
      </c>
      <c r="C205" s="798" t="s">
        <v>414</v>
      </c>
      <c r="D205" s="895">
        <v>9</v>
      </c>
      <c r="E205" s="744">
        <v>8</v>
      </c>
      <c r="F205" s="797">
        <f t="shared" si="15"/>
        <v>0</v>
      </c>
      <c r="G205" s="434">
        <f>MB!G3548</f>
        <v>8</v>
      </c>
      <c r="H205" s="791">
        <v>3000</v>
      </c>
      <c r="I205" s="761">
        <f t="shared" si="13"/>
        <v>24000</v>
      </c>
      <c r="J205" s="761">
        <f t="shared" si="16"/>
        <v>0</v>
      </c>
      <c r="K205" s="761">
        <f t="shared" si="17"/>
        <v>24000</v>
      </c>
      <c r="L205" s="1269"/>
    </row>
    <row r="206" spans="1:12">
      <c r="A206" s="1190"/>
      <c r="B206" s="1191"/>
      <c r="C206" s="798"/>
      <c r="D206" s="895"/>
      <c r="E206" s="744"/>
      <c r="F206" s="797">
        <f t="shared" si="15"/>
        <v>0</v>
      </c>
      <c r="G206" s="434"/>
      <c r="H206" s="791"/>
      <c r="I206" s="761">
        <f t="shared" si="13"/>
        <v>0</v>
      </c>
      <c r="J206" s="761">
        <f t="shared" si="16"/>
        <v>0</v>
      </c>
      <c r="K206" s="761">
        <f t="shared" si="17"/>
        <v>0</v>
      </c>
      <c r="L206" s="1269"/>
    </row>
    <row r="207" spans="1:12" ht="63">
      <c r="A207" s="1188" t="s">
        <v>546</v>
      </c>
      <c r="B207" s="1139" t="s">
        <v>547</v>
      </c>
      <c r="C207" s="798" t="s">
        <v>414</v>
      </c>
      <c r="D207" s="895">
        <v>9</v>
      </c>
      <c r="E207" s="744">
        <v>8</v>
      </c>
      <c r="F207" s="797">
        <f t="shared" si="15"/>
        <v>0</v>
      </c>
      <c r="G207" s="434">
        <f>MB!G3554</f>
        <v>8</v>
      </c>
      <c r="H207" s="791">
        <v>3900</v>
      </c>
      <c r="I207" s="761">
        <f t="shared" si="13"/>
        <v>31200</v>
      </c>
      <c r="J207" s="761">
        <f t="shared" si="16"/>
        <v>0</v>
      </c>
      <c r="K207" s="761">
        <f t="shared" si="17"/>
        <v>31200</v>
      </c>
      <c r="L207" s="1269"/>
    </row>
    <row r="208" spans="1:12">
      <c r="A208" s="1190"/>
      <c r="B208" s="1191"/>
      <c r="C208" s="798"/>
      <c r="D208" s="895"/>
      <c r="E208" s="744"/>
      <c r="F208" s="797">
        <f t="shared" si="15"/>
        <v>0</v>
      </c>
      <c r="G208" s="434"/>
      <c r="H208" s="791"/>
      <c r="I208" s="761">
        <f t="shared" si="13"/>
        <v>0</v>
      </c>
      <c r="J208" s="761">
        <f t="shared" si="16"/>
        <v>0</v>
      </c>
      <c r="K208" s="761">
        <f t="shared" si="17"/>
        <v>0</v>
      </c>
      <c r="L208" s="1269"/>
    </row>
    <row r="209" spans="1:12" ht="110.25">
      <c r="A209" s="1188" t="s">
        <v>548</v>
      </c>
      <c r="B209" s="1139" t="s">
        <v>549</v>
      </c>
      <c r="C209" s="798" t="s">
        <v>350</v>
      </c>
      <c r="D209" s="895"/>
      <c r="E209" s="744">
        <v>0.72</v>
      </c>
      <c r="F209" s="790">
        <f t="shared" si="15"/>
        <v>0</v>
      </c>
      <c r="G209" s="434">
        <f>MB!G3560</f>
        <v>0.72</v>
      </c>
      <c r="H209" s="791">
        <v>34000</v>
      </c>
      <c r="I209" s="761">
        <f t="shared" si="13"/>
        <v>24480</v>
      </c>
      <c r="J209" s="761">
        <f t="shared" si="16"/>
        <v>0</v>
      </c>
      <c r="K209" s="761">
        <f t="shared" si="17"/>
        <v>24480</v>
      </c>
      <c r="L209" s="1269"/>
    </row>
    <row r="210" spans="1:12" ht="94.5">
      <c r="A210" s="1188" t="s">
        <v>550</v>
      </c>
      <c r="B210" s="1139" t="s">
        <v>2517</v>
      </c>
      <c r="C210" s="798" t="s">
        <v>414</v>
      </c>
      <c r="D210" s="895">
        <v>0</v>
      </c>
      <c r="E210" s="744">
        <v>0</v>
      </c>
      <c r="F210" s="790">
        <f t="shared" si="15"/>
        <v>0</v>
      </c>
      <c r="G210" s="434"/>
      <c r="H210" s="791"/>
      <c r="I210" s="761">
        <f t="shared" si="13"/>
        <v>0</v>
      </c>
      <c r="J210" s="761">
        <f t="shared" si="16"/>
        <v>0</v>
      </c>
      <c r="K210" s="761">
        <f t="shared" si="17"/>
        <v>0</v>
      </c>
      <c r="L210" s="1269"/>
    </row>
    <row r="211" spans="1:12">
      <c r="A211" s="1192"/>
      <c r="B211" s="821"/>
      <c r="C211" s="798"/>
      <c r="D211" s="895">
        <v>0</v>
      </c>
      <c r="E211" s="744">
        <v>0</v>
      </c>
      <c r="F211" s="790">
        <f t="shared" si="15"/>
        <v>0</v>
      </c>
      <c r="G211" s="434"/>
      <c r="H211" s="791"/>
      <c r="I211" s="761">
        <f t="shared" si="13"/>
        <v>0</v>
      </c>
      <c r="J211" s="761">
        <f t="shared" si="16"/>
        <v>0</v>
      </c>
      <c r="K211" s="761">
        <f t="shared" si="17"/>
        <v>0</v>
      </c>
      <c r="L211" s="1269"/>
    </row>
    <row r="212" spans="1:12" ht="31.5">
      <c r="A212" s="1188" t="s">
        <v>551</v>
      </c>
      <c r="B212" s="821" t="s">
        <v>552</v>
      </c>
      <c r="C212" s="798" t="s">
        <v>414</v>
      </c>
      <c r="D212" s="895">
        <v>0</v>
      </c>
      <c r="E212" s="744">
        <v>0</v>
      </c>
      <c r="F212" s="790">
        <f t="shared" si="15"/>
        <v>0</v>
      </c>
      <c r="G212" s="434"/>
      <c r="H212" s="791"/>
      <c r="I212" s="761">
        <f t="shared" si="13"/>
        <v>0</v>
      </c>
      <c r="J212" s="761">
        <f t="shared" si="16"/>
        <v>0</v>
      </c>
      <c r="K212" s="761">
        <f t="shared" si="17"/>
        <v>0</v>
      </c>
      <c r="L212" s="1269"/>
    </row>
    <row r="213" spans="1:12">
      <c r="A213" s="1192"/>
      <c r="B213" s="821"/>
      <c r="C213" s="798"/>
      <c r="D213" s="895"/>
      <c r="E213" s="744"/>
      <c r="F213" s="790">
        <f t="shared" si="15"/>
        <v>0</v>
      </c>
      <c r="G213" s="434"/>
      <c r="H213" s="791"/>
      <c r="I213" s="761">
        <f t="shared" si="13"/>
        <v>0</v>
      </c>
      <c r="J213" s="761">
        <f t="shared" si="16"/>
        <v>0</v>
      </c>
      <c r="K213" s="761">
        <f t="shared" si="17"/>
        <v>0</v>
      </c>
      <c r="L213" s="1269"/>
    </row>
    <row r="214" spans="1:12">
      <c r="A214" s="1188" t="s">
        <v>553</v>
      </c>
      <c r="B214" s="821" t="s">
        <v>554</v>
      </c>
      <c r="C214" s="798" t="s">
        <v>414</v>
      </c>
      <c r="D214" s="893">
        <v>156</v>
      </c>
      <c r="E214" s="763">
        <v>165</v>
      </c>
      <c r="F214" s="790">
        <f t="shared" si="15"/>
        <v>0</v>
      </c>
      <c r="G214" s="434">
        <f>MB!G3569</f>
        <v>165</v>
      </c>
      <c r="H214" s="790">
        <v>400</v>
      </c>
      <c r="I214" s="760">
        <f t="shared" si="13"/>
        <v>66000</v>
      </c>
      <c r="J214" s="761">
        <f t="shared" si="16"/>
        <v>0</v>
      </c>
      <c r="K214" s="761">
        <f t="shared" si="17"/>
        <v>66000</v>
      </c>
      <c r="L214" s="1269"/>
    </row>
    <row r="215" spans="1:12">
      <c r="A215" s="1192"/>
      <c r="B215" s="821"/>
      <c r="C215" s="798"/>
      <c r="D215" s="893">
        <v>0</v>
      </c>
      <c r="E215" s="763">
        <v>0</v>
      </c>
      <c r="F215" s="790">
        <f t="shared" si="15"/>
        <v>0</v>
      </c>
      <c r="G215" s="434"/>
      <c r="H215" s="790"/>
      <c r="I215" s="760">
        <f t="shared" si="13"/>
        <v>0</v>
      </c>
      <c r="J215" s="761">
        <f t="shared" si="16"/>
        <v>0</v>
      </c>
      <c r="K215" s="761">
        <f t="shared" si="17"/>
        <v>0</v>
      </c>
      <c r="L215" s="1269"/>
    </row>
    <row r="216" spans="1:12">
      <c r="A216" s="1188" t="s">
        <v>555</v>
      </c>
      <c r="B216" s="821" t="s">
        <v>556</v>
      </c>
      <c r="C216" s="798" t="s">
        <v>414</v>
      </c>
      <c r="D216" s="893">
        <v>312</v>
      </c>
      <c r="E216" s="763">
        <v>0</v>
      </c>
      <c r="F216" s="790">
        <f t="shared" si="15"/>
        <v>0</v>
      </c>
      <c r="G216" s="434"/>
      <c r="H216" s="790">
        <v>400</v>
      </c>
      <c r="I216" s="760">
        <f t="shared" ref="I216:I273" si="18">ROUND(E216*H216,0)</f>
        <v>0</v>
      </c>
      <c r="J216" s="761">
        <f t="shared" si="16"/>
        <v>0</v>
      </c>
      <c r="K216" s="761">
        <f t="shared" si="17"/>
        <v>0</v>
      </c>
      <c r="L216" s="1269"/>
    </row>
    <row r="217" spans="1:12">
      <c r="A217" s="1192"/>
      <c r="B217" s="821"/>
      <c r="C217" s="798"/>
      <c r="D217" s="893">
        <v>0</v>
      </c>
      <c r="E217" s="763">
        <v>0</v>
      </c>
      <c r="F217" s="790">
        <f t="shared" si="15"/>
        <v>0</v>
      </c>
      <c r="G217" s="434"/>
      <c r="H217" s="790"/>
      <c r="I217" s="760">
        <f t="shared" si="18"/>
        <v>0</v>
      </c>
      <c r="J217" s="761">
        <f t="shared" si="16"/>
        <v>0</v>
      </c>
      <c r="K217" s="761">
        <f t="shared" si="17"/>
        <v>0</v>
      </c>
      <c r="L217" s="1269"/>
    </row>
    <row r="218" spans="1:12">
      <c r="A218" s="1188" t="s">
        <v>557</v>
      </c>
      <c r="B218" s="821" t="s">
        <v>558</v>
      </c>
      <c r="C218" s="798" t="s">
        <v>414</v>
      </c>
      <c r="D218" s="893">
        <v>156</v>
      </c>
      <c r="E218" s="763">
        <v>165</v>
      </c>
      <c r="F218" s="790">
        <f t="shared" si="15"/>
        <v>0</v>
      </c>
      <c r="G218" s="434">
        <f>MB!G3578</f>
        <v>165</v>
      </c>
      <c r="H218" s="790">
        <v>500</v>
      </c>
      <c r="I218" s="760">
        <f t="shared" si="18"/>
        <v>82500</v>
      </c>
      <c r="J218" s="761">
        <f t="shared" si="16"/>
        <v>0</v>
      </c>
      <c r="K218" s="761">
        <f t="shared" si="17"/>
        <v>82500</v>
      </c>
      <c r="L218" s="1269"/>
    </row>
    <row r="219" spans="1:12">
      <c r="A219" s="1192"/>
      <c r="B219" s="821"/>
      <c r="C219" s="798"/>
      <c r="D219" s="895">
        <v>0</v>
      </c>
      <c r="E219" s="744">
        <v>0</v>
      </c>
      <c r="F219" s="790">
        <f t="shared" si="15"/>
        <v>0</v>
      </c>
      <c r="G219" s="434"/>
      <c r="H219" s="791"/>
      <c r="I219" s="761">
        <f t="shared" si="18"/>
        <v>0</v>
      </c>
      <c r="J219" s="761">
        <f t="shared" si="16"/>
        <v>0</v>
      </c>
      <c r="K219" s="761">
        <f t="shared" si="17"/>
        <v>0</v>
      </c>
      <c r="L219" s="1269"/>
    </row>
    <row r="220" spans="1:12" ht="78.75">
      <c r="A220" s="1188" t="s">
        <v>559</v>
      </c>
      <c r="B220" s="1139" t="s">
        <v>560</v>
      </c>
      <c r="C220" s="798" t="s">
        <v>414</v>
      </c>
      <c r="D220" s="895">
        <v>167</v>
      </c>
      <c r="E220" s="744">
        <v>165</v>
      </c>
      <c r="F220" s="790">
        <f t="shared" si="15"/>
        <v>0</v>
      </c>
      <c r="G220" s="434">
        <f>MB!G3587</f>
        <v>165</v>
      </c>
      <c r="H220" s="791">
        <v>1500</v>
      </c>
      <c r="I220" s="761">
        <f t="shared" si="18"/>
        <v>247500</v>
      </c>
      <c r="J220" s="761">
        <f t="shared" si="16"/>
        <v>0</v>
      </c>
      <c r="K220" s="761">
        <f t="shared" si="17"/>
        <v>247500</v>
      </c>
      <c r="L220" s="1269"/>
    </row>
    <row r="221" spans="1:12">
      <c r="A221" s="1188"/>
      <c r="B221" s="1191"/>
      <c r="C221" s="519"/>
      <c r="D221" s="895">
        <v>0</v>
      </c>
      <c r="E221" s="744">
        <v>0</v>
      </c>
      <c r="F221" s="790">
        <f t="shared" si="15"/>
        <v>0</v>
      </c>
      <c r="G221" s="434"/>
      <c r="H221" s="779"/>
      <c r="I221" s="761">
        <f t="shared" si="18"/>
        <v>0</v>
      </c>
      <c r="J221" s="761">
        <f t="shared" si="16"/>
        <v>0</v>
      </c>
      <c r="K221" s="761">
        <f t="shared" si="17"/>
        <v>0</v>
      </c>
      <c r="L221" s="1269"/>
    </row>
    <row r="222" spans="1:12">
      <c r="A222" s="1193">
        <v>13</v>
      </c>
      <c r="B222" s="1137" t="s">
        <v>561</v>
      </c>
      <c r="C222" s="798"/>
      <c r="D222" s="895">
        <v>0</v>
      </c>
      <c r="E222" s="744">
        <v>0</v>
      </c>
      <c r="F222" s="790">
        <f t="shared" si="15"/>
        <v>0</v>
      </c>
      <c r="G222" s="434"/>
      <c r="H222" s="779"/>
      <c r="I222" s="761">
        <f t="shared" si="18"/>
        <v>0</v>
      </c>
      <c r="J222" s="761">
        <f t="shared" si="16"/>
        <v>0</v>
      </c>
      <c r="K222" s="761">
        <f t="shared" si="17"/>
        <v>0</v>
      </c>
      <c r="L222" s="1269"/>
    </row>
    <row r="223" spans="1:12" ht="141.75">
      <c r="A223" s="1194">
        <v>13.1</v>
      </c>
      <c r="B223" s="1139" t="s">
        <v>562</v>
      </c>
      <c r="C223" s="798"/>
      <c r="D223" s="895">
        <v>0</v>
      </c>
      <c r="E223" s="744">
        <v>0</v>
      </c>
      <c r="F223" s="790">
        <f t="shared" si="15"/>
        <v>0</v>
      </c>
      <c r="G223" s="434"/>
      <c r="H223" s="779"/>
      <c r="I223" s="761">
        <f t="shared" si="18"/>
        <v>0</v>
      </c>
      <c r="J223" s="761">
        <f t="shared" si="16"/>
        <v>0</v>
      </c>
      <c r="K223" s="761">
        <f t="shared" si="17"/>
        <v>0</v>
      </c>
      <c r="L223" s="1269"/>
    </row>
    <row r="224" spans="1:12" ht="110.25">
      <c r="A224" s="1195"/>
      <c r="B224" s="1139" t="s">
        <v>563</v>
      </c>
      <c r="C224" s="798"/>
      <c r="D224" s="895">
        <v>0</v>
      </c>
      <c r="E224" s="744">
        <v>0</v>
      </c>
      <c r="F224" s="790">
        <f t="shared" si="15"/>
        <v>0</v>
      </c>
      <c r="G224" s="434"/>
      <c r="H224" s="779"/>
      <c r="I224" s="761">
        <f t="shared" si="18"/>
        <v>0</v>
      </c>
      <c r="J224" s="761">
        <f t="shared" si="16"/>
        <v>0</v>
      </c>
      <c r="K224" s="761">
        <f t="shared" si="17"/>
        <v>0</v>
      </c>
      <c r="L224" s="1269"/>
    </row>
    <row r="225" spans="1:12" ht="78.75">
      <c r="A225" s="1195"/>
      <c r="B225" s="1139" t="s">
        <v>564</v>
      </c>
      <c r="C225" s="798"/>
      <c r="D225" s="895">
        <v>0</v>
      </c>
      <c r="E225" s="744">
        <v>0</v>
      </c>
      <c r="F225" s="790">
        <f t="shared" si="15"/>
        <v>0</v>
      </c>
      <c r="G225" s="434"/>
      <c r="H225" s="779"/>
      <c r="I225" s="761">
        <f t="shared" si="18"/>
        <v>0</v>
      </c>
      <c r="J225" s="761">
        <f t="shared" si="16"/>
        <v>0</v>
      </c>
      <c r="K225" s="761">
        <f t="shared" si="17"/>
        <v>0</v>
      </c>
      <c r="L225" s="1269"/>
    </row>
    <row r="226" spans="1:12" ht="126">
      <c r="A226" s="1195"/>
      <c r="B226" s="1139" t="s">
        <v>565</v>
      </c>
      <c r="C226" s="798"/>
      <c r="D226" s="895">
        <v>0</v>
      </c>
      <c r="E226" s="744">
        <v>0</v>
      </c>
      <c r="F226" s="790">
        <f t="shared" si="15"/>
        <v>0</v>
      </c>
      <c r="G226" s="434"/>
      <c r="H226" s="779"/>
      <c r="I226" s="761">
        <f t="shared" si="18"/>
        <v>0</v>
      </c>
      <c r="J226" s="761">
        <f t="shared" si="16"/>
        <v>0</v>
      </c>
      <c r="K226" s="761">
        <f t="shared" si="17"/>
        <v>0</v>
      </c>
      <c r="L226" s="1269"/>
    </row>
    <row r="227" spans="1:12" ht="63">
      <c r="A227" s="1195"/>
      <c r="B227" s="1139" t="s">
        <v>566</v>
      </c>
      <c r="C227" s="798"/>
      <c r="D227" s="895"/>
      <c r="E227" s="744"/>
      <c r="F227" s="790">
        <f t="shared" si="15"/>
        <v>0</v>
      </c>
      <c r="G227" s="434"/>
      <c r="H227" s="779"/>
      <c r="I227" s="761">
        <f t="shared" si="18"/>
        <v>0</v>
      </c>
      <c r="J227" s="761">
        <f t="shared" si="16"/>
        <v>0</v>
      </c>
      <c r="K227" s="761">
        <f t="shared" si="17"/>
        <v>0</v>
      </c>
      <c r="L227" s="1269"/>
    </row>
    <row r="228" spans="1:12" ht="31.5">
      <c r="A228" s="1195" t="s">
        <v>567</v>
      </c>
      <c r="B228" s="1139" t="s">
        <v>568</v>
      </c>
      <c r="C228" s="798" t="s">
        <v>350</v>
      </c>
      <c r="D228" s="895">
        <v>543</v>
      </c>
      <c r="E228" s="744">
        <v>547.79999999999995</v>
      </c>
      <c r="F228" s="790">
        <f t="shared" si="15"/>
        <v>0</v>
      </c>
      <c r="G228" s="434">
        <f>MB!G3609</f>
        <v>547.80000000000007</v>
      </c>
      <c r="H228" s="783">
        <v>4200</v>
      </c>
      <c r="I228" s="761">
        <f t="shared" si="18"/>
        <v>2300760</v>
      </c>
      <c r="J228" s="761">
        <f t="shared" si="16"/>
        <v>0</v>
      </c>
      <c r="K228" s="761">
        <f t="shared" si="17"/>
        <v>2300760</v>
      </c>
      <c r="L228" s="1269"/>
    </row>
    <row r="229" spans="1:12">
      <c r="A229" s="1195"/>
      <c r="B229" s="1135" t="s">
        <v>2286</v>
      </c>
      <c r="C229" s="798"/>
      <c r="D229" s="895"/>
      <c r="E229" s="744">
        <v>547.79999999999995</v>
      </c>
      <c r="F229" s="790">
        <f t="shared" si="15"/>
        <v>0</v>
      </c>
      <c r="G229" s="434">
        <f>G228</f>
        <v>547.80000000000007</v>
      </c>
      <c r="H229" s="783">
        <v>-100</v>
      </c>
      <c r="I229" s="761">
        <f>ROUND(E229*H229,0)</f>
        <v>-54780</v>
      </c>
      <c r="J229" s="761">
        <f t="shared" si="16"/>
        <v>0</v>
      </c>
      <c r="K229" s="761">
        <f t="shared" si="17"/>
        <v>-54780</v>
      </c>
      <c r="L229" s="1269"/>
    </row>
    <row r="230" spans="1:12">
      <c r="A230" s="1195"/>
      <c r="B230" s="821"/>
      <c r="C230" s="798"/>
      <c r="D230" s="895"/>
      <c r="E230" s="744"/>
      <c r="F230" s="790">
        <f t="shared" si="15"/>
        <v>0</v>
      </c>
      <c r="G230" s="434"/>
      <c r="H230" s="779"/>
      <c r="I230" s="761"/>
      <c r="J230" s="761">
        <f t="shared" si="16"/>
        <v>0</v>
      </c>
      <c r="K230" s="761">
        <f t="shared" si="17"/>
        <v>0</v>
      </c>
      <c r="L230" s="1269"/>
    </row>
    <row r="231" spans="1:12" ht="47.25">
      <c r="A231" s="1195" t="s">
        <v>569</v>
      </c>
      <c r="B231" s="1139" t="s">
        <v>570</v>
      </c>
      <c r="C231" s="798" t="s">
        <v>350</v>
      </c>
      <c r="D231" s="895">
        <v>0</v>
      </c>
      <c r="E231" s="744">
        <v>0</v>
      </c>
      <c r="F231" s="790">
        <f t="shared" si="15"/>
        <v>0</v>
      </c>
      <c r="G231" s="434"/>
      <c r="H231" s="779"/>
      <c r="I231" s="761">
        <f t="shared" si="18"/>
        <v>0</v>
      </c>
      <c r="J231" s="761">
        <f t="shared" si="16"/>
        <v>0</v>
      </c>
      <c r="K231" s="761">
        <f t="shared" si="17"/>
        <v>0</v>
      </c>
      <c r="L231" s="1269"/>
    </row>
    <row r="232" spans="1:12" ht="47.25">
      <c r="A232" s="1195" t="s">
        <v>571</v>
      </c>
      <c r="B232" s="1139" t="s">
        <v>572</v>
      </c>
      <c r="C232" s="798" t="s">
        <v>350</v>
      </c>
      <c r="D232" s="895">
        <v>543</v>
      </c>
      <c r="E232" s="434">
        <v>285.51</v>
      </c>
      <c r="F232" s="791">
        <f t="shared" si="15"/>
        <v>0</v>
      </c>
      <c r="G232" s="434">
        <f>MB!G3632</f>
        <v>285.51</v>
      </c>
      <c r="H232" s="803">
        <v>1200</v>
      </c>
      <c r="I232" s="761">
        <f t="shared" si="18"/>
        <v>342612</v>
      </c>
      <c r="J232" s="761">
        <f t="shared" si="16"/>
        <v>0</v>
      </c>
      <c r="K232" s="761">
        <f t="shared" si="17"/>
        <v>342612</v>
      </c>
      <c r="L232" s="1269"/>
    </row>
    <row r="233" spans="1:12">
      <c r="A233" s="1195"/>
      <c r="B233" s="821"/>
      <c r="C233" s="798"/>
      <c r="D233" s="895"/>
      <c r="E233" s="744"/>
      <c r="F233" s="791">
        <f t="shared" si="15"/>
        <v>0</v>
      </c>
      <c r="G233" s="434"/>
      <c r="H233" s="779"/>
      <c r="I233" s="761"/>
      <c r="J233" s="761">
        <f t="shared" si="16"/>
        <v>0</v>
      </c>
      <c r="K233" s="761">
        <f t="shared" si="17"/>
        <v>0</v>
      </c>
      <c r="L233" s="1269"/>
    </row>
    <row r="234" spans="1:12" ht="189">
      <c r="A234" s="1196" t="s">
        <v>573</v>
      </c>
      <c r="B234" s="1139" t="s">
        <v>574</v>
      </c>
      <c r="C234" s="798" t="s">
        <v>350</v>
      </c>
      <c r="D234" s="895">
        <v>0</v>
      </c>
      <c r="E234" s="744">
        <v>0</v>
      </c>
      <c r="F234" s="791">
        <f t="shared" si="15"/>
        <v>0</v>
      </c>
      <c r="G234" s="434"/>
      <c r="H234" s="779"/>
      <c r="I234" s="761">
        <f t="shared" si="18"/>
        <v>0</v>
      </c>
      <c r="J234" s="761">
        <f t="shared" si="16"/>
        <v>0</v>
      </c>
      <c r="K234" s="761">
        <f t="shared" si="17"/>
        <v>0</v>
      </c>
      <c r="L234" s="1269"/>
    </row>
    <row r="235" spans="1:12">
      <c r="A235" s="1196"/>
      <c r="B235" s="821"/>
      <c r="C235" s="798"/>
      <c r="D235" s="895">
        <v>0</v>
      </c>
      <c r="E235" s="744">
        <v>0</v>
      </c>
      <c r="F235" s="791">
        <f t="shared" si="15"/>
        <v>0</v>
      </c>
      <c r="G235" s="434"/>
      <c r="H235" s="779"/>
      <c r="I235" s="761">
        <f t="shared" si="18"/>
        <v>0</v>
      </c>
      <c r="J235" s="761">
        <f t="shared" si="16"/>
        <v>0</v>
      </c>
      <c r="K235" s="761">
        <f t="shared" si="17"/>
        <v>0</v>
      </c>
      <c r="L235" s="1269"/>
    </row>
    <row r="236" spans="1:12">
      <c r="A236" s="1196" t="s">
        <v>575</v>
      </c>
      <c r="B236" s="821" t="s">
        <v>576</v>
      </c>
      <c r="C236" s="798" t="s">
        <v>350</v>
      </c>
      <c r="D236" s="895">
        <v>0</v>
      </c>
      <c r="E236" s="744">
        <v>0</v>
      </c>
      <c r="F236" s="791">
        <f t="shared" si="15"/>
        <v>0</v>
      </c>
      <c r="G236" s="434"/>
      <c r="H236" s="779"/>
      <c r="I236" s="761">
        <f t="shared" si="18"/>
        <v>0</v>
      </c>
      <c r="J236" s="761">
        <f t="shared" si="16"/>
        <v>0</v>
      </c>
      <c r="K236" s="761">
        <f t="shared" si="17"/>
        <v>0</v>
      </c>
      <c r="L236" s="1269"/>
    </row>
    <row r="237" spans="1:12">
      <c r="A237" s="1196"/>
      <c r="B237" s="1153"/>
      <c r="C237" s="798"/>
      <c r="D237" s="895">
        <v>0</v>
      </c>
      <c r="E237" s="744">
        <v>0</v>
      </c>
      <c r="F237" s="791">
        <f t="shared" si="15"/>
        <v>0</v>
      </c>
      <c r="G237" s="434"/>
      <c r="H237" s="779"/>
      <c r="I237" s="761">
        <f t="shared" si="18"/>
        <v>0</v>
      </c>
      <c r="J237" s="761">
        <f t="shared" si="16"/>
        <v>0</v>
      </c>
      <c r="K237" s="761">
        <f t="shared" si="17"/>
        <v>0</v>
      </c>
      <c r="L237" s="1269"/>
    </row>
    <row r="238" spans="1:12">
      <c r="A238" s="1195">
        <v>13.3</v>
      </c>
      <c r="B238" s="1197" t="s">
        <v>577</v>
      </c>
      <c r="C238" s="798"/>
      <c r="D238" s="895">
        <v>0</v>
      </c>
      <c r="E238" s="744">
        <v>0</v>
      </c>
      <c r="F238" s="791">
        <f t="shared" si="15"/>
        <v>0</v>
      </c>
      <c r="G238" s="434"/>
      <c r="H238" s="779"/>
      <c r="I238" s="761">
        <f t="shared" si="18"/>
        <v>0</v>
      </c>
      <c r="J238" s="761">
        <f t="shared" si="16"/>
        <v>0</v>
      </c>
      <c r="K238" s="761">
        <f t="shared" si="17"/>
        <v>0</v>
      </c>
      <c r="L238" s="1269"/>
    </row>
    <row r="239" spans="1:12">
      <c r="A239" s="1196"/>
      <c r="B239" s="1184"/>
      <c r="C239" s="787"/>
      <c r="D239" s="895"/>
      <c r="E239" s="744"/>
      <c r="F239" s="791">
        <f t="shared" si="15"/>
        <v>0</v>
      </c>
      <c r="G239" s="434"/>
      <c r="H239" s="779"/>
      <c r="I239" s="761">
        <f t="shared" si="18"/>
        <v>0</v>
      </c>
      <c r="J239" s="761">
        <f t="shared" si="16"/>
        <v>0</v>
      </c>
      <c r="K239" s="761">
        <f t="shared" si="17"/>
        <v>0</v>
      </c>
      <c r="L239" s="1269"/>
    </row>
    <row r="240" spans="1:12" s="801" customFormat="1" ht="249.95" customHeight="1">
      <c r="A240" s="1196" t="s">
        <v>578</v>
      </c>
      <c r="B240" s="1139" t="s">
        <v>579</v>
      </c>
      <c r="C240" s="787" t="s">
        <v>350</v>
      </c>
      <c r="D240" s="896">
        <v>38</v>
      </c>
      <c r="E240" s="434">
        <v>614.99</v>
      </c>
      <c r="F240" s="791">
        <f t="shared" si="15"/>
        <v>0</v>
      </c>
      <c r="G240" s="434">
        <f>MB!G3651</f>
        <v>614.99</v>
      </c>
      <c r="H240" s="779">
        <v>2300</v>
      </c>
      <c r="I240" s="772">
        <f t="shared" si="18"/>
        <v>1414477</v>
      </c>
      <c r="J240" s="772">
        <f t="shared" si="16"/>
        <v>0</v>
      </c>
      <c r="K240" s="761">
        <f t="shared" si="17"/>
        <v>1414477</v>
      </c>
      <c r="L240" s="1273"/>
    </row>
    <row r="241" spans="1:76">
      <c r="A241" s="1198"/>
      <c r="B241" s="1178"/>
      <c r="C241" s="802"/>
      <c r="D241" s="893">
        <v>0</v>
      </c>
      <c r="E241" s="763">
        <v>0</v>
      </c>
      <c r="F241" s="791">
        <f t="shared" si="15"/>
        <v>0</v>
      </c>
      <c r="G241" s="434"/>
      <c r="H241" s="781"/>
      <c r="I241" s="761">
        <f t="shared" si="18"/>
        <v>0</v>
      </c>
      <c r="J241" s="761">
        <f t="shared" si="16"/>
        <v>0</v>
      </c>
      <c r="K241" s="761">
        <f t="shared" si="17"/>
        <v>0</v>
      </c>
      <c r="L241" s="1269"/>
    </row>
    <row r="242" spans="1:76">
      <c r="A242" s="1198" t="s">
        <v>581</v>
      </c>
      <c r="B242" s="1199" t="s">
        <v>582</v>
      </c>
      <c r="C242" s="802" t="s">
        <v>580</v>
      </c>
      <c r="D242" s="893">
        <v>0</v>
      </c>
      <c r="E242" s="763">
        <v>0</v>
      </c>
      <c r="F242" s="791">
        <f t="shared" si="15"/>
        <v>0</v>
      </c>
      <c r="G242" s="434"/>
      <c r="H242" s="781"/>
      <c r="I242" s="761">
        <f t="shared" si="18"/>
        <v>0</v>
      </c>
      <c r="J242" s="761">
        <f t="shared" si="16"/>
        <v>0</v>
      </c>
      <c r="K242" s="761">
        <f t="shared" si="17"/>
        <v>0</v>
      </c>
      <c r="L242" s="1269"/>
    </row>
    <row r="243" spans="1:76">
      <c r="A243" s="1198"/>
      <c r="B243" s="1199"/>
      <c r="C243" s="802"/>
      <c r="D243" s="893">
        <v>0</v>
      </c>
      <c r="E243" s="763">
        <v>0</v>
      </c>
      <c r="F243" s="791">
        <f t="shared" si="15"/>
        <v>0</v>
      </c>
      <c r="G243" s="434"/>
      <c r="H243" s="781"/>
      <c r="I243" s="761">
        <f t="shared" si="18"/>
        <v>0</v>
      </c>
      <c r="J243" s="761">
        <f t="shared" si="16"/>
        <v>0</v>
      </c>
      <c r="K243" s="761">
        <f t="shared" si="17"/>
        <v>0</v>
      </c>
      <c r="L243" s="1269"/>
    </row>
    <row r="244" spans="1:76">
      <c r="A244" s="1198" t="s">
        <v>583</v>
      </c>
      <c r="B244" s="1199" t="s">
        <v>584</v>
      </c>
      <c r="C244" s="802" t="s">
        <v>580</v>
      </c>
      <c r="D244" s="893">
        <v>0</v>
      </c>
      <c r="E244" s="763">
        <v>0</v>
      </c>
      <c r="F244" s="791">
        <f t="shared" si="15"/>
        <v>0</v>
      </c>
      <c r="G244" s="434"/>
      <c r="H244" s="781"/>
      <c r="I244" s="761">
        <f t="shared" si="18"/>
        <v>0</v>
      </c>
      <c r="J244" s="761">
        <f t="shared" si="16"/>
        <v>0</v>
      </c>
      <c r="K244" s="761">
        <f t="shared" si="17"/>
        <v>0</v>
      </c>
      <c r="L244" s="1269"/>
    </row>
    <row r="245" spans="1:76">
      <c r="A245" s="1198"/>
      <c r="B245" s="1199"/>
      <c r="C245" s="520"/>
      <c r="D245" s="893">
        <v>0</v>
      </c>
      <c r="E245" s="763">
        <v>0</v>
      </c>
      <c r="F245" s="791">
        <f t="shared" si="15"/>
        <v>0</v>
      </c>
      <c r="G245" s="434"/>
      <c r="H245" s="803"/>
      <c r="I245" s="761">
        <f t="shared" si="18"/>
        <v>0</v>
      </c>
      <c r="J245" s="761">
        <f t="shared" si="16"/>
        <v>0</v>
      </c>
      <c r="K245" s="761">
        <f t="shared" si="17"/>
        <v>0</v>
      </c>
      <c r="L245" s="1269"/>
    </row>
    <row r="246" spans="1:76">
      <c r="A246" s="1200">
        <v>14</v>
      </c>
      <c r="B246" s="1201" t="s">
        <v>1668</v>
      </c>
      <c r="C246" s="510"/>
      <c r="D246" s="895">
        <v>0</v>
      </c>
      <c r="E246" s="744">
        <v>0</v>
      </c>
      <c r="F246" s="791">
        <f t="shared" si="15"/>
        <v>0</v>
      </c>
      <c r="G246" s="434"/>
      <c r="H246" s="766"/>
      <c r="I246" s="761">
        <f t="shared" si="18"/>
        <v>0</v>
      </c>
      <c r="J246" s="761">
        <f t="shared" ref="J246:J274" si="19">K246-I246</f>
        <v>0</v>
      </c>
      <c r="K246" s="761">
        <f t="shared" ref="K246:K274" si="20">ROUND(G246*H246,0)</f>
        <v>0</v>
      </c>
      <c r="L246" s="1274"/>
      <c r="M246" s="805"/>
      <c r="N246" s="804"/>
      <c r="O246" s="804"/>
      <c r="P246" s="804"/>
      <c r="Q246" s="804"/>
      <c r="R246" s="804"/>
      <c r="S246" s="804"/>
      <c r="T246" s="804"/>
      <c r="U246" s="804"/>
      <c r="V246" s="804"/>
      <c r="W246" s="804"/>
      <c r="X246" s="804"/>
      <c r="Y246" s="804"/>
      <c r="Z246" s="804"/>
      <c r="AA246" s="804"/>
      <c r="AB246" s="804"/>
      <c r="AC246" s="804"/>
      <c r="AD246" s="804"/>
      <c r="AE246" s="804"/>
      <c r="AF246" s="804"/>
      <c r="AG246" s="804"/>
      <c r="AH246" s="804"/>
      <c r="AI246" s="804"/>
      <c r="AJ246" s="804"/>
      <c r="AK246" s="804"/>
      <c r="AL246" s="804"/>
      <c r="AM246" s="804"/>
      <c r="AN246" s="804"/>
      <c r="AO246" s="804"/>
      <c r="AP246" s="804"/>
      <c r="AQ246" s="804"/>
      <c r="AR246" s="804"/>
      <c r="AS246" s="804"/>
      <c r="AT246" s="804"/>
      <c r="AU246" s="804"/>
      <c r="AV246" s="804"/>
      <c r="AW246" s="804"/>
      <c r="AX246" s="804"/>
      <c r="AY246" s="804"/>
      <c r="AZ246" s="804"/>
      <c r="BA246" s="804"/>
      <c r="BB246" s="804"/>
      <c r="BC246" s="804"/>
      <c r="BD246" s="804"/>
      <c r="BE246" s="804"/>
      <c r="BF246" s="804"/>
      <c r="BG246" s="804"/>
      <c r="BH246" s="804"/>
      <c r="BI246" s="804"/>
      <c r="BJ246" s="804"/>
      <c r="BK246" s="804"/>
      <c r="BL246" s="804"/>
      <c r="BM246" s="804"/>
      <c r="BN246" s="804"/>
      <c r="BO246" s="806"/>
      <c r="BP246" s="806"/>
      <c r="BQ246" s="806"/>
      <c r="BR246" s="806"/>
      <c r="BS246" s="806"/>
      <c r="BT246" s="806"/>
      <c r="BU246" s="806"/>
      <c r="BV246" s="806"/>
      <c r="BW246" s="806"/>
      <c r="BX246" s="806"/>
    </row>
    <row r="247" spans="1:76" ht="31.5">
      <c r="A247" s="1158"/>
      <c r="B247" s="1202" t="s">
        <v>1669</v>
      </c>
      <c r="C247" s="510"/>
      <c r="D247" s="895">
        <v>0</v>
      </c>
      <c r="E247" s="744">
        <v>0</v>
      </c>
      <c r="F247" s="791">
        <f t="shared" si="15"/>
        <v>0</v>
      </c>
      <c r="G247" s="434"/>
      <c r="H247" s="786"/>
      <c r="I247" s="761">
        <f t="shared" si="18"/>
        <v>0</v>
      </c>
      <c r="J247" s="761">
        <f t="shared" si="19"/>
        <v>0</v>
      </c>
      <c r="K247" s="761">
        <f t="shared" si="20"/>
        <v>0</v>
      </c>
      <c r="L247" s="1275"/>
      <c r="M247" s="805"/>
      <c r="N247" s="806"/>
      <c r="O247" s="806"/>
      <c r="P247" s="806"/>
      <c r="Q247" s="806"/>
      <c r="R247" s="806"/>
      <c r="S247" s="806"/>
      <c r="T247" s="806"/>
      <c r="U247" s="806"/>
      <c r="V247" s="806"/>
      <c r="W247" s="806"/>
      <c r="X247" s="806"/>
      <c r="Y247" s="806"/>
      <c r="Z247" s="806"/>
      <c r="AA247" s="806"/>
      <c r="AB247" s="806"/>
      <c r="AC247" s="806"/>
      <c r="AD247" s="806"/>
      <c r="AE247" s="806"/>
      <c r="AF247" s="806"/>
      <c r="AG247" s="806"/>
      <c r="AH247" s="806"/>
      <c r="AI247" s="806"/>
      <c r="AJ247" s="806"/>
      <c r="AK247" s="806"/>
      <c r="AL247" s="806"/>
      <c r="AM247" s="806"/>
      <c r="AN247" s="806"/>
      <c r="AO247" s="806"/>
      <c r="AP247" s="806"/>
      <c r="AQ247" s="806"/>
      <c r="AR247" s="806"/>
      <c r="AS247" s="806"/>
      <c r="AT247" s="806"/>
      <c r="AU247" s="806"/>
      <c r="AV247" s="806"/>
      <c r="AW247" s="806"/>
      <c r="AX247" s="806"/>
      <c r="AY247" s="806"/>
      <c r="AZ247" s="806"/>
      <c r="BA247" s="806"/>
      <c r="BB247" s="806"/>
      <c r="BC247" s="806"/>
      <c r="BD247" s="806"/>
      <c r="BE247" s="806"/>
      <c r="BF247" s="806"/>
      <c r="BG247" s="806"/>
      <c r="BH247" s="806"/>
      <c r="BI247" s="806"/>
      <c r="BJ247" s="806"/>
      <c r="BK247" s="806"/>
      <c r="BL247" s="806"/>
      <c r="BM247" s="806"/>
      <c r="BN247" s="806"/>
      <c r="BO247" s="807"/>
      <c r="BP247" s="807"/>
      <c r="BQ247" s="807"/>
      <c r="BR247" s="807"/>
      <c r="BS247" s="807"/>
      <c r="BT247" s="807"/>
      <c r="BU247" s="807"/>
      <c r="BV247" s="807"/>
      <c r="BW247" s="807"/>
      <c r="BX247" s="807"/>
    </row>
    <row r="248" spans="1:76">
      <c r="A248" s="1203"/>
      <c r="B248" s="1202"/>
      <c r="C248" s="808"/>
      <c r="D248" s="895">
        <v>0</v>
      </c>
      <c r="E248" s="744">
        <v>0</v>
      </c>
      <c r="F248" s="791">
        <f t="shared" ref="F248:F274" si="21">G248-E248</f>
        <v>0</v>
      </c>
      <c r="G248" s="434"/>
      <c r="H248" s="779"/>
      <c r="I248" s="761">
        <f t="shared" si="18"/>
        <v>0</v>
      </c>
      <c r="J248" s="761">
        <f t="shared" si="19"/>
        <v>0</v>
      </c>
      <c r="K248" s="761">
        <f t="shared" si="20"/>
        <v>0</v>
      </c>
      <c r="L248" s="1276"/>
      <c r="M248" s="805"/>
      <c r="N248" s="807"/>
      <c r="O248" s="807"/>
      <c r="P248" s="807"/>
      <c r="Q248" s="807"/>
      <c r="R248" s="807"/>
      <c r="S248" s="807"/>
      <c r="T248" s="807"/>
      <c r="U248" s="807"/>
      <c r="V248" s="807"/>
      <c r="W248" s="807"/>
      <c r="X248" s="807"/>
      <c r="Y248" s="807"/>
      <c r="Z248" s="807"/>
      <c r="AA248" s="807"/>
      <c r="AB248" s="807"/>
      <c r="AC248" s="807"/>
      <c r="AD248" s="807"/>
      <c r="AE248" s="807"/>
      <c r="AF248" s="807"/>
      <c r="AG248" s="807"/>
      <c r="AH248" s="807"/>
      <c r="AI248" s="807"/>
      <c r="AJ248" s="807"/>
      <c r="AK248" s="807"/>
      <c r="AL248" s="807"/>
      <c r="AM248" s="807"/>
      <c r="AN248" s="807"/>
      <c r="AO248" s="807"/>
      <c r="AP248" s="807"/>
      <c r="AQ248" s="807"/>
      <c r="AR248" s="807"/>
      <c r="AS248" s="807"/>
      <c r="AT248" s="807"/>
      <c r="AU248" s="807"/>
      <c r="AV248" s="807"/>
      <c r="AW248" s="807"/>
      <c r="AX248" s="807"/>
      <c r="AY248" s="807"/>
      <c r="AZ248" s="807"/>
      <c r="BA248" s="807"/>
      <c r="BB248" s="807"/>
      <c r="BC248" s="807"/>
      <c r="BD248" s="807"/>
      <c r="BE248" s="807"/>
      <c r="BF248" s="807"/>
      <c r="BG248" s="807"/>
      <c r="BH248" s="807"/>
      <c r="BI248" s="807"/>
      <c r="BJ248" s="807"/>
      <c r="BK248" s="807"/>
      <c r="BL248" s="807"/>
      <c r="BM248" s="807"/>
      <c r="BN248" s="807"/>
      <c r="BO248" s="809"/>
      <c r="BP248" s="809"/>
      <c r="BQ248" s="809"/>
      <c r="BR248" s="809"/>
      <c r="BS248" s="809"/>
      <c r="BT248" s="809"/>
      <c r="BU248" s="809"/>
      <c r="BV248" s="809"/>
      <c r="BW248" s="809"/>
      <c r="BX248" s="809"/>
    </row>
    <row r="249" spans="1:76" ht="220.5">
      <c r="A249" s="1158">
        <v>14.1</v>
      </c>
      <c r="B249" s="1139" t="s">
        <v>1670</v>
      </c>
      <c r="C249" s="510"/>
      <c r="D249" s="895"/>
      <c r="E249" s="744"/>
      <c r="F249" s="791">
        <f t="shared" si="21"/>
        <v>0</v>
      </c>
      <c r="G249" s="434"/>
      <c r="H249" s="779"/>
      <c r="I249" s="761">
        <f t="shared" si="18"/>
        <v>0</v>
      </c>
      <c r="J249" s="761">
        <f t="shared" si="19"/>
        <v>0</v>
      </c>
      <c r="K249" s="761">
        <f t="shared" si="20"/>
        <v>0</v>
      </c>
      <c r="L249" s="1277"/>
      <c r="M249" s="805"/>
      <c r="N249" s="809"/>
      <c r="O249" s="809"/>
      <c r="P249" s="809"/>
      <c r="Q249" s="809"/>
      <c r="R249" s="809"/>
      <c r="S249" s="809"/>
      <c r="T249" s="809"/>
      <c r="U249" s="809"/>
      <c r="V249" s="809"/>
      <c r="W249" s="809"/>
      <c r="X249" s="809"/>
      <c r="Y249" s="809"/>
      <c r="Z249" s="809"/>
      <c r="AA249" s="809"/>
      <c r="AB249" s="809"/>
      <c r="AC249" s="809"/>
      <c r="AD249" s="809"/>
      <c r="AE249" s="809"/>
      <c r="AF249" s="809"/>
      <c r="AG249" s="809"/>
      <c r="AH249" s="809"/>
      <c r="AI249" s="809"/>
      <c r="AJ249" s="809"/>
      <c r="AK249" s="809"/>
      <c r="AL249" s="809"/>
      <c r="AM249" s="809"/>
      <c r="AN249" s="809"/>
      <c r="AO249" s="809"/>
      <c r="AP249" s="809"/>
      <c r="AQ249" s="809"/>
      <c r="AR249" s="809"/>
      <c r="AS249" s="809"/>
      <c r="AT249" s="809"/>
      <c r="AU249" s="809"/>
      <c r="AV249" s="809"/>
      <c r="AW249" s="809"/>
      <c r="AX249" s="809"/>
      <c r="AY249" s="809"/>
      <c r="AZ249" s="809"/>
      <c r="BA249" s="809"/>
      <c r="BB249" s="809"/>
      <c r="BC249" s="809"/>
      <c r="BD249" s="809"/>
      <c r="BE249" s="809"/>
      <c r="BF249" s="809"/>
      <c r="BG249" s="809"/>
      <c r="BH249" s="809"/>
      <c r="BI249" s="809"/>
      <c r="BJ249" s="809"/>
      <c r="BK249" s="809"/>
      <c r="BL249" s="809"/>
      <c r="BM249" s="809"/>
      <c r="BN249" s="809"/>
      <c r="BO249" s="809"/>
      <c r="BP249" s="809"/>
      <c r="BQ249" s="809"/>
      <c r="BR249" s="809"/>
      <c r="BS249" s="809"/>
      <c r="BT249" s="809"/>
      <c r="BU249" s="809"/>
      <c r="BV249" s="809"/>
      <c r="BW249" s="809"/>
      <c r="BX249" s="809"/>
    </row>
    <row r="250" spans="1:76" s="794" customFormat="1">
      <c r="A250" s="1203" t="s">
        <v>1465</v>
      </c>
      <c r="B250" s="1204" t="s">
        <v>1671</v>
      </c>
      <c r="C250" s="510" t="s">
        <v>140</v>
      </c>
      <c r="D250" s="896">
        <v>1300</v>
      </c>
      <c r="E250" s="434">
        <v>2023.24</v>
      </c>
      <c r="F250" s="791">
        <f t="shared" si="21"/>
        <v>0</v>
      </c>
      <c r="G250" s="434">
        <f>MB!G3688</f>
        <v>2023.2399999999998</v>
      </c>
      <c r="H250" s="779">
        <v>82</v>
      </c>
      <c r="I250" s="772">
        <f t="shared" si="18"/>
        <v>165906</v>
      </c>
      <c r="J250" s="761">
        <f t="shared" si="19"/>
        <v>0</v>
      </c>
      <c r="K250" s="761">
        <f t="shared" si="20"/>
        <v>165906</v>
      </c>
      <c r="L250" s="1277"/>
      <c r="M250" s="810"/>
      <c r="N250" s="809"/>
      <c r="O250" s="809"/>
      <c r="P250" s="809"/>
      <c r="Q250" s="809"/>
      <c r="R250" s="809"/>
      <c r="S250" s="809"/>
      <c r="T250" s="809"/>
      <c r="U250" s="809"/>
      <c r="V250" s="809"/>
      <c r="W250" s="809"/>
      <c r="X250" s="809"/>
      <c r="Y250" s="809"/>
      <c r="Z250" s="809"/>
      <c r="AA250" s="809"/>
      <c r="AB250" s="809"/>
      <c r="AC250" s="809"/>
      <c r="AD250" s="809"/>
      <c r="AE250" s="809"/>
      <c r="AF250" s="809"/>
      <c r="AG250" s="809"/>
      <c r="AH250" s="809"/>
      <c r="AI250" s="809"/>
      <c r="AJ250" s="809"/>
      <c r="AK250" s="809"/>
      <c r="AL250" s="809"/>
      <c r="AM250" s="809"/>
      <c r="AN250" s="809"/>
      <c r="AO250" s="809"/>
      <c r="AP250" s="809"/>
      <c r="AQ250" s="809"/>
      <c r="AR250" s="809"/>
      <c r="AS250" s="809"/>
      <c r="AT250" s="809"/>
      <c r="AU250" s="809"/>
      <c r="AV250" s="809"/>
      <c r="AW250" s="809"/>
      <c r="AX250" s="809"/>
      <c r="AY250" s="809"/>
      <c r="AZ250" s="809"/>
      <c r="BA250" s="809"/>
      <c r="BB250" s="809"/>
      <c r="BC250" s="809"/>
      <c r="BD250" s="809"/>
      <c r="BE250" s="809"/>
      <c r="BF250" s="809"/>
      <c r="BG250" s="809"/>
      <c r="BH250" s="809"/>
      <c r="BI250" s="809"/>
      <c r="BJ250" s="809"/>
      <c r="BK250" s="809"/>
      <c r="BL250" s="809"/>
      <c r="BM250" s="809"/>
      <c r="BN250" s="809"/>
      <c r="BO250" s="809"/>
      <c r="BP250" s="809"/>
      <c r="BQ250" s="809"/>
      <c r="BR250" s="809"/>
      <c r="BS250" s="809"/>
      <c r="BT250" s="809"/>
      <c r="BU250" s="809"/>
      <c r="BV250" s="809"/>
      <c r="BW250" s="809"/>
      <c r="BX250" s="809"/>
    </row>
    <row r="251" spans="1:76">
      <c r="A251" s="1203" t="s">
        <v>1672</v>
      </c>
      <c r="B251" s="1204" t="s">
        <v>1673</v>
      </c>
      <c r="C251" s="510" t="s">
        <v>140</v>
      </c>
      <c r="D251" s="895">
        <v>5000</v>
      </c>
      <c r="E251" s="744">
        <v>0</v>
      </c>
      <c r="F251" s="791">
        <f t="shared" si="21"/>
        <v>0</v>
      </c>
      <c r="G251" s="434"/>
      <c r="H251" s="779">
        <v>82</v>
      </c>
      <c r="I251" s="761">
        <f t="shared" si="18"/>
        <v>0</v>
      </c>
      <c r="J251" s="761">
        <f t="shared" si="19"/>
        <v>0</v>
      </c>
      <c r="K251" s="761">
        <f t="shared" si="20"/>
        <v>0</v>
      </c>
      <c r="L251" s="1277"/>
      <c r="M251" s="805"/>
      <c r="N251" s="809"/>
      <c r="O251" s="809"/>
      <c r="P251" s="809"/>
      <c r="Q251" s="809"/>
      <c r="R251" s="809"/>
      <c r="S251" s="809"/>
      <c r="T251" s="809"/>
      <c r="U251" s="809"/>
      <c r="V251" s="809"/>
      <c r="W251" s="809"/>
      <c r="X251" s="809"/>
      <c r="Y251" s="809"/>
      <c r="Z251" s="809"/>
      <c r="AA251" s="809"/>
      <c r="AB251" s="809"/>
      <c r="AC251" s="809"/>
      <c r="AD251" s="809"/>
      <c r="AE251" s="809"/>
      <c r="AF251" s="809"/>
      <c r="AG251" s="809"/>
      <c r="AH251" s="809"/>
      <c r="AI251" s="809"/>
      <c r="AJ251" s="809"/>
      <c r="AK251" s="809"/>
      <c r="AL251" s="809"/>
      <c r="AM251" s="809"/>
      <c r="AN251" s="809"/>
      <c r="AO251" s="809"/>
      <c r="AP251" s="809"/>
      <c r="AQ251" s="809"/>
      <c r="AR251" s="809"/>
      <c r="AS251" s="809"/>
      <c r="AT251" s="809"/>
      <c r="AU251" s="809"/>
      <c r="AV251" s="809"/>
      <c r="AW251" s="809"/>
      <c r="AX251" s="809"/>
      <c r="AY251" s="809"/>
      <c r="AZ251" s="809"/>
      <c r="BA251" s="809"/>
      <c r="BB251" s="809"/>
      <c r="BC251" s="809"/>
      <c r="BD251" s="809"/>
      <c r="BE251" s="809"/>
      <c r="BF251" s="809"/>
      <c r="BG251" s="809"/>
      <c r="BH251" s="809"/>
      <c r="BI251" s="809"/>
      <c r="BJ251" s="809"/>
      <c r="BK251" s="809"/>
      <c r="BL251" s="809"/>
      <c r="BM251" s="809"/>
      <c r="BN251" s="809"/>
      <c r="BO251" s="809"/>
      <c r="BP251" s="809"/>
      <c r="BQ251" s="809"/>
      <c r="BR251" s="809"/>
      <c r="BS251" s="809"/>
      <c r="BT251" s="809"/>
      <c r="BU251" s="809"/>
      <c r="BV251" s="809"/>
      <c r="BW251" s="809"/>
      <c r="BX251" s="809"/>
    </row>
    <row r="252" spans="1:76">
      <c r="A252" s="1203" t="s">
        <v>1674</v>
      </c>
      <c r="B252" s="1204" t="s">
        <v>1675</v>
      </c>
      <c r="C252" s="510" t="s">
        <v>405</v>
      </c>
      <c r="D252" s="895">
        <v>0</v>
      </c>
      <c r="E252" s="744">
        <v>0</v>
      </c>
      <c r="F252" s="791">
        <f t="shared" si="21"/>
        <v>0</v>
      </c>
      <c r="G252" s="434"/>
      <c r="H252" s="779"/>
      <c r="I252" s="761">
        <f t="shared" si="18"/>
        <v>0</v>
      </c>
      <c r="J252" s="761">
        <f t="shared" si="19"/>
        <v>0</v>
      </c>
      <c r="K252" s="761">
        <f t="shared" si="20"/>
        <v>0</v>
      </c>
      <c r="L252" s="1277"/>
      <c r="M252" s="805"/>
      <c r="N252" s="809"/>
      <c r="O252" s="809"/>
      <c r="P252" s="809"/>
      <c r="Q252" s="809"/>
      <c r="R252" s="809"/>
      <c r="S252" s="809"/>
      <c r="T252" s="809"/>
      <c r="U252" s="809"/>
      <c r="V252" s="809"/>
      <c r="W252" s="809"/>
      <c r="X252" s="809"/>
      <c r="Y252" s="809"/>
      <c r="Z252" s="809"/>
      <c r="AA252" s="809"/>
      <c r="AB252" s="809"/>
      <c r="AC252" s="809"/>
      <c r="AD252" s="809"/>
      <c r="AE252" s="809"/>
      <c r="AF252" s="809"/>
      <c r="AG252" s="809"/>
      <c r="AH252" s="809"/>
      <c r="AI252" s="809"/>
      <c r="AJ252" s="809"/>
      <c r="AK252" s="809"/>
      <c r="AL252" s="809"/>
      <c r="AM252" s="809"/>
      <c r="AN252" s="809"/>
      <c r="AO252" s="809"/>
      <c r="AP252" s="809"/>
      <c r="AQ252" s="809"/>
      <c r="AR252" s="809"/>
      <c r="AS252" s="809"/>
      <c r="AT252" s="809"/>
      <c r="AU252" s="809"/>
      <c r="AV252" s="809"/>
      <c r="AW252" s="809"/>
      <c r="AX252" s="809"/>
      <c r="AY252" s="809"/>
      <c r="AZ252" s="809"/>
      <c r="BA252" s="809"/>
      <c r="BB252" s="809"/>
      <c r="BC252" s="809"/>
      <c r="BD252" s="809"/>
      <c r="BE252" s="809"/>
      <c r="BF252" s="809"/>
      <c r="BG252" s="809"/>
      <c r="BH252" s="809"/>
      <c r="BI252" s="809"/>
      <c r="BJ252" s="809"/>
      <c r="BK252" s="809"/>
      <c r="BL252" s="809"/>
      <c r="BM252" s="809"/>
      <c r="BN252" s="809"/>
      <c r="BO252" s="809"/>
      <c r="BP252" s="809"/>
      <c r="BQ252" s="809"/>
      <c r="BR252" s="809"/>
      <c r="BS252" s="809"/>
      <c r="BT252" s="809"/>
      <c r="BU252" s="809"/>
      <c r="BV252" s="809"/>
      <c r="BW252" s="809"/>
      <c r="BX252" s="809"/>
    </row>
    <row r="253" spans="1:76">
      <c r="A253" s="1205">
        <v>14.2</v>
      </c>
      <c r="B253" s="1206" t="s">
        <v>1676</v>
      </c>
      <c r="C253" s="811"/>
      <c r="D253" s="895">
        <v>0</v>
      </c>
      <c r="E253" s="744">
        <v>0</v>
      </c>
      <c r="F253" s="791">
        <f t="shared" si="21"/>
        <v>0</v>
      </c>
      <c r="G253" s="434"/>
      <c r="H253" s="779"/>
      <c r="I253" s="761">
        <f t="shared" si="18"/>
        <v>0</v>
      </c>
      <c r="J253" s="761">
        <f t="shared" si="19"/>
        <v>0</v>
      </c>
      <c r="K253" s="761">
        <f t="shared" si="20"/>
        <v>0</v>
      </c>
      <c r="L253" s="1277"/>
      <c r="M253" s="805"/>
      <c r="N253" s="809"/>
      <c r="O253" s="809"/>
      <c r="P253" s="809"/>
      <c r="Q253" s="809"/>
      <c r="R253" s="809"/>
      <c r="S253" s="809"/>
      <c r="T253" s="809"/>
      <c r="U253" s="809"/>
      <c r="V253" s="809"/>
      <c r="W253" s="809"/>
      <c r="X253" s="809"/>
      <c r="Y253" s="809"/>
      <c r="Z253" s="809"/>
      <c r="AA253" s="809"/>
      <c r="AB253" s="809"/>
      <c r="AC253" s="809"/>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09"/>
      <c r="AY253" s="809"/>
      <c r="AZ253" s="809"/>
      <c r="BA253" s="809"/>
      <c r="BB253" s="809"/>
      <c r="BC253" s="809"/>
      <c r="BD253" s="809"/>
      <c r="BE253" s="809"/>
      <c r="BF253" s="809"/>
      <c r="BG253" s="809"/>
      <c r="BH253" s="809"/>
      <c r="BI253" s="809"/>
      <c r="BJ253" s="809"/>
      <c r="BK253" s="809"/>
      <c r="BL253" s="809"/>
      <c r="BM253" s="809"/>
      <c r="BN253" s="809"/>
      <c r="BO253" s="809"/>
      <c r="BP253" s="809"/>
      <c r="BQ253" s="809"/>
      <c r="BR253" s="809"/>
      <c r="BS253" s="809"/>
      <c r="BT253" s="809"/>
      <c r="BU253" s="809"/>
      <c r="BV253" s="809"/>
      <c r="BW253" s="809"/>
      <c r="BX253" s="809"/>
    </row>
    <row r="254" spans="1:76">
      <c r="A254" s="1207"/>
      <c r="B254" s="1208"/>
      <c r="C254" s="787"/>
      <c r="D254" s="893"/>
      <c r="E254" s="763"/>
      <c r="F254" s="791">
        <f t="shared" si="21"/>
        <v>0</v>
      </c>
      <c r="G254" s="434"/>
      <c r="H254" s="781"/>
      <c r="I254" s="761">
        <f t="shared" si="18"/>
        <v>0</v>
      </c>
      <c r="J254" s="761">
        <f t="shared" si="19"/>
        <v>0</v>
      </c>
      <c r="K254" s="761">
        <f t="shared" si="20"/>
        <v>0</v>
      </c>
      <c r="L254" s="1277"/>
      <c r="M254" s="805"/>
      <c r="N254" s="809"/>
      <c r="O254" s="809"/>
      <c r="P254" s="809"/>
      <c r="Q254" s="809"/>
      <c r="R254" s="809"/>
      <c r="S254" s="809"/>
      <c r="T254" s="809"/>
      <c r="U254" s="809"/>
      <c r="V254" s="809"/>
      <c r="W254" s="809"/>
      <c r="X254" s="809"/>
      <c r="Y254" s="809"/>
      <c r="Z254" s="809"/>
      <c r="AA254" s="809"/>
      <c r="AB254" s="809"/>
      <c r="AC254" s="809"/>
      <c r="AD254" s="809"/>
      <c r="AE254" s="809"/>
      <c r="AF254" s="809"/>
      <c r="AG254" s="809"/>
      <c r="AH254" s="809"/>
      <c r="AI254" s="809"/>
      <c r="AJ254" s="809"/>
      <c r="AK254" s="809"/>
      <c r="AL254" s="809"/>
      <c r="AM254" s="809"/>
      <c r="AN254" s="809"/>
      <c r="AO254" s="809"/>
      <c r="AP254" s="809"/>
      <c r="AQ254" s="809"/>
      <c r="AR254" s="809"/>
      <c r="AS254" s="809"/>
      <c r="AT254" s="809"/>
      <c r="AU254" s="809"/>
      <c r="AV254" s="809"/>
      <c r="AW254" s="809"/>
      <c r="AX254" s="809"/>
      <c r="AY254" s="809"/>
      <c r="AZ254" s="809"/>
      <c r="BA254" s="809"/>
      <c r="BB254" s="809"/>
      <c r="BC254" s="809"/>
      <c r="BD254" s="809"/>
      <c r="BE254" s="809"/>
      <c r="BF254" s="809"/>
      <c r="BG254" s="809"/>
      <c r="BH254" s="809"/>
      <c r="BI254" s="809"/>
      <c r="BJ254" s="809"/>
      <c r="BK254" s="809"/>
      <c r="BL254" s="809"/>
      <c r="BM254" s="809"/>
      <c r="BN254" s="809"/>
      <c r="BO254" s="809"/>
      <c r="BP254" s="809"/>
      <c r="BQ254" s="809"/>
      <c r="BR254" s="809"/>
      <c r="BS254" s="809"/>
      <c r="BT254" s="809"/>
      <c r="BU254" s="809"/>
      <c r="BV254" s="809"/>
      <c r="BW254" s="809"/>
      <c r="BX254" s="809"/>
    </row>
    <row r="255" spans="1:76" ht="94.5">
      <c r="A255" s="1209" t="s">
        <v>1677</v>
      </c>
      <c r="B255" s="1139" t="s">
        <v>1678</v>
      </c>
      <c r="C255" s="787" t="s">
        <v>11</v>
      </c>
      <c r="D255" s="893">
        <v>5</v>
      </c>
      <c r="E255" s="763">
        <v>0</v>
      </c>
      <c r="F255" s="791">
        <f t="shared" si="21"/>
        <v>0</v>
      </c>
      <c r="G255" s="434"/>
      <c r="H255" s="781">
        <v>400</v>
      </c>
      <c r="I255" s="761">
        <f t="shared" si="18"/>
        <v>0</v>
      </c>
      <c r="J255" s="761">
        <f t="shared" si="19"/>
        <v>0</v>
      </c>
      <c r="K255" s="761">
        <f t="shared" si="20"/>
        <v>0</v>
      </c>
      <c r="L255" s="1277"/>
      <c r="M255" s="805"/>
      <c r="N255" s="809"/>
      <c r="O255" s="809"/>
      <c r="P255" s="809"/>
      <c r="Q255" s="809"/>
      <c r="R255" s="809"/>
      <c r="S255" s="809"/>
      <c r="T255" s="809"/>
      <c r="U255" s="809"/>
      <c r="V255" s="809"/>
      <c r="W255" s="809"/>
      <c r="X255" s="809"/>
      <c r="Y255" s="809"/>
      <c r="Z255" s="809"/>
      <c r="AA255" s="809"/>
      <c r="AB255" s="809"/>
      <c r="AC255" s="809"/>
      <c r="AD255" s="809"/>
      <c r="AE255" s="809"/>
      <c r="AF255" s="809"/>
      <c r="AG255" s="809"/>
      <c r="AH255" s="809"/>
      <c r="AI255" s="809"/>
      <c r="AJ255" s="809"/>
      <c r="AK255" s="809"/>
      <c r="AL255" s="809"/>
      <c r="AM255" s="809"/>
      <c r="AN255" s="809"/>
      <c r="AO255" s="809"/>
      <c r="AP255" s="809"/>
      <c r="AQ255" s="809"/>
      <c r="AR255" s="809"/>
      <c r="AS255" s="809"/>
      <c r="AT255" s="809"/>
      <c r="AU255" s="809"/>
      <c r="AV255" s="809"/>
      <c r="AW255" s="809"/>
      <c r="AX255" s="809"/>
      <c r="AY255" s="809"/>
      <c r="AZ255" s="809"/>
      <c r="BA255" s="809"/>
      <c r="BB255" s="809"/>
      <c r="BC255" s="809"/>
      <c r="BD255" s="809"/>
      <c r="BE255" s="809"/>
      <c r="BF255" s="809"/>
      <c r="BG255" s="809"/>
      <c r="BH255" s="809"/>
      <c r="BI255" s="809"/>
      <c r="BJ255" s="809"/>
      <c r="BK255" s="809"/>
      <c r="BL255" s="809"/>
      <c r="BM255" s="809"/>
      <c r="BN255" s="809"/>
      <c r="BO255" s="809"/>
      <c r="BP255" s="809"/>
      <c r="BQ255" s="809"/>
      <c r="BR255" s="809"/>
      <c r="BS255" s="809"/>
      <c r="BT255" s="809"/>
      <c r="BU255" s="809"/>
      <c r="BV255" s="809"/>
      <c r="BW255" s="809"/>
      <c r="BX255" s="809"/>
    </row>
    <row r="256" spans="1:76">
      <c r="A256" s="1207"/>
      <c r="B256" s="516"/>
      <c r="C256" s="787"/>
      <c r="D256" s="893"/>
      <c r="E256" s="763"/>
      <c r="F256" s="791">
        <f t="shared" si="21"/>
        <v>0</v>
      </c>
      <c r="G256" s="434"/>
      <c r="H256" s="781"/>
      <c r="I256" s="761">
        <f t="shared" si="18"/>
        <v>0</v>
      </c>
      <c r="J256" s="761">
        <f t="shared" si="19"/>
        <v>0</v>
      </c>
      <c r="K256" s="761">
        <f t="shared" si="20"/>
        <v>0</v>
      </c>
      <c r="L256" s="1269"/>
    </row>
    <row r="257" spans="1:76">
      <c r="A257" s="1158">
        <v>14.3</v>
      </c>
      <c r="B257" s="716" t="s">
        <v>585</v>
      </c>
      <c r="C257" s="510"/>
      <c r="D257" s="895">
        <v>0</v>
      </c>
      <c r="E257" s="744">
        <v>0</v>
      </c>
      <c r="F257" s="791">
        <f t="shared" si="21"/>
        <v>0</v>
      </c>
      <c r="G257" s="434"/>
      <c r="H257" s="779"/>
      <c r="I257" s="761">
        <f t="shared" si="18"/>
        <v>0</v>
      </c>
      <c r="J257" s="761">
        <f t="shared" si="19"/>
        <v>0</v>
      </c>
      <c r="K257" s="761">
        <f t="shared" si="20"/>
        <v>0</v>
      </c>
      <c r="L257" s="1269"/>
    </row>
    <row r="258" spans="1:76">
      <c r="A258" s="1158">
        <v>14.4</v>
      </c>
      <c r="B258" s="716" t="s">
        <v>587</v>
      </c>
      <c r="C258" s="1322" t="s">
        <v>350</v>
      </c>
      <c r="D258" s="896">
        <v>0</v>
      </c>
      <c r="E258" s="434">
        <v>0</v>
      </c>
      <c r="F258" s="791">
        <f t="shared" si="21"/>
        <v>0</v>
      </c>
      <c r="G258" s="434"/>
      <c r="H258" s="779"/>
      <c r="I258" s="772">
        <f t="shared" si="18"/>
        <v>0</v>
      </c>
      <c r="J258" s="772">
        <f t="shared" si="19"/>
        <v>0</v>
      </c>
      <c r="K258" s="761">
        <f t="shared" si="20"/>
        <v>0</v>
      </c>
      <c r="L258" s="1269"/>
    </row>
    <row r="259" spans="1:76" ht="249.95" customHeight="1">
      <c r="A259" s="1210" t="s">
        <v>588</v>
      </c>
      <c r="B259" s="1139" t="s">
        <v>589</v>
      </c>
      <c r="C259" s="1323"/>
      <c r="D259" s="896">
        <v>4221</v>
      </c>
      <c r="E259" s="434">
        <v>3955.86</v>
      </c>
      <c r="F259" s="791">
        <f t="shared" si="21"/>
        <v>0</v>
      </c>
      <c r="G259" s="434">
        <f>MB!G3741</f>
        <v>3955.8600000000006</v>
      </c>
      <c r="H259" s="779">
        <v>1180</v>
      </c>
      <c r="I259" s="772">
        <f t="shared" si="18"/>
        <v>4667915</v>
      </c>
      <c r="J259" s="772">
        <f t="shared" si="19"/>
        <v>0</v>
      </c>
      <c r="K259" s="761">
        <f t="shared" si="20"/>
        <v>4667915</v>
      </c>
      <c r="L259" s="1269"/>
    </row>
    <row r="260" spans="1:76" ht="47.25">
      <c r="A260" s="1211"/>
      <c r="B260" s="516" t="s">
        <v>590</v>
      </c>
      <c r="C260" s="510"/>
      <c r="D260" s="896">
        <v>0</v>
      </c>
      <c r="E260" s="434">
        <v>0</v>
      </c>
      <c r="F260" s="791">
        <f t="shared" si="21"/>
        <v>0</v>
      </c>
      <c r="G260" s="434"/>
      <c r="H260" s="779"/>
      <c r="I260" s="772">
        <f t="shared" si="18"/>
        <v>0</v>
      </c>
      <c r="J260" s="772">
        <f t="shared" si="19"/>
        <v>0</v>
      </c>
      <c r="K260" s="761">
        <f t="shared" si="20"/>
        <v>0</v>
      </c>
      <c r="L260" s="1269"/>
    </row>
    <row r="261" spans="1:76">
      <c r="A261" s="1158"/>
      <c r="B261" s="1153"/>
      <c r="C261" s="798"/>
      <c r="D261" s="895">
        <v>0</v>
      </c>
      <c r="E261" s="744">
        <v>0</v>
      </c>
      <c r="F261" s="791">
        <f t="shared" si="21"/>
        <v>0</v>
      </c>
      <c r="G261" s="434"/>
      <c r="H261" s="779"/>
      <c r="I261" s="761">
        <f t="shared" si="18"/>
        <v>0</v>
      </c>
      <c r="J261" s="761">
        <f t="shared" si="19"/>
        <v>0</v>
      </c>
      <c r="K261" s="761">
        <f t="shared" si="20"/>
        <v>0</v>
      </c>
      <c r="L261" s="1269"/>
    </row>
    <row r="262" spans="1:76">
      <c r="A262" s="1158">
        <v>14.5</v>
      </c>
      <c r="B262" s="1202" t="s">
        <v>1679</v>
      </c>
      <c r="C262" s="798"/>
      <c r="D262" s="895"/>
      <c r="E262" s="744">
        <v>0</v>
      </c>
      <c r="F262" s="791">
        <f t="shared" si="21"/>
        <v>0</v>
      </c>
      <c r="G262" s="434"/>
      <c r="H262" s="779"/>
      <c r="I262" s="761">
        <f t="shared" si="18"/>
        <v>0</v>
      </c>
      <c r="J262" s="761">
        <f t="shared" si="19"/>
        <v>0</v>
      </c>
      <c r="K262" s="761">
        <f t="shared" si="20"/>
        <v>0</v>
      </c>
      <c r="L262" s="1277"/>
      <c r="M262" s="805"/>
      <c r="N262" s="812"/>
      <c r="O262" s="812"/>
      <c r="P262" s="812"/>
      <c r="Q262" s="812"/>
      <c r="R262" s="812"/>
      <c r="S262" s="812"/>
      <c r="T262" s="812"/>
      <c r="U262" s="812"/>
      <c r="V262" s="812"/>
      <c r="W262" s="812"/>
      <c r="X262" s="812"/>
      <c r="Y262" s="812"/>
      <c r="Z262" s="812"/>
      <c r="AA262" s="812"/>
      <c r="AB262" s="812"/>
      <c r="AC262" s="812"/>
      <c r="AD262" s="812"/>
      <c r="AE262" s="812"/>
      <c r="AF262" s="812"/>
      <c r="AG262" s="812"/>
      <c r="AH262" s="812"/>
      <c r="AI262" s="812"/>
      <c r="AJ262" s="812"/>
      <c r="AK262" s="812"/>
      <c r="AL262" s="812"/>
      <c r="AM262" s="812"/>
      <c r="AN262" s="812"/>
      <c r="AO262" s="812"/>
      <c r="AP262" s="812"/>
      <c r="AQ262" s="812"/>
      <c r="AR262" s="812"/>
      <c r="AS262" s="812"/>
      <c r="AT262" s="812"/>
      <c r="AU262" s="812"/>
      <c r="AV262" s="812"/>
      <c r="AW262" s="812"/>
      <c r="AX262" s="812"/>
      <c r="AY262" s="812"/>
      <c r="AZ262" s="812"/>
      <c r="BA262" s="812"/>
      <c r="BB262" s="812"/>
      <c r="BC262" s="812"/>
      <c r="BD262" s="812"/>
      <c r="BE262" s="812"/>
      <c r="BF262" s="812"/>
      <c r="BG262" s="812"/>
      <c r="BH262" s="812"/>
      <c r="BI262" s="812"/>
      <c r="BJ262" s="812"/>
      <c r="BK262" s="812"/>
      <c r="BL262" s="812"/>
      <c r="BM262" s="812"/>
      <c r="BN262" s="812"/>
      <c r="BO262" s="812"/>
      <c r="BP262" s="812"/>
      <c r="BQ262" s="812"/>
      <c r="BR262" s="812"/>
      <c r="BS262" s="812"/>
      <c r="BT262" s="812"/>
      <c r="BU262" s="812"/>
      <c r="BV262" s="812"/>
      <c r="BW262" s="812"/>
      <c r="BX262" s="812"/>
    </row>
    <row r="263" spans="1:76">
      <c r="A263" s="1203"/>
      <c r="B263" s="1202"/>
      <c r="C263" s="510"/>
      <c r="D263" s="895"/>
      <c r="E263" s="744"/>
      <c r="F263" s="791">
        <f t="shared" si="21"/>
        <v>0</v>
      </c>
      <c r="G263" s="434"/>
      <c r="H263" s="779"/>
      <c r="I263" s="761">
        <f t="shared" si="18"/>
        <v>0</v>
      </c>
      <c r="J263" s="761">
        <f t="shared" si="19"/>
        <v>0</v>
      </c>
      <c r="K263" s="761">
        <f t="shared" si="20"/>
        <v>0</v>
      </c>
      <c r="L263" s="1277"/>
      <c r="M263" s="805"/>
      <c r="N263" s="812"/>
      <c r="O263" s="812"/>
      <c r="P263" s="812"/>
      <c r="Q263" s="812"/>
      <c r="R263" s="812"/>
      <c r="S263" s="812"/>
      <c r="T263" s="812"/>
      <c r="U263" s="812"/>
      <c r="V263" s="812"/>
      <c r="W263" s="812"/>
      <c r="X263" s="812"/>
      <c r="Y263" s="812"/>
      <c r="Z263" s="812"/>
      <c r="AA263" s="812"/>
      <c r="AB263" s="812"/>
      <c r="AC263" s="812"/>
      <c r="AD263" s="812"/>
      <c r="AE263" s="812"/>
      <c r="AF263" s="812"/>
      <c r="AG263" s="812"/>
      <c r="AH263" s="812"/>
      <c r="AI263" s="812"/>
      <c r="AJ263" s="812"/>
      <c r="AK263" s="812"/>
      <c r="AL263" s="812"/>
      <c r="AM263" s="812"/>
      <c r="AN263" s="812"/>
      <c r="AO263" s="812"/>
      <c r="AP263" s="812"/>
      <c r="AQ263" s="812"/>
      <c r="AR263" s="812"/>
      <c r="AS263" s="812"/>
      <c r="AT263" s="812"/>
      <c r="AU263" s="812"/>
      <c r="AV263" s="812"/>
      <c r="AW263" s="812"/>
      <c r="AX263" s="812"/>
      <c r="AY263" s="812"/>
      <c r="AZ263" s="812"/>
      <c r="BA263" s="812"/>
      <c r="BB263" s="812"/>
      <c r="BC263" s="812"/>
      <c r="BD263" s="812"/>
      <c r="BE263" s="812"/>
      <c r="BF263" s="812"/>
      <c r="BG263" s="812"/>
      <c r="BH263" s="812"/>
      <c r="BI263" s="812"/>
      <c r="BJ263" s="812"/>
      <c r="BK263" s="812"/>
      <c r="BL263" s="812"/>
      <c r="BM263" s="812"/>
      <c r="BN263" s="812"/>
      <c r="BO263" s="812"/>
      <c r="BP263" s="812"/>
      <c r="BQ263" s="812"/>
      <c r="BR263" s="812"/>
      <c r="BS263" s="812"/>
      <c r="BT263" s="812"/>
      <c r="BU263" s="812"/>
      <c r="BV263" s="812"/>
      <c r="BW263" s="812"/>
      <c r="BX263" s="812"/>
    </row>
    <row r="264" spans="1:76" ht="78.75">
      <c r="A264" s="1203" t="s">
        <v>1485</v>
      </c>
      <c r="B264" s="1139" t="s">
        <v>2300</v>
      </c>
      <c r="C264" s="510" t="s">
        <v>455</v>
      </c>
      <c r="D264" s="895">
        <v>25</v>
      </c>
      <c r="E264" s="744">
        <v>15.4</v>
      </c>
      <c r="F264" s="791">
        <f t="shared" si="21"/>
        <v>0</v>
      </c>
      <c r="G264" s="434">
        <f>MB!G3749</f>
        <v>15.399999999999999</v>
      </c>
      <c r="H264" s="779">
        <v>2400</v>
      </c>
      <c r="I264" s="761">
        <f t="shared" si="18"/>
        <v>36960</v>
      </c>
      <c r="J264" s="761">
        <f t="shared" si="19"/>
        <v>0</v>
      </c>
      <c r="K264" s="761">
        <f t="shared" si="20"/>
        <v>36960</v>
      </c>
      <c r="L264" s="1277"/>
      <c r="M264" s="805"/>
      <c r="N264" s="812"/>
      <c r="O264" s="812"/>
      <c r="P264" s="812"/>
      <c r="Q264" s="812"/>
      <c r="R264" s="812"/>
      <c r="S264" s="812"/>
      <c r="T264" s="812"/>
      <c r="U264" s="812"/>
      <c r="V264" s="812"/>
      <c r="W264" s="812"/>
      <c r="X264" s="812"/>
      <c r="Y264" s="812"/>
      <c r="Z264" s="812"/>
      <c r="AA264" s="812"/>
      <c r="AB264" s="812"/>
      <c r="AC264" s="812"/>
      <c r="AD264" s="812"/>
      <c r="AE264" s="812"/>
      <c r="AF264" s="812"/>
      <c r="AG264" s="812"/>
      <c r="AH264" s="812"/>
      <c r="AI264" s="812"/>
      <c r="AJ264" s="812"/>
      <c r="AK264" s="812"/>
      <c r="AL264" s="812"/>
      <c r="AM264" s="812"/>
      <c r="AN264" s="812"/>
      <c r="AO264" s="812"/>
      <c r="AP264" s="812"/>
      <c r="AQ264" s="812"/>
      <c r="AR264" s="812"/>
      <c r="AS264" s="812"/>
      <c r="AT264" s="812"/>
      <c r="AU264" s="812"/>
      <c r="AV264" s="812"/>
      <c r="AW264" s="812"/>
      <c r="AX264" s="812"/>
      <c r="AY264" s="812"/>
      <c r="AZ264" s="812"/>
      <c r="BA264" s="812"/>
      <c r="BB264" s="812"/>
      <c r="BC264" s="812"/>
      <c r="BD264" s="812"/>
      <c r="BE264" s="812"/>
      <c r="BF264" s="812"/>
      <c r="BG264" s="812"/>
      <c r="BH264" s="812"/>
      <c r="BI264" s="812"/>
      <c r="BJ264" s="812"/>
      <c r="BK264" s="812"/>
      <c r="BL264" s="812"/>
      <c r="BM264" s="812"/>
      <c r="BN264" s="812"/>
      <c r="BO264" s="812"/>
      <c r="BP264" s="812"/>
      <c r="BQ264" s="812"/>
      <c r="BR264" s="812"/>
      <c r="BS264" s="812"/>
      <c r="BT264" s="812"/>
      <c r="BU264" s="812"/>
      <c r="BV264" s="812"/>
      <c r="BW264" s="812"/>
      <c r="BX264" s="812"/>
    </row>
    <row r="265" spans="1:76" hidden="1">
      <c r="A265" s="1212"/>
      <c r="B265" s="1213"/>
      <c r="C265" s="813"/>
      <c r="D265" s="895"/>
      <c r="E265" s="744">
        <v>0</v>
      </c>
      <c r="F265" s="791">
        <f t="shared" si="21"/>
        <v>0</v>
      </c>
      <c r="G265" s="434"/>
      <c r="H265" s="779"/>
      <c r="I265" s="761">
        <f t="shared" si="18"/>
        <v>0</v>
      </c>
      <c r="J265" s="761">
        <f t="shared" si="19"/>
        <v>0</v>
      </c>
      <c r="K265" s="761">
        <f t="shared" si="20"/>
        <v>0</v>
      </c>
      <c r="L265" s="1277"/>
      <c r="M265" s="805"/>
      <c r="N265" s="812"/>
      <c r="O265" s="812"/>
      <c r="P265" s="812"/>
      <c r="Q265" s="812"/>
      <c r="R265" s="812"/>
      <c r="S265" s="812"/>
      <c r="T265" s="812"/>
      <c r="U265" s="812"/>
      <c r="V265" s="812"/>
      <c r="W265" s="812"/>
      <c r="X265" s="812"/>
      <c r="Y265" s="812"/>
      <c r="Z265" s="812"/>
      <c r="AA265" s="812"/>
      <c r="AB265" s="812"/>
      <c r="AC265" s="812"/>
      <c r="AD265" s="812"/>
      <c r="AE265" s="812"/>
      <c r="AF265" s="812"/>
      <c r="AG265" s="812"/>
      <c r="AH265" s="812"/>
      <c r="AI265" s="812"/>
      <c r="AJ265" s="812"/>
      <c r="AK265" s="812"/>
      <c r="AL265" s="812"/>
      <c r="AM265" s="812"/>
      <c r="AN265" s="812"/>
      <c r="AO265" s="812"/>
      <c r="AP265" s="812"/>
      <c r="AQ265" s="812"/>
      <c r="AR265" s="812"/>
      <c r="AS265" s="812"/>
      <c r="AT265" s="812"/>
      <c r="AU265" s="812"/>
      <c r="AV265" s="812"/>
      <c r="AW265" s="812"/>
      <c r="AX265" s="812"/>
      <c r="AY265" s="812"/>
      <c r="AZ265" s="812"/>
      <c r="BA265" s="812"/>
      <c r="BB265" s="812"/>
      <c r="BC265" s="812"/>
      <c r="BD265" s="812"/>
      <c r="BE265" s="812"/>
      <c r="BF265" s="812"/>
      <c r="BG265" s="812"/>
      <c r="BH265" s="812"/>
      <c r="BI265" s="812"/>
      <c r="BJ265" s="812"/>
      <c r="BK265" s="812"/>
      <c r="BL265" s="812"/>
      <c r="BM265" s="812"/>
      <c r="BN265" s="812"/>
      <c r="BO265" s="812"/>
      <c r="BP265" s="812"/>
      <c r="BQ265" s="812"/>
      <c r="BR265" s="812"/>
      <c r="BS265" s="812"/>
      <c r="BT265" s="812"/>
      <c r="BU265" s="812"/>
      <c r="BV265" s="812"/>
      <c r="BW265" s="812"/>
      <c r="BX265" s="812"/>
    </row>
    <row r="266" spans="1:76" hidden="1">
      <c r="A266" s="1158">
        <v>14.6</v>
      </c>
      <c r="B266" s="1204" t="s">
        <v>1680</v>
      </c>
      <c r="C266" s="813"/>
      <c r="D266" s="895"/>
      <c r="E266" s="744">
        <v>0</v>
      </c>
      <c r="F266" s="791">
        <f t="shared" si="21"/>
        <v>0</v>
      </c>
      <c r="G266" s="434"/>
      <c r="H266" s="779"/>
      <c r="I266" s="761">
        <f t="shared" si="18"/>
        <v>0</v>
      </c>
      <c r="J266" s="761">
        <f t="shared" si="19"/>
        <v>0</v>
      </c>
      <c r="K266" s="761">
        <f t="shared" si="20"/>
        <v>0</v>
      </c>
      <c r="L266" s="1277"/>
      <c r="M266" s="805"/>
      <c r="N266" s="812"/>
      <c r="O266" s="812"/>
      <c r="P266" s="812"/>
      <c r="Q266" s="812"/>
      <c r="R266" s="812"/>
      <c r="S266" s="812"/>
      <c r="T266" s="812"/>
      <c r="U266" s="812"/>
      <c r="V266" s="812"/>
      <c r="W266" s="812"/>
      <c r="X266" s="812"/>
      <c r="Y266" s="812"/>
      <c r="Z266" s="812"/>
      <c r="AA266" s="812"/>
      <c r="AB266" s="812"/>
      <c r="AC266" s="812"/>
      <c r="AD266" s="812"/>
      <c r="AE266" s="812"/>
      <c r="AF266" s="812"/>
      <c r="AG266" s="812"/>
      <c r="AH266" s="812"/>
      <c r="AI266" s="812"/>
      <c r="AJ266" s="812"/>
      <c r="AK266" s="812"/>
      <c r="AL266" s="812"/>
      <c r="AM266" s="812"/>
      <c r="AN266" s="812"/>
      <c r="AO266" s="812"/>
      <c r="AP266" s="812"/>
      <c r="AQ266" s="812"/>
      <c r="AR266" s="812"/>
      <c r="AS266" s="812"/>
      <c r="AT266" s="812"/>
      <c r="AU266" s="812"/>
      <c r="AV266" s="812"/>
      <c r="AW266" s="812"/>
      <c r="AX266" s="812"/>
      <c r="AY266" s="812"/>
      <c r="AZ266" s="812"/>
      <c r="BA266" s="812"/>
      <c r="BB266" s="812"/>
      <c r="BC266" s="812"/>
      <c r="BD266" s="812"/>
      <c r="BE266" s="812"/>
      <c r="BF266" s="812"/>
      <c r="BG266" s="812"/>
      <c r="BH266" s="812"/>
      <c r="BI266" s="812"/>
      <c r="BJ266" s="812"/>
      <c r="BK266" s="812"/>
      <c r="BL266" s="812"/>
      <c r="BM266" s="812"/>
      <c r="BN266" s="812"/>
      <c r="BO266" s="812"/>
      <c r="BP266" s="812"/>
      <c r="BQ266" s="812"/>
      <c r="BR266" s="812"/>
      <c r="BS266" s="812"/>
      <c r="BT266" s="812"/>
      <c r="BU266" s="812"/>
      <c r="BV266" s="812"/>
      <c r="BW266" s="812"/>
      <c r="BX266" s="812"/>
    </row>
    <row r="267" spans="1:76" ht="94.5" hidden="1">
      <c r="A267" s="1203"/>
      <c r="B267" s="1139" t="s">
        <v>1681</v>
      </c>
      <c r="C267" s="814"/>
      <c r="D267" s="895"/>
      <c r="E267" s="744">
        <v>0</v>
      </c>
      <c r="F267" s="791">
        <f t="shared" si="21"/>
        <v>0</v>
      </c>
      <c r="G267" s="434"/>
      <c r="H267" s="779"/>
      <c r="I267" s="761">
        <f t="shared" si="18"/>
        <v>0</v>
      </c>
      <c r="J267" s="761">
        <f t="shared" si="19"/>
        <v>0</v>
      </c>
      <c r="K267" s="761">
        <f t="shared" si="20"/>
        <v>0</v>
      </c>
      <c r="L267" s="1277"/>
      <c r="M267" s="805"/>
      <c r="N267" s="812"/>
      <c r="O267" s="812"/>
      <c r="P267" s="812"/>
      <c r="Q267" s="812"/>
      <c r="R267" s="812"/>
      <c r="S267" s="812"/>
      <c r="T267" s="812"/>
      <c r="U267" s="812"/>
      <c r="V267" s="812"/>
      <c r="W267" s="812"/>
      <c r="X267" s="812"/>
      <c r="Y267" s="812"/>
      <c r="Z267" s="812"/>
      <c r="AA267" s="812"/>
      <c r="AB267" s="812"/>
      <c r="AC267" s="812"/>
      <c r="AD267" s="812"/>
      <c r="AE267" s="812"/>
      <c r="AF267" s="812"/>
      <c r="AG267" s="812"/>
      <c r="AH267" s="812"/>
      <c r="AI267" s="812"/>
      <c r="AJ267" s="812"/>
      <c r="AK267" s="812"/>
      <c r="AL267" s="812"/>
      <c r="AM267" s="812"/>
      <c r="AN267" s="812"/>
      <c r="AO267" s="812"/>
      <c r="AP267" s="812"/>
      <c r="AQ267" s="812"/>
      <c r="AR267" s="812"/>
      <c r="AS267" s="812"/>
      <c r="AT267" s="812"/>
      <c r="AU267" s="812"/>
      <c r="AV267" s="812"/>
      <c r="AW267" s="812"/>
      <c r="AX267" s="812"/>
      <c r="AY267" s="812"/>
      <c r="AZ267" s="812"/>
      <c r="BA267" s="812"/>
      <c r="BB267" s="812"/>
      <c r="BC267" s="812"/>
      <c r="BD267" s="812"/>
      <c r="BE267" s="812"/>
      <c r="BF267" s="812"/>
      <c r="BG267" s="812"/>
      <c r="BH267" s="812"/>
      <c r="BI267" s="812"/>
      <c r="BJ267" s="812"/>
      <c r="BK267" s="812"/>
      <c r="BL267" s="812"/>
      <c r="BM267" s="812"/>
      <c r="BN267" s="812"/>
      <c r="BO267" s="812"/>
      <c r="BP267" s="812"/>
      <c r="BQ267" s="812"/>
      <c r="BR267" s="812"/>
      <c r="BS267" s="812"/>
      <c r="BT267" s="812"/>
      <c r="BU267" s="812"/>
      <c r="BV267" s="812"/>
      <c r="BW267" s="812"/>
      <c r="BX267" s="812"/>
    </row>
    <row r="268" spans="1:76" hidden="1">
      <c r="A268" s="1203" t="s">
        <v>1682</v>
      </c>
      <c r="B268" s="1204" t="s">
        <v>1683</v>
      </c>
      <c r="C268" s="814" t="s">
        <v>455</v>
      </c>
      <c r="D268" s="895"/>
      <c r="E268" s="744">
        <v>0</v>
      </c>
      <c r="F268" s="791">
        <f t="shared" si="21"/>
        <v>0</v>
      </c>
      <c r="G268" s="434"/>
      <c r="H268" s="779"/>
      <c r="I268" s="761">
        <f t="shared" si="18"/>
        <v>0</v>
      </c>
      <c r="J268" s="761">
        <f t="shared" si="19"/>
        <v>0</v>
      </c>
      <c r="K268" s="761">
        <f t="shared" si="20"/>
        <v>0</v>
      </c>
      <c r="L268" s="1277"/>
      <c r="M268" s="805"/>
      <c r="N268" s="812"/>
      <c r="O268" s="812"/>
      <c r="P268" s="812"/>
      <c r="Q268" s="812"/>
      <c r="R268" s="812"/>
      <c r="S268" s="812"/>
      <c r="T268" s="812"/>
      <c r="U268" s="812"/>
      <c r="V268" s="812"/>
      <c r="W268" s="812"/>
      <c r="X268" s="812"/>
      <c r="Y268" s="812"/>
      <c r="Z268" s="812"/>
      <c r="AA268" s="812"/>
      <c r="AB268" s="812"/>
      <c r="AC268" s="812"/>
      <c r="AD268" s="812"/>
      <c r="AE268" s="812"/>
      <c r="AF268" s="812"/>
      <c r="AG268" s="812"/>
      <c r="AH268" s="812"/>
      <c r="AI268" s="812"/>
      <c r="AJ268" s="812"/>
      <c r="AK268" s="812"/>
      <c r="AL268" s="812"/>
      <c r="AM268" s="812"/>
      <c r="AN268" s="812"/>
      <c r="AO268" s="812"/>
      <c r="AP268" s="812"/>
      <c r="AQ268" s="812"/>
      <c r="AR268" s="812"/>
      <c r="AS268" s="812"/>
      <c r="AT268" s="812"/>
      <c r="AU268" s="812"/>
      <c r="AV268" s="812"/>
      <c r="AW268" s="812"/>
      <c r="AX268" s="812"/>
      <c r="AY268" s="812"/>
      <c r="AZ268" s="812"/>
      <c r="BA268" s="812"/>
      <c r="BB268" s="812"/>
      <c r="BC268" s="812"/>
      <c r="BD268" s="812"/>
      <c r="BE268" s="812"/>
      <c r="BF268" s="812"/>
      <c r="BG268" s="812"/>
      <c r="BH268" s="812"/>
      <c r="BI268" s="812"/>
      <c r="BJ268" s="812"/>
      <c r="BK268" s="812"/>
      <c r="BL268" s="812"/>
      <c r="BM268" s="812"/>
      <c r="BN268" s="812"/>
      <c r="BO268" s="812"/>
      <c r="BP268" s="812"/>
      <c r="BQ268" s="812"/>
      <c r="BR268" s="812"/>
      <c r="BS268" s="812"/>
      <c r="BT268" s="812"/>
      <c r="BU268" s="812"/>
      <c r="BV268" s="812"/>
      <c r="BW268" s="812"/>
      <c r="BX268" s="812"/>
    </row>
    <row r="269" spans="1:76" hidden="1">
      <c r="A269" s="1203" t="s">
        <v>1684</v>
      </c>
      <c r="B269" s="1204" t="s">
        <v>1685</v>
      </c>
      <c r="C269" s="814" t="s">
        <v>455</v>
      </c>
      <c r="D269" s="895"/>
      <c r="E269" s="744">
        <v>0</v>
      </c>
      <c r="F269" s="791">
        <f t="shared" si="21"/>
        <v>0</v>
      </c>
      <c r="G269" s="434"/>
      <c r="H269" s="779"/>
      <c r="I269" s="761">
        <f t="shared" si="18"/>
        <v>0</v>
      </c>
      <c r="J269" s="761">
        <f t="shared" si="19"/>
        <v>0</v>
      </c>
      <c r="K269" s="761">
        <f t="shared" si="20"/>
        <v>0</v>
      </c>
      <c r="L269" s="1277"/>
      <c r="M269" s="805"/>
      <c r="N269" s="812"/>
      <c r="O269" s="812"/>
      <c r="P269" s="812"/>
      <c r="Q269" s="812"/>
      <c r="R269" s="812"/>
      <c r="S269" s="812"/>
      <c r="T269" s="812"/>
      <c r="U269" s="812"/>
      <c r="V269" s="812"/>
      <c r="W269" s="812"/>
      <c r="X269" s="812"/>
      <c r="Y269" s="812"/>
      <c r="Z269" s="812"/>
      <c r="AA269" s="812"/>
      <c r="AB269" s="812"/>
      <c r="AC269" s="812"/>
      <c r="AD269" s="812"/>
      <c r="AE269" s="812"/>
      <c r="AF269" s="812"/>
      <c r="AG269" s="812"/>
      <c r="AH269" s="812"/>
      <c r="AI269" s="812"/>
      <c r="AJ269" s="812"/>
      <c r="AK269" s="812"/>
      <c r="AL269" s="812"/>
      <c r="AM269" s="812"/>
      <c r="AN269" s="812"/>
      <c r="AO269" s="812"/>
      <c r="AP269" s="812"/>
      <c r="AQ269" s="812"/>
      <c r="AR269" s="812"/>
      <c r="AS269" s="812"/>
      <c r="AT269" s="812"/>
      <c r="AU269" s="812"/>
      <c r="AV269" s="812"/>
      <c r="AW269" s="812"/>
      <c r="AX269" s="812"/>
      <c r="AY269" s="812"/>
      <c r="AZ269" s="812"/>
      <c r="BA269" s="812"/>
      <c r="BB269" s="812"/>
      <c r="BC269" s="812"/>
      <c r="BD269" s="812"/>
      <c r="BE269" s="812"/>
      <c r="BF269" s="812"/>
      <c r="BG269" s="812"/>
      <c r="BH269" s="812"/>
      <c r="BI269" s="812"/>
      <c r="BJ269" s="812"/>
      <c r="BK269" s="812"/>
      <c r="BL269" s="812"/>
      <c r="BM269" s="812"/>
      <c r="BN269" s="812"/>
      <c r="BO269" s="812"/>
      <c r="BP269" s="812"/>
      <c r="BQ269" s="812"/>
      <c r="BR269" s="812"/>
      <c r="BS269" s="812"/>
      <c r="BT269" s="812"/>
      <c r="BU269" s="812"/>
      <c r="BV269" s="812"/>
      <c r="BW269" s="812"/>
      <c r="BX269" s="812"/>
    </row>
    <row r="270" spans="1:76" ht="47.25" hidden="1">
      <c r="A270" s="1203" t="s">
        <v>1686</v>
      </c>
      <c r="B270" s="1139" t="s">
        <v>1687</v>
      </c>
      <c r="C270" s="814" t="s">
        <v>455</v>
      </c>
      <c r="D270" s="899"/>
      <c r="E270" s="511">
        <v>0</v>
      </c>
      <c r="F270" s="791">
        <f t="shared" si="21"/>
        <v>0</v>
      </c>
      <c r="G270" s="434"/>
      <c r="H270" s="779"/>
      <c r="I270" s="761">
        <f t="shared" si="18"/>
        <v>0</v>
      </c>
      <c r="J270" s="761">
        <f t="shared" si="19"/>
        <v>0</v>
      </c>
      <c r="K270" s="761">
        <f t="shared" si="20"/>
        <v>0</v>
      </c>
      <c r="L270" s="1277"/>
      <c r="M270" s="805"/>
      <c r="N270" s="812"/>
      <c r="O270" s="812"/>
      <c r="P270" s="812"/>
      <c r="Q270" s="812"/>
      <c r="R270" s="812"/>
      <c r="S270" s="812"/>
      <c r="T270" s="812"/>
      <c r="U270" s="812"/>
      <c r="V270" s="812"/>
      <c r="W270" s="812"/>
      <c r="X270" s="812"/>
      <c r="Y270" s="812"/>
      <c r="Z270" s="812"/>
      <c r="AA270" s="812"/>
      <c r="AB270" s="812"/>
      <c r="AC270" s="812"/>
      <c r="AD270" s="812"/>
      <c r="AE270" s="812"/>
      <c r="AF270" s="812"/>
      <c r="AG270" s="812"/>
      <c r="AH270" s="812"/>
      <c r="AI270" s="812"/>
      <c r="AJ270" s="812"/>
      <c r="AK270" s="812"/>
      <c r="AL270" s="812"/>
      <c r="AM270" s="812"/>
      <c r="AN270" s="812"/>
      <c r="AO270" s="812"/>
      <c r="AP270" s="812"/>
      <c r="AQ270" s="812"/>
      <c r="AR270" s="812"/>
      <c r="AS270" s="812"/>
      <c r="AT270" s="812"/>
      <c r="AU270" s="812"/>
      <c r="AV270" s="812"/>
      <c r="AW270" s="812"/>
      <c r="AX270" s="812"/>
      <c r="AY270" s="812"/>
      <c r="AZ270" s="812"/>
      <c r="BA270" s="812"/>
      <c r="BB270" s="812"/>
      <c r="BC270" s="812"/>
      <c r="BD270" s="812"/>
      <c r="BE270" s="812"/>
      <c r="BF270" s="812"/>
      <c r="BG270" s="812"/>
      <c r="BH270" s="812"/>
      <c r="BI270" s="812"/>
      <c r="BJ270" s="812"/>
      <c r="BK270" s="812"/>
      <c r="BL270" s="812"/>
      <c r="BM270" s="812"/>
      <c r="BN270" s="812"/>
      <c r="BO270" s="812"/>
      <c r="BP270" s="812"/>
      <c r="BQ270" s="812"/>
      <c r="BR270" s="812"/>
      <c r="BS270" s="812"/>
      <c r="BT270" s="812"/>
      <c r="BU270" s="812"/>
      <c r="BV270" s="812"/>
      <c r="BW270" s="812"/>
      <c r="BX270" s="812"/>
    </row>
    <row r="271" spans="1:76" ht="31.5" hidden="1">
      <c r="A271" s="1203"/>
      <c r="B271" s="1204" t="s">
        <v>1688</v>
      </c>
      <c r="C271" s="815"/>
      <c r="D271" s="902"/>
      <c r="E271" s="255">
        <v>0</v>
      </c>
      <c r="F271" s="791">
        <f t="shared" si="21"/>
        <v>0</v>
      </c>
      <c r="G271" s="434"/>
      <c r="H271" s="781"/>
      <c r="I271" s="761">
        <f t="shared" si="18"/>
        <v>0</v>
      </c>
      <c r="J271" s="761">
        <f t="shared" si="19"/>
        <v>0</v>
      </c>
      <c r="K271" s="761">
        <f t="shared" si="20"/>
        <v>0</v>
      </c>
      <c r="L271" s="1277"/>
      <c r="M271" s="805"/>
      <c r="N271" s="812"/>
      <c r="O271" s="812"/>
      <c r="P271" s="812"/>
      <c r="Q271" s="812"/>
      <c r="R271" s="812"/>
      <c r="S271" s="812"/>
      <c r="T271" s="812"/>
      <c r="U271" s="812"/>
      <c r="V271" s="812"/>
      <c r="W271" s="812"/>
      <c r="X271" s="812"/>
      <c r="Y271" s="812"/>
      <c r="Z271" s="812"/>
      <c r="AA271" s="812"/>
      <c r="AB271" s="812"/>
      <c r="AC271" s="812"/>
      <c r="AD271" s="812"/>
      <c r="AE271" s="812"/>
      <c r="AF271" s="812"/>
      <c r="AG271" s="812"/>
      <c r="AH271" s="812"/>
      <c r="AI271" s="812"/>
      <c r="AJ271" s="812"/>
      <c r="AK271" s="812"/>
      <c r="AL271" s="812"/>
      <c r="AM271" s="812"/>
      <c r="AN271" s="812"/>
      <c r="AO271" s="812"/>
      <c r="AP271" s="812"/>
      <c r="AQ271" s="812"/>
      <c r="AR271" s="812"/>
      <c r="AS271" s="812"/>
      <c r="AT271" s="812"/>
      <c r="AU271" s="812"/>
      <c r="AV271" s="812"/>
      <c r="AW271" s="812"/>
      <c r="AX271" s="812"/>
      <c r="AY271" s="812"/>
      <c r="AZ271" s="812"/>
      <c r="BA271" s="812"/>
      <c r="BB271" s="812"/>
      <c r="BC271" s="812"/>
      <c r="BD271" s="812"/>
      <c r="BE271" s="812"/>
      <c r="BF271" s="812"/>
      <c r="BG271" s="812"/>
      <c r="BH271" s="812"/>
      <c r="BI271" s="812"/>
      <c r="BJ271" s="812"/>
      <c r="BK271" s="812"/>
      <c r="BL271" s="812"/>
      <c r="BM271" s="812"/>
      <c r="BN271" s="812"/>
      <c r="BO271" s="812"/>
      <c r="BP271" s="812"/>
      <c r="BQ271" s="812"/>
      <c r="BR271" s="812"/>
      <c r="BS271" s="812"/>
      <c r="BT271" s="812"/>
      <c r="BU271" s="812"/>
      <c r="BV271" s="812"/>
      <c r="BW271" s="812"/>
      <c r="BX271" s="812"/>
    </row>
    <row r="272" spans="1:76" hidden="1">
      <c r="A272" s="1214">
        <v>15</v>
      </c>
      <c r="B272" s="1201" t="s">
        <v>1689</v>
      </c>
      <c r="C272" s="816"/>
      <c r="D272" s="898"/>
      <c r="E272" s="785">
        <v>0</v>
      </c>
      <c r="F272" s="791">
        <f t="shared" si="21"/>
        <v>0</v>
      </c>
      <c r="G272" s="434"/>
      <c r="H272" s="781"/>
      <c r="I272" s="761">
        <f t="shared" si="18"/>
        <v>0</v>
      </c>
      <c r="J272" s="761">
        <f t="shared" si="19"/>
        <v>0</v>
      </c>
      <c r="K272" s="761">
        <f t="shared" si="20"/>
        <v>0</v>
      </c>
      <c r="L272" s="1278"/>
      <c r="M272" s="805"/>
      <c r="N272" s="817"/>
      <c r="O272" s="817"/>
      <c r="P272" s="817"/>
      <c r="Q272" s="817"/>
      <c r="R272" s="817"/>
      <c r="S272" s="817"/>
      <c r="T272" s="817"/>
      <c r="U272" s="817"/>
      <c r="V272" s="817"/>
      <c r="W272" s="817"/>
      <c r="X272" s="817"/>
      <c r="Y272" s="817"/>
      <c r="Z272" s="817"/>
      <c r="AA272" s="817"/>
      <c r="AB272" s="817"/>
      <c r="AC272" s="817"/>
      <c r="AD272" s="817"/>
      <c r="AE272" s="817"/>
      <c r="AF272" s="817"/>
      <c r="AG272" s="817"/>
      <c r="AH272" s="817"/>
      <c r="AI272" s="817"/>
      <c r="AJ272" s="817"/>
      <c r="AK272" s="817"/>
      <c r="AL272" s="817"/>
      <c r="AM272" s="817"/>
      <c r="AN272" s="817"/>
      <c r="AO272" s="817"/>
      <c r="AP272" s="817"/>
      <c r="AQ272" s="817"/>
      <c r="AR272" s="817"/>
      <c r="AS272" s="817"/>
      <c r="AT272" s="817"/>
      <c r="AU272" s="817"/>
      <c r="AV272" s="817"/>
      <c r="AW272" s="817"/>
      <c r="AX272" s="817"/>
      <c r="AY272" s="817"/>
      <c r="AZ272" s="817"/>
      <c r="BA272" s="817"/>
      <c r="BB272" s="817"/>
      <c r="BC272" s="817"/>
      <c r="BD272" s="817"/>
      <c r="BE272" s="817"/>
      <c r="BF272" s="817"/>
      <c r="BG272" s="817"/>
      <c r="BH272" s="817"/>
      <c r="BI272" s="817"/>
      <c r="BJ272" s="817"/>
      <c r="BK272" s="817"/>
      <c r="BL272" s="817"/>
      <c r="BM272" s="817"/>
      <c r="BN272" s="817"/>
      <c r="BO272" s="817"/>
      <c r="BP272" s="817"/>
      <c r="BQ272" s="817"/>
      <c r="BR272" s="817"/>
      <c r="BS272" s="817"/>
      <c r="BT272" s="817"/>
      <c r="BU272" s="817"/>
      <c r="BV272" s="817"/>
      <c r="BW272" s="817"/>
      <c r="BX272" s="817"/>
    </row>
    <row r="273" spans="1:76" ht="94.5" hidden="1">
      <c r="A273" s="1215">
        <v>15.1</v>
      </c>
      <c r="B273" s="1139" t="s">
        <v>1690</v>
      </c>
      <c r="C273" s="816" t="s">
        <v>347</v>
      </c>
      <c r="D273" s="898"/>
      <c r="E273" s="255">
        <v>0</v>
      </c>
      <c r="F273" s="791">
        <f t="shared" si="21"/>
        <v>0</v>
      </c>
      <c r="G273" s="434"/>
      <c r="H273" s="781"/>
      <c r="I273" s="761">
        <f t="shared" si="18"/>
        <v>0</v>
      </c>
      <c r="J273" s="761">
        <f t="shared" si="19"/>
        <v>0</v>
      </c>
      <c r="K273" s="761">
        <f t="shared" si="20"/>
        <v>0</v>
      </c>
      <c r="L273" s="1278"/>
      <c r="M273" s="805"/>
      <c r="N273" s="817"/>
      <c r="O273" s="817"/>
      <c r="P273" s="817"/>
      <c r="Q273" s="817"/>
      <c r="R273" s="817"/>
      <c r="S273" s="817"/>
      <c r="T273" s="817"/>
      <c r="U273" s="817"/>
      <c r="V273" s="817"/>
      <c r="W273" s="817"/>
      <c r="X273" s="817"/>
      <c r="Y273" s="817"/>
      <c r="Z273" s="817"/>
      <c r="AA273" s="817"/>
      <c r="AB273" s="817"/>
      <c r="AC273" s="817"/>
      <c r="AD273" s="817"/>
      <c r="AE273" s="817"/>
      <c r="AF273" s="817"/>
      <c r="AG273" s="817"/>
      <c r="AH273" s="817"/>
      <c r="AI273" s="817"/>
      <c r="AJ273" s="817"/>
      <c r="AK273" s="817"/>
      <c r="AL273" s="817"/>
      <c r="AM273" s="817"/>
      <c r="AN273" s="817"/>
      <c r="AO273" s="817"/>
      <c r="AP273" s="817"/>
      <c r="AQ273" s="817"/>
      <c r="AR273" s="817"/>
      <c r="AS273" s="817"/>
      <c r="AT273" s="817"/>
      <c r="AU273" s="817"/>
      <c r="AV273" s="817"/>
      <c r="AW273" s="817"/>
      <c r="AX273" s="817"/>
      <c r="AY273" s="817"/>
      <c r="AZ273" s="817"/>
      <c r="BA273" s="817"/>
      <c r="BB273" s="817"/>
      <c r="BC273" s="817"/>
      <c r="BD273" s="817"/>
      <c r="BE273" s="817"/>
      <c r="BF273" s="817"/>
      <c r="BG273" s="817"/>
      <c r="BH273" s="817"/>
      <c r="BI273" s="817"/>
      <c r="BJ273" s="817"/>
      <c r="BK273" s="817"/>
      <c r="BL273" s="817"/>
      <c r="BM273" s="817"/>
      <c r="BN273" s="817"/>
      <c r="BO273" s="817"/>
      <c r="BP273" s="817"/>
      <c r="BQ273" s="817"/>
      <c r="BR273" s="817"/>
      <c r="BS273" s="817"/>
      <c r="BT273" s="817"/>
      <c r="BU273" s="817"/>
      <c r="BV273" s="817"/>
      <c r="BW273" s="817"/>
      <c r="BX273" s="817"/>
    </row>
    <row r="274" spans="1:76" ht="18">
      <c r="A274" s="1215"/>
      <c r="B274" s="1216"/>
      <c r="C274" s="816"/>
      <c r="D274" s="898"/>
      <c r="E274" s="255">
        <v>0</v>
      </c>
      <c r="F274" s="791">
        <f t="shared" si="21"/>
        <v>0</v>
      </c>
      <c r="G274" s="434"/>
      <c r="H274" s="781"/>
      <c r="I274" s="891">
        <f>ROUND(E274*H274,0)</f>
        <v>0</v>
      </c>
      <c r="J274" s="761">
        <f t="shared" si="19"/>
        <v>0</v>
      </c>
      <c r="K274" s="761">
        <f t="shared" si="20"/>
        <v>0</v>
      </c>
      <c r="L274" s="1269"/>
    </row>
    <row r="275" spans="1:76" ht="18">
      <c r="A275" s="919"/>
      <c r="B275" s="818" t="s">
        <v>2301</v>
      </c>
      <c r="C275" s="819"/>
      <c r="D275" s="903"/>
      <c r="E275" s="903"/>
      <c r="F275" s="904"/>
      <c r="G275" s="904"/>
      <c r="H275" s="904"/>
      <c r="I275" s="1009">
        <f>SUM(I9:I274)</f>
        <v>52888796</v>
      </c>
      <c r="J275" s="1009">
        <f>SUM(J9:J274)</f>
        <v>328400</v>
      </c>
      <c r="K275" s="1009">
        <f>SUM(K9:K274)</f>
        <v>53217196</v>
      </c>
      <c r="L275" s="1279"/>
    </row>
    <row r="276" spans="1:76">
      <c r="A276" s="882"/>
      <c r="B276" s="821"/>
      <c r="C276" s="822"/>
      <c r="D276" s="905"/>
      <c r="E276" s="905"/>
      <c r="F276" s="906"/>
      <c r="G276" s="906"/>
      <c r="H276" s="906"/>
      <c r="I276" s="906"/>
      <c r="J276" s="906"/>
      <c r="K276" s="906"/>
      <c r="L276" s="1269"/>
    </row>
    <row r="277" spans="1:76">
      <c r="A277" s="882"/>
      <c r="B277" s="1135" t="s">
        <v>2244</v>
      </c>
      <c r="C277" s="822"/>
      <c r="D277" s="905"/>
      <c r="E277" s="905"/>
      <c r="F277" s="906"/>
      <c r="G277" s="906"/>
      <c r="H277" s="906"/>
      <c r="I277" s="906"/>
      <c r="J277" s="906"/>
      <c r="K277" s="906"/>
      <c r="L277" s="1269"/>
    </row>
    <row r="278" spans="1:76" s="829" customFormat="1" ht="47.25">
      <c r="A278" s="883" t="s">
        <v>2302</v>
      </c>
      <c r="B278" s="1139" t="s">
        <v>2514</v>
      </c>
      <c r="C278" s="823" t="s">
        <v>347</v>
      </c>
      <c r="D278" s="907">
        <v>0</v>
      </c>
      <c r="E278" s="825">
        <v>359.95</v>
      </c>
      <c r="F278" s="826">
        <f>G278-E278</f>
        <v>0</v>
      </c>
      <c r="G278" s="827">
        <f>MB!G3916</f>
        <v>359.95000000000022</v>
      </c>
      <c r="H278" s="908">
        <v>4920</v>
      </c>
      <c r="I278" s="761">
        <f t="shared" ref="I278:I328" si="22">ROUND(E278*H278,0)</f>
        <v>1770954</v>
      </c>
      <c r="J278" s="1019">
        <f>K278-I278</f>
        <v>0</v>
      </c>
      <c r="K278" s="1019">
        <f>ROUND(G278*H278,0)</f>
        <v>1770954</v>
      </c>
      <c r="L278" s="1280"/>
    </row>
    <row r="279" spans="1:76" s="829" customFormat="1" ht="18">
      <c r="A279" s="883"/>
      <c r="B279" s="716"/>
      <c r="C279" s="823"/>
      <c r="D279" s="907"/>
      <c r="E279" s="825"/>
      <c r="F279" s="826">
        <f t="shared" ref="F279:F328" si="23">G279-E279</f>
        <v>0</v>
      </c>
      <c r="G279" s="827"/>
      <c r="H279" s="908"/>
      <c r="I279" s="761">
        <f t="shared" si="22"/>
        <v>0</v>
      </c>
      <c r="J279" s="1019">
        <f t="shared" ref="J279:J328" si="24">K279-I279</f>
        <v>0</v>
      </c>
      <c r="K279" s="1019">
        <f t="shared" ref="K279:K328" si="25">ROUND(G279*H279,0)</f>
        <v>0</v>
      </c>
      <c r="L279" s="1280"/>
    </row>
    <row r="280" spans="1:76" s="829" customFormat="1" ht="63">
      <c r="A280" s="883" t="s">
        <v>2303</v>
      </c>
      <c r="B280" s="1139" t="s">
        <v>2518</v>
      </c>
      <c r="C280" s="823" t="s">
        <v>347</v>
      </c>
      <c r="D280" s="907"/>
      <c r="E280" s="825">
        <v>135.62</v>
      </c>
      <c r="F280" s="826">
        <f t="shared" si="23"/>
        <v>0</v>
      </c>
      <c r="G280" s="827">
        <f>MB!G3945</f>
        <v>135.62</v>
      </c>
      <c r="H280" s="908">
        <v>700</v>
      </c>
      <c r="I280" s="761">
        <f t="shared" si="22"/>
        <v>94934</v>
      </c>
      <c r="J280" s="1019">
        <f t="shared" si="24"/>
        <v>0</v>
      </c>
      <c r="K280" s="1019">
        <f t="shared" si="25"/>
        <v>94934</v>
      </c>
      <c r="L280" s="1280"/>
    </row>
    <row r="281" spans="1:76" s="829" customFormat="1" ht="18">
      <c r="A281" s="883"/>
      <c r="B281" s="716"/>
      <c r="C281" s="823"/>
      <c r="D281" s="907"/>
      <c r="E281" s="825"/>
      <c r="F281" s="826">
        <f t="shared" si="23"/>
        <v>0</v>
      </c>
      <c r="G281" s="827"/>
      <c r="H281" s="908"/>
      <c r="I281" s="761">
        <f t="shared" si="22"/>
        <v>0</v>
      </c>
      <c r="J281" s="1019">
        <f t="shared" si="24"/>
        <v>0</v>
      </c>
      <c r="K281" s="1019">
        <f t="shared" si="25"/>
        <v>0</v>
      </c>
      <c r="L281" s="1280"/>
    </row>
    <row r="282" spans="1:76" s="829" customFormat="1" ht="47.25">
      <c r="A282" s="885" t="s">
        <v>2304</v>
      </c>
      <c r="B282" s="1139" t="s">
        <v>2519</v>
      </c>
      <c r="C282" s="830" t="s">
        <v>350</v>
      </c>
      <c r="D282" s="907"/>
      <c r="E282" s="825">
        <v>284.13999999999993</v>
      </c>
      <c r="F282" s="826">
        <f t="shared" si="23"/>
        <v>0</v>
      </c>
      <c r="G282" s="827">
        <f>MB!G4102</f>
        <v>284.13999999999993</v>
      </c>
      <c r="H282" s="910">
        <v>444</v>
      </c>
      <c r="I282" s="761">
        <f t="shared" si="22"/>
        <v>126158</v>
      </c>
      <c r="J282" s="1019">
        <f t="shared" si="24"/>
        <v>0</v>
      </c>
      <c r="K282" s="1019">
        <f t="shared" si="25"/>
        <v>126158</v>
      </c>
      <c r="L282" s="1280"/>
    </row>
    <row r="283" spans="1:76" s="829" customFormat="1" ht="18">
      <c r="A283" s="885"/>
      <c r="B283" s="884"/>
      <c r="C283" s="830"/>
      <c r="D283" s="907"/>
      <c r="E283" s="825"/>
      <c r="F283" s="826">
        <f t="shared" si="23"/>
        <v>0</v>
      </c>
      <c r="G283" s="827"/>
      <c r="H283" s="827"/>
      <c r="I283" s="761">
        <f t="shared" si="22"/>
        <v>0</v>
      </c>
      <c r="J283" s="1019">
        <f t="shared" si="24"/>
        <v>0</v>
      </c>
      <c r="K283" s="1019">
        <f t="shared" si="25"/>
        <v>0</v>
      </c>
      <c r="L283" s="1280"/>
    </row>
    <row r="284" spans="1:76" s="829" customFormat="1" ht="31.5">
      <c r="A284" s="883" t="s">
        <v>2305</v>
      </c>
      <c r="B284" s="1139" t="s">
        <v>1428</v>
      </c>
      <c r="C284" s="823" t="s">
        <v>347</v>
      </c>
      <c r="D284" s="907">
        <v>0</v>
      </c>
      <c r="E284" s="1010">
        <v>1.4520000000000002</v>
      </c>
      <c r="F284" s="1011">
        <f t="shared" si="23"/>
        <v>0</v>
      </c>
      <c r="G284" s="1012">
        <f>MB!G4113</f>
        <v>1.4520000000000002</v>
      </c>
      <c r="H284" s="908">
        <v>53991</v>
      </c>
      <c r="I284" s="761">
        <f t="shared" si="22"/>
        <v>78395</v>
      </c>
      <c r="J284" s="1019">
        <f t="shared" si="24"/>
        <v>0</v>
      </c>
      <c r="K284" s="1019">
        <f t="shared" si="25"/>
        <v>78395</v>
      </c>
      <c r="L284" s="1280"/>
    </row>
    <row r="285" spans="1:76" s="829" customFormat="1" ht="18">
      <c r="A285" s="883"/>
      <c r="B285" s="516"/>
      <c r="C285" s="823"/>
      <c r="D285" s="907"/>
      <c r="E285" s="825"/>
      <c r="F285" s="826">
        <f t="shared" si="23"/>
        <v>0</v>
      </c>
      <c r="G285" s="827"/>
      <c r="H285" s="908"/>
      <c r="I285" s="761">
        <f t="shared" si="22"/>
        <v>0</v>
      </c>
      <c r="J285" s="1019">
        <f t="shared" si="24"/>
        <v>0</v>
      </c>
      <c r="K285" s="1019">
        <f t="shared" si="25"/>
        <v>0</v>
      </c>
      <c r="L285" s="1280"/>
    </row>
    <row r="286" spans="1:76" s="829" customFormat="1" ht="47.25">
      <c r="A286" s="883" t="s">
        <v>2306</v>
      </c>
      <c r="B286" s="1139" t="s">
        <v>2526</v>
      </c>
      <c r="C286" s="823" t="s">
        <v>414</v>
      </c>
      <c r="D286" s="907"/>
      <c r="E286" s="825">
        <v>528</v>
      </c>
      <c r="F286" s="826">
        <f t="shared" si="23"/>
        <v>0</v>
      </c>
      <c r="G286" s="827">
        <f>MB!G4125</f>
        <v>528</v>
      </c>
      <c r="H286" s="908">
        <v>169</v>
      </c>
      <c r="I286" s="761">
        <f t="shared" si="22"/>
        <v>89232</v>
      </c>
      <c r="J286" s="1019">
        <f t="shared" si="24"/>
        <v>0</v>
      </c>
      <c r="K286" s="1019">
        <f t="shared" si="25"/>
        <v>89232</v>
      </c>
      <c r="L286" s="1280"/>
    </row>
    <row r="287" spans="1:76" s="829" customFormat="1" ht="18">
      <c r="A287" s="883"/>
      <c r="B287" s="716"/>
      <c r="C287" s="823"/>
      <c r="D287" s="907"/>
      <c r="E287" s="825"/>
      <c r="F287" s="826">
        <f t="shared" si="23"/>
        <v>0</v>
      </c>
      <c r="G287" s="827"/>
      <c r="H287" s="908"/>
      <c r="I287" s="761">
        <f t="shared" si="22"/>
        <v>0</v>
      </c>
      <c r="J287" s="1019">
        <f t="shared" si="24"/>
        <v>0</v>
      </c>
      <c r="K287" s="1019">
        <f t="shared" si="25"/>
        <v>0</v>
      </c>
      <c r="L287" s="1280"/>
    </row>
    <row r="288" spans="1:76" s="832" customFormat="1" ht="47.25">
      <c r="A288" s="885" t="s">
        <v>2308</v>
      </c>
      <c r="B288" s="1139" t="s">
        <v>2527</v>
      </c>
      <c r="C288" s="830" t="s">
        <v>350</v>
      </c>
      <c r="D288" s="909"/>
      <c r="E288" s="831">
        <v>6214.8079999999954</v>
      </c>
      <c r="F288" s="826">
        <f t="shared" si="23"/>
        <v>0</v>
      </c>
      <c r="G288" s="831">
        <f>MB!G4134</f>
        <v>6214.8079999999954</v>
      </c>
      <c r="H288" s="908">
        <v>66</v>
      </c>
      <c r="I288" s="761">
        <f t="shared" si="22"/>
        <v>410177</v>
      </c>
      <c r="J288" s="1019">
        <f t="shared" si="24"/>
        <v>0</v>
      </c>
      <c r="K288" s="1019">
        <f t="shared" si="25"/>
        <v>410177</v>
      </c>
      <c r="L288" s="1281"/>
    </row>
    <row r="289" spans="1:12" s="829" customFormat="1" ht="18">
      <c r="A289" s="885"/>
      <c r="B289" s="886"/>
      <c r="C289" s="830"/>
      <c r="D289" s="907"/>
      <c r="E289" s="825"/>
      <c r="F289" s="826">
        <f t="shared" si="23"/>
        <v>0</v>
      </c>
      <c r="G289" s="827"/>
      <c r="H289" s="828"/>
      <c r="I289" s="761">
        <f t="shared" si="22"/>
        <v>0</v>
      </c>
      <c r="J289" s="1019">
        <f t="shared" si="24"/>
        <v>0</v>
      </c>
      <c r="K289" s="1019">
        <f t="shared" si="25"/>
        <v>0</v>
      </c>
      <c r="L289" s="1280"/>
    </row>
    <row r="290" spans="1:12" s="829" customFormat="1" ht="249.95" customHeight="1">
      <c r="A290" s="883" t="s">
        <v>2307</v>
      </c>
      <c r="B290" s="1139" t="s">
        <v>2542</v>
      </c>
      <c r="C290" s="1030" t="s">
        <v>350</v>
      </c>
      <c r="D290" s="1031"/>
      <c r="E290" s="827">
        <v>817.13</v>
      </c>
      <c r="F290" s="826">
        <f t="shared" si="23"/>
        <v>0</v>
      </c>
      <c r="G290" s="827">
        <f>MB!G4173</f>
        <v>817.13</v>
      </c>
      <c r="H290" s="910">
        <v>855</v>
      </c>
      <c r="I290" s="761">
        <f t="shared" si="22"/>
        <v>698646</v>
      </c>
      <c r="J290" s="1019">
        <f t="shared" si="24"/>
        <v>0</v>
      </c>
      <c r="K290" s="1019">
        <f t="shared" si="25"/>
        <v>698646</v>
      </c>
      <c r="L290" s="1280"/>
    </row>
    <row r="291" spans="1:12" s="829" customFormat="1" ht="18">
      <c r="A291" s="883"/>
      <c r="B291" s="716"/>
      <c r="C291" s="830"/>
      <c r="D291" s="907"/>
      <c r="E291" s="825"/>
      <c r="F291" s="826">
        <f t="shared" si="23"/>
        <v>0</v>
      </c>
      <c r="G291" s="827"/>
      <c r="H291" s="908"/>
      <c r="I291" s="761">
        <f t="shared" si="22"/>
        <v>0</v>
      </c>
      <c r="J291" s="1019">
        <f t="shared" si="24"/>
        <v>0</v>
      </c>
      <c r="K291" s="1019">
        <f t="shared" si="25"/>
        <v>0</v>
      </c>
      <c r="L291" s="1280"/>
    </row>
    <row r="292" spans="1:12" s="829" customFormat="1" ht="110.25">
      <c r="A292" s="883" t="s">
        <v>2309</v>
      </c>
      <c r="B292" s="1139" t="s">
        <v>2528</v>
      </c>
      <c r="C292" s="830" t="s">
        <v>350</v>
      </c>
      <c r="D292" s="907"/>
      <c r="E292" s="825">
        <v>1254.3299999999997</v>
      </c>
      <c r="F292" s="826">
        <f t="shared" si="23"/>
        <v>0</v>
      </c>
      <c r="G292" s="827">
        <f>MB!G4200</f>
        <v>1254.3299999999997</v>
      </c>
      <c r="H292" s="908">
        <v>65</v>
      </c>
      <c r="I292" s="761">
        <f t="shared" si="22"/>
        <v>81531</v>
      </c>
      <c r="J292" s="1019">
        <f t="shared" si="24"/>
        <v>0</v>
      </c>
      <c r="K292" s="1019">
        <f t="shared" si="25"/>
        <v>81531</v>
      </c>
      <c r="L292" s="1280"/>
    </row>
    <row r="293" spans="1:12" s="829" customFormat="1" ht="18">
      <c r="A293" s="883"/>
      <c r="B293" s="887"/>
      <c r="C293" s="830"/>
      <c r="D293" s="907"/>
      <c r="E293" s="825"/>
      <c r="F293" s="826">
        <f t="shared" si="23"/>
        <v>0</v>
      </c>
      <c r="G293" s="827"/>
      <c r="H293" s="908"/>
      <c r="I293" s="761">
        <f t="shared" si="22"/>
        <v>0</v>
      </c>
      <c r="J293" s="1019">
        <f t="shared" si="24"/>
        <v>0</v>
      </c>
      <c r="K293" s="1019">
        <f t="shared" si="25"/>
        <v>0</v>
      </c>
      <c r="L293" s="1280"/>
    </row>
    <row r="294" spans="1:12" s="829" customFormat="1" ht="63">
      <c r="A294" s="883" t="s">
        <v>2310</v>
      </c>
      <c r="B294" s="1139" t="s">
        <v>1439</v>
      </c>
      <c r="C294" s="830" t="s">
        <v>350</v>
      </c>
      <c r="D294" s="907"/>
      <c r="E294" s="825">
        <v>694.06999999999994</v>
      </c>
      <c r="F294" s="826">
        <f t="shared" si="23"/>
        <v>0</v>
      </c>
      <c r="G294" s="827">
        <f>MB!G4221</f>
        <v>694.06999999999994</v>
      </c>
      <c r="H294" s="908">
        <v>3042</v>
      </c>
      <c r="I294" s="761">
        <f t="shared" si="22"/>
        <v>2111361</v>
      </c>
      <c r="J294" s="1019">
        <f t="shared" si="24"/>
        <v>0</v>
      </c>
      <c r="K294" s="1019">
        <f t="shared" si="25"/>
        <v>2111361</v>
      </c>
      <c r="L294" s="1280"/>
    </row>
    <row r="295" spans="1:12" s="829" customFormat="1" ht="18">
      <c r="A295" s="883"/>
      <c r="B295" s="716"/>
      <c r="C295" s="830"/>
      <c r="D295" s="907"/>
      <c r="E295" s="825"/>
      <c r="F295" s="826">
        <f t="shared" si="23"/>
        <v>0</v>
      </c>
      <c r="G295" s="827"/>
      <c r="H295" s="908"/>
      <c r="I295" s="761">
        <f t="shared" si="22"/>
        <v>0</v>
      </c>
      <c r="J295" s="1019">
        <f t="shared" si="24"/>
        <v>0</v>
      </c>
      <c r="K295" s="1019">
        <f t="shared" si="25"/>
        <v>0</v>
      </c>
      <c r="L295" s="1280"/>
    </row>
    <row r="296" spans="1:12" s="829" customFormat="1" ht="31.5">
      <c r="A296" s="883" t="s">
        <v>2233</v>
      </c>
      <c r="B296" s="1139" t="s">
        <v>1225</v>
      </c>
      <c r="C296" s="830" t="s">
        <v>350</v>
      </c>
      <c r="D296" s="907"/>
      <c r="E296" s="825">
        <v>424.16999999999996</v>
      </c>
      <c r="F296" s="826">
        <f t="shared" si="23"/>
        <v>0</v>
      </c>
      <c r="G296" s="827">
        <f>MB!G4231</f>
        <v>424.16999999999996</v>
      </c>
      <c r="H296" s="908">
        <v>1639</v>
      </c>
      <c r="I296" s="761">
        <f t="shared" si="22"/>
        <v>695215</v>
      </c>
      <c r="J296" s="1019">
        <f t="shared" si="24"/>
        <v>0</v>
      </c>
      <c r="K296" s="1019">
        <f t="shared" si="25"/>
        <v>695215</v>
      </c>
      <c r="L296" s="1280"/>
    </row>
    <row r="297" spans="1:12" s="829" customFormat="1" ht="18">
      <c r="A297" s="883"/>
      <c r="B297" s="716"/>
      <c r="C297" s="830"/>
      <c r="D297" s="907"/>
      <c r="E297" s="825"/>
      <c r="F297" s="826">
        <f t="shared" si="23"/>
        <v>0</v>
      </c>
      <c r="G297" s="827"/>
      <c r="H297" s="908"/>
      <c r="I297" s="761">
        <f t="shared" si="22"/>
        <v>0</v>
      </c>
      <c r="J297" s="1019">
        <f t="shared" si="24"/>
        <v>0</v>
      </c>
      <c r="K297" s="1019">
        <f t="shared" si="25"/>
        <v>0</v>
      </c>
      <c r="L297" s="1280"/>
    </row>
    <row r="298" spans="1:12" s="829" customFormat="1" ht="141.75">
      <c r="A298" s="883" t="s">
        <v>1615</v>
      </c>
      <c r="B298" s="1139" t="s">
        <v>2529</v>
      </c>
      <c r="C298" s="830" t="s">
        <v>350</v>
      </c>
      <c r="D298" s="907"/>
      <c r="E298" s="825">
        <v>628.4</v>
      </c>
      <c r="F298" s="826">
        <f t="shared" si="23"/>
        <v>0</v>
      </c>
      <c r="G298" s="827">
        <f>MB!G4246</f>
        <v>628.4</v>
      </c>
      <c r="H298" s="908">
        <v>737</v>
      </c>
      <c r="I298" s="761">
        <f t="shared" si="22"/>
        <v>463131</v>
      </c>
      <c r="J298" s="1019">
        <f t="shared" si="24"/>
        <v>0</v>
      </c>
      <c r="K298" s="1019">
        <f t="shared" si="25"/>
        <v>463131</v>
      </c>
      <c r="L298" s="1280"/>
    </row>
    <row r="299" spans="1:12" s="829" customFormat="1" ht="18">
      <c r="A299" s="883"/>
      <c r="B299" s="888"/>
      <c r="C299" s="830"/>
      <c r="D299" s="907"/>
      <c r="E299" s="825"/>
      <c r="F299" s="826">
        <f t="shared" si="23"/>
        <v>0</v>
      </c>
      <c r="G299" s="827"/>
      <c r="H299" s="908"/>
      <c r="I299" s="761">
        <f t="shared" si="22"/>
        <v>0</v>
      </c>
      <c r="J299" s="1019">
        <f t="shared" si="24"/>
        <v>0</v>
      </c>
      <c r="K299" s="1019">
        <f t="shared" si="25"/>
        <v>0</v>
      </c>
      <c r="L299" s="1280"/>
    </row>
    <row r="300" spans="1:12" s="829" customFormat="1" ht="31.5">
      <c r="A300" s="885" t="s">
        <v>1398</v>
      </c>
      <c r="B300" s="1139" t="s">
        <v>2530</v>
      </c>
      <c r="C300" s="823" t="s">
        <v>356</v>
      </c>
      <c r="D300" s="907"/>
      <c r="E300" s="825">
        <v>921.35</v>
      </c>
      <c r="F300" s="826">
        <f t="shared" si="23"/>
        <v>0</v>
      </c>
      <c r="G300" s="827">
        <f>MB!G4262</f>
        <v>921.35</v>
      </c>
      <c r="H300" s="908">
        <v>150</v>
      </c>
      <c r="I300" s="761">
        <f t="shared" si="22"/>
        <v>138203</v>
      </c>
      <c r="J300" s="1019">
        <f t="shared" si="24"/>
        <v>0</v>
      </c>
      <c r="K300" s="1019">
        <f t="shared" si="25"/>
        <v>138203</v>
      </c>
      <c r="L300" s="1280"/>
    </row>
    <row r="301" spans="1:12" s="829" customFormat="1" ht="18">
      <c r="A301" s="885"/>
      <c r="B301" s="886"/>
      <c r="C301" s="823"/>
      <c r="D301" s="907"/>
      <c r="E301" s="825"/>
      <c r="F301" s="826">
        <f t="shared" si="23"/>
        <v>0</v>
      </c>
      <c r="G301" s="827"/>
      <c r="H301" s="908"/>
      <c r="I301" s="761">
        <f t="shared" si="22"/>
        <v>0</v>
      </c>
      <c r="J301" s="1019">
        <f t="shared" si="24"/>
        <v>0</v>
      </c>
      <c r="K301" s="1019">
        <f t="shared" si="25"/>
        <v>0</v>
      </c>
      <c r="L301" s="1280"/>
    </row>
    <row r="302" spans="1:12" s="829" customFormat="1" ht="78.75">
      <c r="A302" s="883" t="s">
        <v>1410</v>
      </c>
      <c r="B302" s="1139" t="s">
        <v>2531</v>
      </c>
      <c r="C302" s="823" t="s">
        <v>350</v>
      </c>
      <c r="D302" s="907"/>
      <c r="E302" s="825">
        <v>25.759999999999998</v>
      </c>
      <c r="F302" s="826">
        <f t="shared" si="23"/>
        <v>0</v>
      </c>
      <c r="G302" s="827">
        <f>MB!G4268</f>
        <v>25.759999999999998</v>
      </c>
      <c r="H302" s="908">
        <v>3103</v>
      </c>
      <c r="I302" s="761">
        <f t="shared" si="22"/>
        <v>79933</v>
      </c>
      <c r="J302" s="1019">
        <f t="shared" si="24"/>
        <v>0</v>
      </c>
      <c r="K302" s="1019">
        <f t="shared" si="25"/>
        <v>79933</v>
      </c>
      <c r="L302" s="1280"/>
    </row>
    <row r="303" spans="1:12" s="829" customFormat="1" ht="18">
      <c r="A303" s="883"/>
      <c r="B303" s="888"/>
      <c r="C303" s="823"/>
      <c r="D303" s="907"/>
      <c r="E303" s="825"/>
      <c r="F303" s="826">
        <f t="shared" si="23"/>
        <v>0</v>
      </c>
      <c r="G303" s="827"/>
      <c r="H303" s="908"/>
      <c r="I303" s="761">
        <f t="shared" si="22"/>
        <v>0</v>
      </c>
      <c r="J303" s="1019">
        <f t="shared" si="24"/>
        <v>0</v>
      </c>
      <c r="K303" s="1019">
        <f t="shared" si="25"/>
        <v>0</v>
      </c>
      <c r="L303" s="1280"/>
    </row>
    <row r="304" spans="1:12" s="829" customFormat="1" ht="47.25">
      <c r="A304" s="883" t="s">
        <v>2240</v>
      </c>
      <c r="B304" s="1139" t="s">
        <v>2532</v>
      </c>
      <c r="C304" s="823" t="s">
        <v>350</v>
      </c>
      <c r="D304" s="907"/>
      <c r="E304" s="825">
        <v>68.75</v>
      </c>
      <c r="F304" s="826">
        <f t="shared" si="23"/>
        <v>0</v>
      </c>
      <c r="G304" s="827">
        <f>MB!G4275</f>
        <v>68.75</v>
      </c>
      <c r="H304" s="908">
        <v>1372</v>
      </c>
      <c r="I304" s="761">
        <f t="shared" si="22"/>
        <v>94325</v>
      </c>
      <c r="J304" s="1019">
        <f t="shared" si="24"/>
        <v>0</v>
      </c>
      <c r="K304" s="1019">
        <f t="shared" si="25"/>
        <v>94325</v>
      </c>
      <c r="L304" s="1280"/>
    </row>
    <row r="305" spans="1:12" s="829" customFormat="1" ht="18">
      <c r="A305" s="883"/>
      <c r="B305" s="887"/>
      <c r="C305" s="823"/>
      <c r="D305" s="907"/>
      <c r="E305" s="825"/>
      <c r="F305" s="826">
        <f t="shared" si="23"/>
        <v>0</v>
      </c>
      <c r="G305" s="827"/>
      <c r="H305" s="910"/>
      <c r="I305" s="761">
        <f t="shared" si="22"/>
        <v>0</v>
      </c>
      <c r="J305" s="1019">
        <f t="shared" si="24"/>
        <v>0</v>
      </c>
      <c r="K305" s="1019">
        <f t="shared" si="25"/>
        <v>0</v>
      </c>
      <c r="L305" s="1280"/>
    </row>
    <row r="306" spans="1:12" s="833" customFormat="1" ht="31.5">
      <c r="A306" s="885" t="s">
        <v>1497</v>
      </c>
      <c r="B306" s="1139" t="s">
        <v>1498</v>
      </c>
      <c r="C306" s="824" t="s">
        <v>350</v>
      </c>
      <c r="D306" s="907"/>
      <c r="E306" s="825">
        <v>176.04</v>
      </c>
      <c r="F306" s="826">
        <f t="shared" si="23"/>
        <v>0</v>
      </c>
      <c r="G306" s="827">
        <f>MB!G4283</f>
        <v>176.04</v>
      </c>
      <c r="H306" s="910">
        <v>1011</v>
      </c>
      <c r="I306" s="761">
        <f t="shared" si="22"/>
        <v>177976</v>
      </c>
      <c r="J306" s="1019">
        <f t="shared" si="24"/>
        <v>0</v>
      </c>
      <c r="K306" s="1019">
        <f t="shared" si="25"/>
        <v>177976</v>
      </c>
      <c r="L306" s="1282"/>
    </row>
    <row r="307" spans="1:12" s="833" customFormat="1">
      <c r="A307" s="885"/>
      <c r="B307" s="889"/>
      <c r="C307" s="824"/>
      <c r="D307" s="907"/>
      <c r="E307" s="825"/>
      <c r="F307" s="826">
        <f t="shared" si="23"/>
        <v>0</v>
      </c>
      <c r="G307" s="827"/>
      <c r="H307" s="910"/>
      <c r="I307" s="761">
        <f t="shared" si="22"/>
        <v>0</v>
      </c>
      <c r="J307" s="1019">
        <f t="shared" si="24"/>
        <v>0</v>
      </c>
      <c r="K307" s="1019">
        <f t="shared" si="25"/>
        <v>0</v>
      </c>
      <c r="L307" s="1282"/>
    </row>
    <row r="308" spans="1:12" s="833" customFormat="1" ht="31.5">
      <c r="A308" s="885" t="s">
        <v>1503</v>
      </c>
      <c r="B308" s="1139" t="s">
        <v>2533</v>
      </c>
      <c r="C308" s="824" t="s">
        <v>356</v>
      </c>
      <c r="D308" s="907"/>
      <c r="E308" s="825">
        <v>368.18999999999994</v>
      </c>
      <c r="F308" s="826">
        <f t="shared" si="23"/>
        <v>0</v>
      </c>
      <c r="G308" s="827">
        <f>MB!G4298</f>
        <v>368.18999999999994</v>
      </c>
      <c r="H308" s="910">
        <v>84</v>
      </c>
      <c r="I308" s="761">
        <f t="shared" si="22"/>
        <v>30928</v>
      </c>
      <c r="J308" s="1019">
        <f t="shared" si="24"/>
        <v>0</v>
      </c>
      <c r="K308" s="1019">
        <f t="shared" si="25"/>
        <v>30928</v>
      </c>
      <c r="L308" s="1282"/>
    </row>
    <row r="309" spans="1:12" s="833" customFormat="1">
      <c r="A309" s="885"/>
      <c r="B309" s="889"/>
      <c r="C309" s="824"/>
      <c r="D309" s="907"/>
      <c r="E309" s="825"/>
      <c r="F309" s="826">
        <f t="shared" si="23"/>
        <v>0</v>
      </c>
      <c r="G309" s="827"/>
      <c r="H309" s="910"/>
      <c r="I309" s="761">
        <f t="shared" si="22"/>
        <v>0</v>
      </c>
      <c r="J309" s="1019">
        <f t="shared" si="24"/>
        <v>0</v>
      </c>
      <c r="K309" s="1019">
        <f t="shared" si="25"/>
        <v>0</v>
      </c>
      <c r="L309" s="1282"/>
    </row>
    <row r="310" spans="1:12" s="833" customFormat="1" ht="110.25">
      <c r="A310" s="885" t="s">
        <v>2269</v>
      </c>
      <c r="B310" s="1139" t="s">
        <v>2543</v>
      </c>
      <c r="C310" s="824" t="s">
        <v>350</v>
      </c>
      <c r="D310" s="907"/>
      <c r="E310" s="825">
        <v>62.54999999999999</v>
      </c>
      <c r="F310" s="826">
        <f t="shared" si="23"/>
        <v>0</v>
      </c>
      <c r="G310" s="827">
        <f>MB!G4344</f>
        <v>62.54999999999999</v>
      </c>
      <c r="H310" s="910">
        <v>1581</v>
      </c>
      <c r="I310" s="761">
        <f t="shared" si="22"/>
        <v>98892</v>
      </c>
      <c r="J310" s="1019">
        <f t="shared" si="24"/>
        <v>0</v>
      </c>
      <c r="K310" s="1019">
        <f t="shared" si="25"/>
        <v>98892</v>
      </c>
      <c r="L310" s="1282"/>
    </row>
    <row r="311" spans="1:12" s="833" customFormat="1">
      <c r="A311" s="885"/>
      <c r="B311" s="889"/>
      <c r="C311" s="824"/>
      <c r="D311" s="907"/>
      <c r="E311" s="825"/>
      <c r="F311" s="826">
        <f t="shared" si="23"/>
        <v>0</v>
      </c>
      <c r="G311" s="827"/>
      <c r="H311" s="910"/>
      <c r="I311" s="761">
        <f t="shared" si="22"/>
        <v>0</v>
      </c>
      <c r="J311" s="1019">
        <f t="shared" si="24"/>
        <v>0</v>
      </c>
      <c r="K311" s="1019">
        <f t="shared" si="25"/>
        <v>0</v>
      </c>
      <c r="L311" s="1282"/>
    </row>
    <row r="312" spans="1:12" s="833" customFormat="1" ht="31.5">
      <c r="A312" s="885" t="s">
        <v>1535</v>
      </c>
      <c r="B312" s="1139" t="s">
        <v>2534</v>
      </c>
      <c r="C312" s="824" t="s">
        <v>356</v>
      </c>
      <c r="D312" s="907"/>
      <c r="E312" s="825">
        <v>45.54</v>
      </c>
      <c r="F312" s="826">
        <f t="shared" si="23"/>
        <v>0</v>
      </c>
      <c r="G312" s="827">
        <f>MB!G4349</f>
        <v>45.54</v>
      </c>
      <c r="H312" s="910">
        <v>3227</v>
      </c>
      <c r="I312" s="761">
        <f t="shared" si="22"/>
        <v>146958</v>
      </c>
      <c r="J312" s="1019">
        <f t="shared" si="24"/>
        <v>0</v>
      </c>
      <c r="K312" s="1019">
        <f t="shared" si="25"/>
        <v>146958</v>
      </c>
      <c r="L312" s="1282"/>
    </row>
    <row r="313" spans="1:12" s="833" customFormat="1" ht="63">
      <c r="A313" s="885" t="s">
        <v>2317</v>
      </c>
      <c r="B313" s="889" t="s">
        <v>2544</v>
      </c>
      <c r="C313" s="824" t="s">
        <v>2545</v>
      </c>
      <c r="D313" s="907"/>
      <c r="E313" s="825">
        <v>60</v>
      </c>
      <c r="F313" s="826">
        <f t="shared" si="23"/>
        <v>0</v>
      </c>
      <c r="G313" s="827">
        <v>60</v>
      </c>
      <c r="H313" s="910">
        <v>244</v>
      </c>
      <c r="I313" s="761">
        <f t="shared" si="22"/>
        <v>14640</v>
      </c>
      <c r="J313" s="1019">
        <f t="shared" si="24"/>
        <v>0</v>
      </c>
      <c r="K313" s="1019">
        <f t="shared" si="25"/>
        <v>14640</v>
      </c>
      <c r="L313" s="1282"/>
    </row>
    <row r="314" spans="1:12" s="833" customFormat="1" ht="63">
      <c r="A314" s="885" t="s">
        <v>2546</v>
      </c>
      <c r="B314" s="889" t="s">
        <v>2547</v>
      </c>
      <c r="C314" s="824" t="s">
        <v>2545</v>
      </c>
      <c r="D314" s="907"/>
      <c r="E314" s="825">
        <v>4</v>
      </c>
      <c r="F314" s="826">
        <f t="shared" si="23"/>
        <v>0</v>
      </c>
      <c r="G314" s="827">
        <v>4</v>
      </c>
      <c r="H314" s="910">
        <v>1036</v>
      </c>
      <c r="I314" s="761">
        <f t="shared" si="22"/>
        <v>4144</v>
      </c>
      <c r="J314" s="1019">
        <f t="shared" si="24"/>
        <v>0</v>
      </c>
      <c r="K314" s="1019">
        <f t="shared" si="25"/>
        <v>4144</v>
      </c>
      <c r="L314" s="1282"/>
    </row>
    <row r="315" spans="1:12" s="833" customFormat="1">
      <c r="A315" s="885"/>
      <c r="B315" s="889"/>
      <c r="C315" s="824"/>
      <c r="D315" s="907"/>
      <c r="E315" s="825"/>
      <c r="F315" s="826"/>
      <c r="G315" s="827"/>
      <c r="H315" s="910"/>
      <c r="I315" s="761">
        <f t="shared" si="22"/>
        <v>0</v>
      </c>
      <c r="J315" s="1019"/>
      <c r="K315" s="1019"/>
      <c r="L315" s="1282"/>
    </row>
    <row r="316" spans="1:12" s="833" customFormat="1" ht="31.5">
      <c r="A316" s="885" t="s">
        <v>2315</v>
      </c>
      <c r="B316" s="1139" t="s">
        <v>2540</v>
      </c>
      <c r="C316" s="824" t="s">
        <v>350</v>
      </c>
      <c r="D316" s="907"/>
      <c r="E316" s="825">
        <v>94.84</v>
      </c>
      <c r="F316" s="826">
        <f t="shared" si="23"/>
        <v>0</v>
      </c>
      <c r="G316" s="827">
        <f>MB!G4482</f>
        <v>94.84</v>
      </c>
      <c r="H316" s="908">
        <v>52</v>
      </c>
      <c r="I316" s="761">
        <f t="shared" si="22"/>
        <v>4932</v>
      </c>
      <c r="J316" s="1019">
        <f t="shared" si="24"/>
        <v>0</v>
      </c>
      <c r="K316" s="1019">
        <f t="shared" si="25"/>
        <v>4932</v>
      </c>
      <c r="L316" s="1282"/>
    </row>
    <row r="317" spans="1:12" s="833" customFormat="1">
      <c r="A317" s="885"/>
      <c r="B317" s="889"/>
      <c r="C317" s="824"/>
      <c r="D317" s="907"/>
      <c r="E317" s="825"/>
      <c r="F317" s="826">
        <f t="shared" si="23"/>
        <v>0</v>
      </c>
      <c r="G317" s="827"/>
      <c r="H317" s="908"/>
      <c r="I317" s="761">
        <f t="shared" si="22"/>
        <v>0</v>
      </c>
      <c r="J317" s="1019">
        <f t="shared" si="24"/>
        <v>0</v>
      </c>
      <c r="K317" s="1019">
        <f t="shared" si="25"/>
        <v>0</v>
      </c>
      <c r="L317" s="1282"/>
    </row>
    <row r="318" spans="1:12" s="833" customFormat="1" ht="31.5">
      <c r="A318" s="885" t="s">
        <v>2314</v>
      </c>
      <c r="B318" s="1139" t="s">
        <v>2541</v>
      </c>
      <c r="C318" s="824" t="s">
        <v>350</v>
      </c>
      <c r="D318" s="907"/>
      <c r="E318" s="825">
        <v>68.94</v>
      </c>
      <c r="F318" s="826">
        <f t="shared" si="23"/>
        <v>0</v>
      </c>
      <c r="G318" s="827">
        <f>MB!G4492</f>
        <v>68.94</v>
      </c>
      <c r="H318" s="908">
        <v>939</v>
      </c>
      <c r="I318" s="761">
        <f t="shared" si="22"/>
        <v>64735</v>
      </c>
      <c r="J318" s="1019">
        <f t="shared" si="24"/>
        <v>0</v>
      </c>
      <c r="K318" s="1019">
        <f t="shared" si="25"/>
        <v>64735</v>
      </c>
      <c r="L318" s="1282"/>
    </row>
    <row r="319" spans="1:12" s="833" customFormat="1">
      <c r="A319" s="885"/>
      <c r="B319" s="887"/>
      <c r="C319" s="824"/>
      <c r="D319" s="907"/>
      <c r="E319" s="825"/>
      <c r="F319" s="826">
        <f t="shared" si="23"/>
        <v>0</v>
      </c>
      <c r="G319" s="827"/>
      <c r="H319" s="908"/>
      <c r="I319" s="761">
        <f t="shared" si="22"/>
        <v>0</v>
      </c>
      <c r="J319" s="1019">
        <f t="shared" si="24"/>
        <v>0</v>
      </c>
      <c r="K319" s="1019">
        <f t="shared" si="25"/>
        <v>0</v>
      </c>
      <c r="L319" s="1282"/>
    </row>
    <row r="320" spans="1:12" s="833" customFormat="1" ht="157.5">
      <c r="A320" s="885" t="s">
        <v>2313</v>
      </c>
      <c r="B320" s="1139" t="s">
        <v>2535</v>
      </c>
      <c r="C320" s="823" t="s">
        <v>356</v>
      </c>
      <c r="D320" s="907"/>
      <c r="E320" s="825">
        <v>92</v>
      </c>
      <c r="F320" s="826">
        <f t="shared" si="23"/>
        <v>0</v>
      </c>
      <c r="G320" s="827">
        <f>MB!G4496</f>
        <v>92</v>
      </c>
      <c r="H320" s="908">
        <v>258</v>
      </c>
      <c r="I320" s="761">
        <f t="shared" si="22"/>
        <v>23736</v>
      </c>
      <c r="J320" s="1019">
        <f t="shared" si="24"/>
        <v>0</v>
      </c>
      <c r="K320" s="1019">
        <f t="shared" si="25"/>
        <v>23736</v>
      </c>
      <c r="L320" s="1282"/>
    </row>
    <row r="321" spans="1:12" s="833" customFormat="1">
      <c r="A321" s="885"/>
      <c r="B321" s="887"/>
      <c r="C321" s="823"/>
      <c r="D321" s="907"/>
      <c r="E321" s="825"/>
      <c r="F321" s="826">
        <f t="shared" si="23"/>
        <v>0</v>
      </c>
      <c r="G321" s="827"/>
      <c r="H321" s="908"/>
      <c r="I321" s="761">
        <f t="shared" si="22"/>
        <v>0</v>
      </c>
      <c r="J321" s="1019">
        <f t="shared" si="24"/>
        <v>0</v>
      </c>
      <c r="K321" s="1019">
        <f t="shared" si="25"/>
        <v>0</v>
      </c>
      <c r="L321" s="1282"/>
    </row>
    <row r="322" spans="1:12" s="833" customFormat="1" ht="110.25">
      <c r="A322" s="885" t="s">
        <v>2312</v>
      </c>
      <c r="B322" s="1139" t="s">
        <v>2536</v>
      </c>
      <c r="C322" s="823" t="s">
        <v>356</v>
      </c>
      <c r="D322" s="907"/>
      <c r="E322" s="825">
        <v>92</v>
      </c>
      <c r="F322" s="826">
        <f t="shared" si="23"/>
        <v>0</v>
      </c>
      <c r="G322" s="827">
        <f>MB!G4500</f>
        <v>92</v>
      </c>
      <c r="H322" s="908">
        <v>725</v>
      </c>
      <c r="I322" s="761">
        <f t="shared" si="22"/>
        <v>66700</v>
      </c>
      <c r="J322" s="1019">
        <f t="shared" si="24"/>
        <v>0</v>
      </c>
      <c r="K322" s="1019">
        <f t="shared" si="25"/>
        <v>66700</v>
      </c>
      <c r="L322" s="1282"/>
    </row>
    <row r="323" spans="1:12" s="833" customFormat="1">
      <c r="A323" s="885"/>
      <c r="B323" s="887"/>
      <c r="C323" s="823"/>
      <c r="D323" s="907"/>
      <c r="E323" s="825"/>
      <c r="F323" s="826">
        <f t="shared" si="23"/>
        <v>0</v>
      </c>
      <c r="G323" s="827"/>
      <c r="H323" s="908"/>
      <c r="I323" s="761">
        <f t="shared" si="22"/>
        <v>0</v>
      </c>
      <c r="J323" s="1019">
        <f t="shared" si="24"/>
        <v>0</v>
      </c>
      <c r="K323" s="1019">
        <f t="shared" si="25"/>
        <v>0</v>
      </c>
      <c r="L323" s="1282"/>
    </row>
    <row r="324" spans="1:12" s="833" customFormat="1" ht="78.75">
      <c r="A324" s="885" t="s">
        <v>2311</v>
      </c>
      <c r="B324" s="1139" t="s">
        <v>2537</v>
      </c>
      <c r="C324" s="823" t="s">
        <v>347</v>
      </c>
      <c r="D324" s="907"/>
      <c r="E324" s="825">
        <v>2.8899999999999997</v>
      </c>
      <c r="F324" s="826">
        <f t="shared" si="23"/>
        <v>0</v>
      </c>
      <c r="G324" s="827">
        <f>MB!G4506</f>
        <v>2.8899999999999997</v>
      </c>
      <c r="H324" s="908">
        <v>1249</v>
      </c>
      <c r="I324" s="761">
        <f t="shared" si="22"/>
        <v>3610</v>
      </c>
      <c r="J324" s="1019">
        <f t="shared" si="24"/>
        <v>0</v>
      </c>
      <c r="K324" s="1019">
        <f t="shared" si="25"/>
        <v>3610</v>
      </c>
      <c r="L324" s="1282"/>
    </row>
    <row r="325" spans="1:12" s="833" customFormat="1">
      <c r="A325" s="883"/>
      <c r="B325" s="887"/>
      <c r="C325" s="823"/>
      <c r="D325" s="907"/>
      <c r="E325" s="825"/>
      <c r="F325" s="826">
        <f t="shared" si="23"/>
        <v>0</v>
      </c>
      <c r="G325" s="827"/>
      <c r="H325" s="908"/>
      <c r="I325" s="761">
        <f t="shared" si="22"/>
        <v>0</v>
      </c>
      <c r="J325" s="1019">
        <f t="shared" si="24"/>
        <v>0</v>
      </c>
      <c r="K325" s="1019">
        <f t="shared" si="25"/>
        <v>0</v>
      </c>
      <c r="L325" s="1282"/>
    </row>
    <row r="326" spans="1:12" s="833" customFormat="1" ht="63">
      <c r="A326" s="885" t="s">
        <v>2279</v>
      </c>
      <c r="B326" s="1139" t="s">
        <v>2538</v>
      </c>
      <c r="C326" s="823" t="s">
        <v>347</v>
      </c>
      <c r="D326" s="907"/>
      <c r="E326" s="825">
        <v>135.38</v>
      </c>
      <c r="F326" s="826">
        <f t="shared" si="23"/>
        <v>0</v>
      </c>
      <c r="G326" s="827">
        <f>MB!G4514</f>
        <v>135.38</v>
      </c>
      <c r="H326" s="908">
        <v>1791</v>
      </c>
      <c r="I326" s="761">
        <f t="shared" si="22"/>
        <v>242466</v>
      </c>
      <c r="J326" s="1019">
        <f t="shared" si="24"/>
        <v>0</v>
      </c>
      <c r="K326" s="1019">
        <f t="shared" si="25"/>
        <v>242466</v>
      </c>
      <c r="L326" s="1282"/>
    </row>
    <row r="327" spans="1:12" s="833" customFormat="1">
      <c r="A327" s="885"/>
      <c r="B327" s="887"/>
      <c r="C327" s="823"/>
      <c r="D327" s="907"/>
      <c r="E327" s="825"/>
      <c r="F327" s="826"/>
      <c r="G327" s="827"/>
      <c r="H327" s="908"/>
      <c r="I327" s="761">
        <f t="shared" si="22"/>
        <v>0</v>
      </c>
      <c r="J327" s="1019"/>
      <c r="K327" s="1019"/>
      <c r="L327" s="1282"/>
    </row>
    <row r="328" spans="1:12" s="833" customFormat="1" ht="63">
      <c r="A328" s="885" t="s">
        <v>2508</v>
      </c>
      <c r="B328" s="1139" t="s">
        <v>2513</v>
      </c>
      <c r="C328" s="823" t="s">
        <v>350</v>
      </c>
      <c r="D328" s="907"/>
      <c r="E328" s="825">
        <v>44.64</v>
      </c>
      <c r="F328" s="826">
        <f t="shared" si="23"/>
        <v>0</v>
      </c>
      <c r="G328" s="827">
        <f>G142</f>
        <v>44.64</v>
      </c>
      <c r="H328" s="908">
        <v>-679</v>
      </c>
      <c r="I328" s="761">
        <f t="shared" si="22"/>
        <v>-30311</v>
      </c>
      <c r="J328" s="1019">
        <f t="shared" si="24"/>
        <v>0</v>
      </c>
      <c r="K328" s="1019">
        <f t="shared" si="25"/>
        <v>-30311</v>
      </c>
      <c r="L328" s="1282"/>
    </row>
    <row r="329" spans="1:12" s="833" customFormat="1" ht="0.75" customHeight="1">
      <c r="A329" s="885"/>
      <c r="B329" s="887"/>
      <c r="C329" s="823"/>
      <c r="D329" s="907"/>
      <c r="E329" s="825"/>
      <c r="F329" s="826"/>
      <c r="G329" s="827"/>
      <c r="H329" s="908"/>
      <c r="I329" s="1019"/>
      <c r="J329" s="1019"/>
      <c r="K329" s="1019"/>
      <c r="L329" s="1282"/>
    </row>
    <row r="330" spans="1:12" s="836" customFormat="1" ht="18">
      <c r="A330" s="890"/>
      <c r="B330" s="834" t="s">
        <v>1429</v>
      </c>
      <c r="C330" s="835"/>
      <c r="D330" s="911"/>
      <c r="E330" s="911"/>
      <c r="F330" s="912"/>
      <c r="G330" s="911"/>
      <c r="H330" s="912"/>
      <c r="I330" s="892">
        <f>SUM(I277:I329)</f>
        <v>7781601</v>
      </c>
      <c r="J330" s="892">
        <f>SUM(J277:J329)</f>
        <v>0</v>
      </c>
      <c r="K330" s="892">
        <f>SUM(K277:K329)</f>
        <v>7781601</v>
      </c>
      <c r="L330" s="1283"/>
    </row>
    <row r="332" spans="1:12">
      <c r="A332" s="755"/>
      <c r="B332" s="755"/>
      <c r="C332" s="913"/>
      <c r="D332" s="755"/>
      <c r="E332" s="755"/>
      <c r="F332" s="755"/>
      <c r="G332" s="755"/>
      <c r="I332" s="755"/>
      <c r="J332" s="755"/>
      <c r="K332" s="755"/>
    </row>
    <row r="333" spans="1:12">
      <c r="A333" s="755"/>
      <c r="B333" s="755"/>
      <c r="C333" s="913"/>
      <c r="D333" s="755"/>
      <c r="E333" s="755"/>
      <c r="F333" s="755"/>
      <c r="G333" s="755"/>
      <c r="I333" s="755"/>
      <c r="J333" s="755"/>
      <c r="K333" s="755"/>
    </row>
    <row r="334" spans="1:12">
      <c r="A334" s="755"/>
      <c r="B334" s="755"/>
      <c r="C334" s="913"/>
      <c r="D334" s="755"/>
      <c r="E334" s="755"/>
      <c r="F334" s="755"/>
      <c r="G334" s="755"/>
      <c r="I334" s="755"/>
      <c r="J334" s="820"/>
      <c r="K334" s="755"/>
    </row>
  </sheetData>
  <mergeCells count="13">
    <mergeCell ref="L4:L5"/>
    <mergeCell ref="I4:K4"/>
    <mergeCell ref="C258:C259"/>
    <mergeCell ref="A1:K1"/>
    <mergeCell ref="A2:K2"/>
    <mergeCell ref="B3:H3"/>
    <mergeCell ref="I3:K3"/>
    <mergeCell ref="A4:A5"/>
    <mergeCell ref="B4:B5"/>
    <mergeCell ref="C4:C5"/>
    <mergeCell ref="D4:D5"/>
    <mergeCell ref="E4:G4"/>
    <mergeCell ref="H4:H5"/>
  </mergeCells>
  <conditionalFormatting sqref="B221 A186 A188 A192:A199 A168:A170 A158 A166:B166 A172 B161 A115 B98 A64:B64 H55 F55 A8:B8 A247:B247 A246 B9 A19:B19 A29:B29 A58:B58 A75:B97 B100 A116:B123 A160:B160 A162:B164 B167:B171 A177:B185 A189:B191 B193:B197 A253:B256 A101:B114 A279:B279 A291:B291 A290 A316 A317:B317 A278 A283:B283 A282 A287:B287 A286 A289:B289 A288 A293:B293 A292 A299:B299 A298 A301:B301 A300 A303:B303 A302 A295:B295 A294 A305:B305 A304 A309:B309 A308 A311:B311 A310 A281:B281 A280 A285:B285 A284 A297:B297 A296 A312 A321:B321 A320 A323:B323 A322 A325:B325 A324 A327:B327 A326 A307:B307 A306 A319:B319 A318 A329:B329 A328 B199:B209 A313:B315">
    <cfRule type="cellIs" dxfId="129" priority="205" stopIfTrue="1" operator="equal">
      <formula>0</formula>
    </cfRule>
  </conditionalFormatting>
  <conditionalFormatting sqref="B115">
    <cfRule type="cellIs" dxfId="128" priority="204" stopIfTrue="1" operator="equal">
      <formula>0</formula>
    </cfRule>
  </conditionalFormatting>
  <conditionalFormatting sqref="B291 B317 B279 B283 B287 B289 B293 B299 B301 B303 B295 B305 B309 B311 B281 B285 B297 B321 B323 B325 B327 B307 B319 B329:B1048576 B1:B239 B241:B277 B313:B315">
    <cfRule type="containsText" dxfId="127" priority="189" operator="containsText" text="GRC JALI">
      <formula>NOT(ISERROR(SEARCH("GRC JALI",B1)))</formula>
    </cfRule>
    <cfRule type="containsText" dxfId="126" priority="190" operator="containsText" text="GYPSUM">
      <formula>NOT(ISERROR(SEARCH("GYPSUM",B1)))</formula>
    </cfRule>
  </conditionalFormatting>
  <conditionalFormatting sqref="B10">
    <cfRule type="cellIs" dxfId="125" priority="188" stopIfTrue="1" operator="equal">
      <formula>0</formula>
    </cfRule>
  </conditionalFormatting>
  <conditionalFormatting sqref="B11">
    <cfRule type="cellIs" dxfId="124" priority="187" stopIfTrue="1" operator="equal">
      <formula>0</formula>
    </cfRule>
  </conditionalFormatting>
  <conditionalFormatting sqref="B12">
    <cfRule type="cellIs" dxfId="123" priority="186" stopIfTrue="1" operator="equal">
      <formula>0</formula>
    </cfRule>
  </conditionalFormatting>
  <conditionalFormatting sqref="B14">
    <cfRule type="cellIs" dxfId="122" priority="185" stopIfTrue="1" operator="equal">
      <formula>0</formula>
    </cfRule>
  </conditionalFormatting>
  <conditionalFormatting sqref="B16">
    <cfRule type="cellIs" dxfId="121" priority="184" stopIfTrue="1" operator="equal">
      <formula>0</formula>
    </cfRule>
  </conditionalFormatting>
  <conditionalFormatting sqref="B20">
    <cfRule type="cellIs" dxfId="120" priority="183" stopIfTrue="1" operator="equal">
      <formula>0</formula>
    </cfRule>
  </conditionalFormatting>
  <conditionalFormatting sqref="B11">
    <cfRule type="cellIs" dxfId="119" priority="182" stopIfTrue="1" operator="equal">
      <formula>0</formula>
    </cfRule>
  </conditionalFormatting>
  <conditionalFormatting sqref="B24">
    <cfRule type="cellIs" dxfId="118" priority="181" stopIfTrue="1" operator="equal">
      <formula>0</formula>
    </cfRule>
  </conditionalFormatting>
  <conditionalFormatting sqref="B26">
    <cfRule type="cellIs" dxfId="117" priority="180" stopIfTrue="1" operator="equal">
      <formula>0</formula>
    </cfRule>
  </conditionalFormatting>
  <conditionalFormatting sqref="B25">
    <cfRule type="cellIs" dxfId="116" priority="179" stopIfTrue="1" operator="equal">
      <formula>0</formula>
    </cfRule>
  </conditionalFormatting>
  <conditionalFormatting sqref="B27">
    <cfRule type="cellIs" dxfId="115" priority="178" stopIfTrue="1" operator="equal">
      <formula>0</formula>
    </cfRule>
  </conditionalFormatting>
  <conditionalFormatting sqref="B31">
    <cfRule type="cellIs" dxfId="114" priority="177" stopIfTrue="1" operator="equal">
      <formula>0</formula>
    </cfRule>
  </conditionalFormatting>
  <conditionalFormatting sqref="B33">
    <cfRule type="cellIs" dxfId="113" priority="176" stopIfTrue="1" operator="equal">
      <formula>0</formula>
    </cfRule>
  </conditionalFormatting>
  <conditionalFormatting sqref="B38">
    <cfRule type="cellIs" dxfId="112" priority="175" stopIfTrue="1" operator="equal">
      <formula>0</formula>
    </cfRule>
  </conditionalFormatting>
  <conditionalFormatting sqref="B42">
    <cfRule type="cellIs" dxfId="111" priority="174" stopIfTrue="1" operator="equal">
      <formula>0</formula>
    </cfRule>
  </conditionalFormatting>
  <conditionalFormatting sqref="B50">
    <cfRule type="cellIs" dxfId="110" priority="173" stopIfTrue="1" operator="equal">
      <formula>0</formula>
    </cfRule>
  </conditionalFormatting>
  <conditionalFormatting sqref="B54">
    <cfRule type="cellIs" dxfId="109" priority="172" stopIfTrue="1" operator="equal">
      <formula>0</formula>
    </cfRule>
  </conditionalFormatting>
  <conditionalFormatting sqref="B59">
    <cfRule type="cellIs" dxfId="108" priority="171" stopIfTrue="1" operator="equal">
      <formula>0</formula>
    </cfRule>
  </conditionalFormatting>
  <conditionalFormatting sqref="B61">
    <cfRule type="cellIs" dxfId="107" priority="170" stopIfTrue="1" operator="equal">
      <formula>0</formula>
    </cfRule>
  </conditionalFormatting>
  <conditionalFormatting sqref="B66">
    <cfRule type="cellIs" dxfId="106" priority="169" stopIfTrue="1" operator="equal">
      <formula>0</formula>
    </cfRule>
  </conditionalFormatting>
  <conditionalFormatting sqref="B70">
    <cfRule type="cellIs" dxfId="105" priority="168" stopIfTrue="1" operator="equal">
      <formula>0</formula>
    </cfRule>
  </conditionalFormatting>
  <conditionalFormatting sqref="B125">
    <cfRule type="cellIs" dxfId="104" priority="167" stopIfTrue="1" operator="equal">
      <formula>0</formula>
    </cfRule>
  </conditionalFormatting>
  <conditionalFormatting sqref="B126">
    <cfRule type="cellIs" dxfId="103" priority="166" stopIfTrue="1" operator="equal">
      <formula>0</formula>
    </cfRule>
  </conditionalFormatting>
  <conditionalFormatting sqref="B127">
    <cfRule type="cellIs" dxfId="102" priority="165" stopIfTrue="1" operator="equal">
      <formula>0</formula>
    </cfRule>
  </conditionalFormatting>
  <conditionalFormatting sqref="B131">
    <cfRule type="cellIs" dxfId="101" priority="164" stopIfTrue="1" operator="equal">
      <formula>0</formula>
    </cfRule>
  </conditionalFormatting>
  <conditionalFormatting sqref="B134">
    <cfRule type="cellIs" dxfId="100" priority="163" stopIfTrue="1" operator="equal">
      <formula>0</formula>
    </cfRule>
  </conditionalFormatting>
  <conditionalFormatting sqref="B135">
    <cfRule type="cellIs" dxfId="99" priority="162" stopIfTrue="1" operator="equal">
      <formula>0</formula>
    </cfRule>
  </conditionalFormatting>
  <conditionalFormatting sqref="B136">
    <cfRule type="cellIs" dxfId="98" priority="161" stopIfTrue="1" operator="equal">
      <formula>0</formula>
    </cfRule>
  </conditionalFormatting>
  <conditionalFormatting sqref="B137">
    <cfRule type="cellIs" dxfId="97" priority="160" stopIfTrue="1" operator="equal">
      <formula>0</formula>
    </cfRule>
  </conditionalFormatting>
  <conditionalFormatting sqref="B139">
    <cfRule type="cellIs" dxfId="96" priority="159" stopIfTrue="1" operator="equal">
      <formula>0</formula>
    </cfRule>
  </conditionalFormatting>
  <conditionalFormatting sqref="B140">
    <cfRule type="cellIs" dxfId="95" priority="158" stopIfTrue="1" operator="equal">
      <formula>0</formula>
    </cfRule>
  </conditionalFormatting>
  <conditionalFormatting sqref="B142">
    <cfRule type="cellIs" dxfId="94" priority="157" stopIfTrue="1" operator="equal">
      <formula>0</formula>
    </cfRule>
  </conditionalFormatting>
  <conditionalFormatting sqref="B152">
    <cfRule type="cellIs" dxfId="93" priority="156" stopIfTrue="1" operator="equal">
      <formula>0</formula>
    </cfRule>
  </conditionalFormatting>
  <conditionalFormatting sqref="B155">
    <cfRule type="cellIs" dxfId="92" priority="155" stopIfTrue="1" operator="equal">
      <formula>0</formula>
    </cfRule>
  </conditionalFormatting>
  <conditionalFormatting sqref="B156">
    <cfRule type="cellIs" dxfId="91" priority="154" stopIfTrue="1" operator="equal">
      <formula>0</formula>
    </cfRule>
  </conditionalFormatting>
  <conditionalFormatting sqref="B157">
    <cfRule type="cellIs" dxfId="90" priority="153" stopIfTrue="1" operator="equal">
      <formula>0</formula>
    </cfRule>
  </conditionalFormatting>
  <conditionalFormatting sqref="B173">
    <cfRule type="cellIs" dxfId="89" priority="152" stopIfTrue="1" operator="equal">
      <formula>0</formula>
    </cfRule>
  </conditionalFormatting>
  <conditionalFormatting sqref="B175">
    <cfRule type="cellIs" dxfId="88" priority="151" stopIfTrue="1" operator="equal">
      <formula>0</formula>
    </cfRule>
  </conditionalFormatting>
  <conditionalFormatting sqref="B188">
    <cfRule type="cellIs" dxfId="87" priority="150" stopIfTrue="1" operator="equal">
      <formula>0</formula>
    </cfRule>
  </conditionalFormatting>
  <conditionalFormatting sqref="B198">
    <cfRule type="cellIs" dxfId="86" priority="149" stopIfTrue="1" operator="equal">
      <formula>0</formula>
    </cfRule>
  </conditionalFormatting>
  <conditionalFormatting sqref="B210">
    <cfRule type="cellIs" dxfId="85" priority="148" stopIfTrue="1" operator="equal">
      <formula>0</formula>
    </cfRule>
  </conditionalFormatting>
  <conditionalFormatting sqref="B220">
    <cfRule type="cellIs" dxfId="84" priority="147" stopIfTrue="1" operator="equal">
      <formula>0</formula>
    </cfRule>
  </conditionalFormatting>
  <conditionalFormatting sqref="B223">
    <cfRule type="cellIs" dxfId="83" priority="146" stopIfTrue="1" operator="equal">
      <formula>0</formula>
    </cfRule>
  </conditionalFormatting>
  <conditionalFormatting sqref="B224">
    <cfRule type="cellIs" dxfId="82" priority="145" stopIfTrue="1" operator="equal">
      <formula>0</formula>
    </cfRule>
  </conditionalFormatting>
  <conditionalFormatting sqref="B225">
    <cfRule type="cellIs" dxfId="81" priority="144" stopIfTrue="1" operator="equal">
      <formula>0</formula>
    </cfRule>
  </conditionalFormatting>
  <conditionalFormatting sqref="B226">
    <cfRule type="cellIs" dxfId="80" priority="143" stopIfTrue="1" operator="equal">
      <formula>0</formula>
    </cfRule>
  </conditionalFormatting>
  <conditionalFormatting sqref="B227">
    <cfRule type="cellIs" dxfId="79" priority="142" stopIfTrue="1" operator="equal">
      <formula>0</formula>
    </cfRule>
  </conditionalFormatting>
  <conditionalFormatting sqref="B228">
    <cfRule type="cellIs" dxfId="78" priority="141" stopIfTrue="1" operator="equal">
      <formula>0</formula>
    </cfRule>
  </conditionalFormatting>
  <conditionalFormatting sqref="B231">
    <cfRule type="cellIs" dxfId="77" priority="140" stopIfTrue="1" operator="equal">
      <formula>0</formula>
    </cfRule>
  </conditionalFormatting>
  <conditionalFormatting sqref="B232">
    <cfRule type="cellIs" dxfId="76" priority="139" stopIfTrue="1" operator="equal">
      <formula>0</formula>
    </cfRule>
  </conditionalFormatting>
  <conditionalFormatting sqref="B234">
    <cfRule type="cellIs" dxfId="75" priority="138" stopIfTrue="1" operator="equal">
      <formula>0</formula>
    </cfRule>
  </conditionalFormatting>
  <conditionalFormatting sqref="B232">
    <cfRule type="cellIs" dxfId="74" priority="137" stopIfTrue="1" operator="equal">
      <formula>0</formula>
    </cfRule>
  </conditionalFormatting>
  <conditionalFormatting sqref="B249">
    <cfRule type="cellIs" dxfId="73" priority="136" stopIfTrue="1" operator="equal">
      <formula>0</formula>
    </cfRule>
  </conditionalFormatting>
  <conditionalFormatting sqref="B259">
    <cfRule type="cellIs" dxfId="72" priority="135" stopIfTrue="1" operator="equal">
      <formula>0</formula>
    </cfRule>
  </conditionalFormatting>
  <conditionalFormatting sqref="B264">
    <cfRule type="cellIs" dxfId="71" priority="134" stopIfTrue="1" operator="equal">
      <formula>0</formula>
    </cfRule>
  </conditionalFormatting>
  <conditionalFormatting sqref="B267">
    <cfRule type="cellIs" dxfId="70" priority="133" stopIfTrue="1" operator="equal">
      <formula>0</formula>
    </cfRule>
  </conditionalFormatting>
  <conditionalFormatting sqref="B270">
    <cfRule type="cellIs" dxfId="69" priority="132" stopIfTrue="1" operator="equal">
      <formula>0</formula>
    </cfRule>
  </conditionalFormatting>
  <conditionalFormatting sqref="B273">
    <cfRule type="cellIs" dxfId="68" priority="131" stopIfTrue="1" operator="equal">
      <formula>0</formula>
    </cfRule>
  </conditionalFormatting>
  <conditionalFormatting sqref="B273">
    <cfRule type="cellIs" dxfId="67" priority="130" stopIfTrue="1" operator="equal">
      <formula>0</formula>
    </cfRule>
  </conditionalFormatting>
  <conditionalFormatting sqref="B144">
    <cfRule type="cellIs" dxfId="66" priority="126" stopIfTrue="1" operator="equal">
      <formula>0</formula>
    </cfRule>
  </conditionalFormatting>
  <conditionalFormatting sqref="B146">
    <cfRule type="cellIs" dxfId="65" priority="125" stopIfTrue="1" operator="equal">
      <formula>0</formula>
    </cfRule>
  </conditionalFormatting>
  <conditionalFormatting sqref="B149">
    <cfRule type="cellIs" dxfId="64" priority="124" stopIfTrue="1" operator="equal">
      <formula>0</formula>
    </cfRule>
  </conditionalFormatting>
  <conditionalFormatting sqref="B160">
    <cfRule type="cellIs" dxfId="63" priority="123" stopIfTrue="1" operator="equal">
      <formula>0</formula>
    </cfRule>
  </conditionalFormatting>
  <conditionalFormatting sqref="B278">
    <cfRule type="containsText" dxfId="62" priority="117" operator="containsText" text="GRC JALI">
      <formula>NOT(ISERROR(SEARCH("GRC JALI",B278)))</formula>
    </cfRule>
    <cfRule type="containsText" dxfId="61" priority="118" operator="containsText" text="GYPSUM">
      <formula>NOT(ISERROR(SEARCH("GYPSUM",B278)))</formula>
    </cfRule>
  </conditionalFormatting>
  <conditionalFormatting sqref="B278">
    <cfRule type="cellIs" dxfId="60" priority="116" stopIfTrue="1" operator="equal">
      <formula>0</formula>
    </cfRule>
  </conditionalFormatting>
  <conditionalFormatting sqref="B280">
    <cfRule type="containsText" dxfId="59" priority="84" operator="containsText" text="GRC JALI">
      <formula>NOT(ISERROR(SEARCH("GRC JALI",B280)))</formula>
    </cfRule>
    <cfRule type="containsText" dxfId="58" priority="85" operator="containsText" text="GYPSUM">
      <formula>NOT(ISERROR(SEARCH("GYPSUM",B280)))</formula>
    </cfRule>
  </conditionalFormatting>
  <conditionalFormatting sqref="B280">
    <cfRule type="cellIs" dxfId="57" priority="83" stopIfTrue="1" operator="equal">
      <formula>0</formula>
    </cfRule>
  </conditionalFormatting>
  <conditionalFormatting sqref="B284">
    <cfRule type="containsText" dxfId="56" priority="78" operator="containsText" text="GRC JALI">
      <formula>NOT(ISERROR(SEARCH("GRC JALI",B284)))</formula>
    </cfRule>
    <cfRule type="containsText" dxfId="55" priority="79" operator="containsText" text="GYPSUM">
      <formula>NOT(ISERROR(SEARCH("GYPSUM",B284)))</formula>
    </cfRule>
  </conditionalFormatting>
  <conditionalFormatting sqref="B284">
    <cfRule type="cellIs" dxfId="54" priority="77" stopIfTrue="1" operator="equal">
      <formula>0</formula>
    </cfRule>
  </conditionalFormatting>
  <conditionalFormatting sqref="B292">
    <cfRule type="containsText" dxfId="53" priority="69" operator="containsText" text="GRC JALI">
      <formula>NOT(ISERROR(SEARCH("GRC JALI",B292)))</formula>
    </cfRule>
    <cfRule type="containsText" dxfId="52" priority="70" operator="containsText" text="GYPSUM">
      <formula>NOT(ISERROR(SEARCH("GYPSUM",B292)))</formula>
    </cfRule>
  </conditionalFormatting>
  <conditionalFormatting sqref="B292">
    <cfRule type="cellIs" dxfId="51" priority="68" stopIfTrue="1" operator="equal">
      <formula>0</formula>
    </cfRule>
  </conditionalFormatting>
  <conditionalFormatting sqref="B294">
    <cfRule type="containsText" dxfId="50" priority="66" operator="containsText" text="GRC JALI">
      <formula>NOT(ISERROR(SEARCH("GRC JALI",B294)))</formula>
    </cfRule>
    <cfRule type="containsText" dxfId="49" priority="67" operator="containsText" text="GYPSUM">
      <formula>NOT(ISERROR(SEARCH("GYPSUM",B294)))</formula>
    </cfRule>
  </conditionalFormatting>
  <conditionalFormatting sqref="B294">
    <cfRule type="cellIs" dxfId="48" priority="65" stopIfTrue="1" operator="equal">
      <formula>0</formula>
    </cfRule>
  </conditionalFormatting>
  <conditionalFormatting sqref="B298">
    <cfRule type="containsText" dxfId="47" priority="63" operator="containsText" text="GRC JALI">
      <formula>NOT(ISERROR(SEARCH("GRC JALI",B298)))</formula>
    </cfRule>
    <cfRule type="containsText" dxfId="46" priority="64" operator="containsText" text="GYPSUM">
      <formula>NOT(ISERROR(SEARCH("GYPSUM",B298)))</formula>
    </cfRule>
  </conditionalFormatting>
  <conditionalFormatting sqref="B298">
    <cfRule type="cellIs" dxfId="45" priority="62" stopIfTrue="1" operator="equal">
      <formula>0</formula>
    </cfRule>
  </conditionalFormatting>
  <conditionalFormatting sqref="B296">
    <cfRule type="containsText" dxfId="44" priority="60" operator="containsText" text="GRC JALI">
      <formula>NOT(ISERROR(SEARCH("GRC JALI",B296)))</formula>
    </cfRule>
    <cfRule type="containsText" dxfId="43" priority="61" operator="containsText" text="GYPSUM">
      <formula>NOT(ISERROR(SEARCH("GYPSUM",B296)))</formula>
    </cfRule>
  </conditionalFormatting>
  <conditionalFormatting sqref="B296">
    <cfRule type="cellIs" dxfId="42" priority="59" stopIfTrue="1" operator="equal">
      <formula>0</formula>
    </cfRule>
  </conditionalFormatting>
  <conditionalFormatting sqref="B328">
    <cfRule type="containsText" dxfId="41" priority="9" operator="containsText" text="GRC JALI">
      <formula>NOT(ISERROR(SEARCH("GRC JALI",B328)))</formula>
    </cfRule>
    <cfRule type="containsText" dxfId="40" priority="10" operator="containsText" text="GYPSUM">
      <formula>NOT(ISERROR(SEARCH("GYPSUM",B328)))</formula>
    </cfRule>
  </conditionalFormatting>
  <conditionalFormatting sqref="B328">
    <cfRule type="cellIs" dxfId="39" priority="8" stopIfTrue="1" operator="equal">
      <formula>0</formula>
    </cfRule>
  </conditionalFormatting>
  <conditionalFormatting sqref="B300">
    <cfRule type="containsText" dxfId="38" priority="54" operator="containsText" text="GRC JALI">
      <formula>NOT(ISERROR(SEARCH("GRC JALI",B300)))</formula>
    </cfRule>
    <cfRule type="containsText" dxfId="37" priority="55" operator="containsText" text="GYPSUM">
      <formula>NOT(ISERROR(SEARCH("GYPSUM",B300)))</formula>
    </cfRule>
  </conditionalFormatting>
  <conditionalFormatting sqref="B300">
    <cfRule type="cellIs" dxfId="36" priority="53" stopIfTrue="1" operator="equal">
      <formula>0</formula>
    </cfRule>
  </conditionalFormatting>
  <conditionalFormatting sqref="B302">
    <cfRule type="containsText" dxfId="35" priority="51" operator="containsText" text="GRC JALI">
      <formula>NOT(ISERROR(SEARCH("GRC JALI",B302)))</formula>
    </cfRule>
    <cfRule type="containsText" dxfId="34" priority="52" operator="containsText" text="GYPSUM">
      <formula>NOT(ISERROR(SEARCH("GYPSUM",B302)))</formula>
    </cfRule>
  </conditionalFormatting>
  <conditionalFormatting sqref="B302">
    <cfRule type="cellIs" dxfId="33" priority="50" stopIfTrue="1" operator="equal">
      <formula>0</formula>
    </cfRule>
  </conditionalFormatting>
  <conditionalFormatting sqref="B304">
    <cfRule type="containsText" dxfId="32" priority="48" operator="containsText" text="GRC JALI">
      <formula>NOT(ISERROR(SEARCH("GRC JALI",B304)))</formula>
    </cfRule>
    <cfRule type="containsText" dxfId="31" priority="49" operator="containsText" text="GYPSUM">
      <formula>NOT(ISERROR(SEARCH("GYPSUM",B304)))</formula>
    </cfRule>
  </conditionalFormatting>
  <conditionalFormatting sqref="B304">
    <cfRule type="cellIs" dxfId="30" priority="47" stopIfTrue="1" operator="equal">
      <formula>0</formula>
    </cfRule>
  </conditionalFormatting>
  <conditionalFormatting sqref="B306">
    <cfRule type="containsText" dxfId="29" priority="45" operator="containsText" text="GRC JALI">
      <formula>NOT(ISERROR(SEARCH("GRC JALI",B306)))</formula>
    </cfRule>
    <cfRule type="containsText" dxfId="28" priority="46" operator="containsText" text="GYPSUM">
      <formula>NOT(ISERROR(SEARCH("GYPSUM",B306)))</formula>
    </cfRule>
  </conditionalFormatting>
  <conditionalFormatting sqref="B306">
    <cfRule type="cellIs" dxfId="27" priority="44" stopIfTrue="1" operator="equal">
      <formula>0</formula>
    </cfRule>
  </conditionalFormatting>
  <conditionalFormatting sqref="B308">
    <cfRule type="containsText" dxfId="26" priority="42" operator="containsText" text="GRC JALI">
      <formula>NOT(ISERROR(SEARCH("GRC JALI",B308)))</formula>
    </cfRule>
    <cfRule type="containsText" dxfId="25" priority="43" operator="containsText" text="GYPSUM">
      <formula>NOT(ISERROR(SEARCH("GYPSUM",B308)))</formula>
    </cfRule>
  </conditionalFormatting>
  <conditionalFormatting sqref="B308">
    <cfRule type="cellIs" dxfId="24" priority="41" stopIfTrue="1" operator="equal">
      <formula>0</formula>
    </cfRule>
  </conditionalFormatting>
  <conditionalFormatting sqref="B312">
    <cfRule type="containsText" dxfId="23" priority="36" operator="containsText" text="GRC JALI">
      <formula>NOT(ISERROR(SEARCH("GRC JALI",B312)))</formula>
    </cfRule>
    <cfRule type="containsText" dxfId="22" priority="37" operator="containsText" text="GYPSUM">
      <formula>NOT(ISERROR(SEARCH("GYPSUM",B312)))</formula>
    </cfRule>
  </conditionalFormatting>
  <conditionalFormatting sqref="B312">
    <cfRule type="cellIs" dxfId="21" priority="35" stopIfTrue="1" operator="equal">
      <formula>0</formula>
    </cfRule>
  </conditionalFormatting>
  <conditionalFormatting sqref="B318">
    <cfRule type="containsText" dxfId="20" priority="30" operator="containsText" text="GRC JALI">
      <formula>NOT(ISERROR(SEARCH("GRC JALI",B318)))</formula>
    </cfRule>
    <cfRule type="containsText" dxfId="19" priority="31" operator="containsText" text="GYPSUM">
      <formula>NOT(ISERROR(SEARCH("GYPSUM",B318)))</formula>
    </cfRule>
  </conditionalFormatting>
  <conditionalFormatting sqref="B318">
    <cfRule type="cellIs" dxfId="18" priority="29" stopIfTrue="1" operator="equal">
      <formula>0</formula>
    </cfRule>
  </conditionalFormatting>
  <conditionalFormatting sqref="B320">
    <cfRule type="containsText" dxfId="17" priority="27" operator="containsText" text="GRC JALI">
      <formula>NOT(ISERROR(SEARCH("GRC JALI",B320)))</formula>
    </cfRule>
    <cfRule type="containsText" dxfId="16" priority="28" operator="containsText" text="GYPSUM">
      <formula>NOT(ISERROR(SEARCH("GYPSUM",B320)))</formula>
    </cfRule>
  </conditionalFormatting>
  <conditionalFormatting sqref="B320">
    <cfRule type="cellIs" dxfId="15" priority="26" stopIfTrue="1" operator="equal">
      <formula>0</formula>
    </cfRule>
  </conditionalFormatting>
  <conditionalFormatting sqref="B322">
    <cfRule type="containsText" dxfId="14" priority="24" operator="containsText" text="GRC JALI">
      <formula>NOT(ISERROR(SEARCH("GRC JALI",B322)))</formula>
    </cfRule>
    <cfRule type="containsText" dxfId="13" priority="25" operator="containsText" text="GYPSUM">
      <formula>NOT(ISERROR(SEARCH("GYPSUM",B322)))</formula>
    </cfRule>
  </conditionalFormatting>
  <conditionalFormatting sqref="B322">
    <cfRule type="cellIs" dxfId="12" priority="23" stopIfTrue="1" operator="equal">
      <formula>0</formula>
    </cfRule>
  </conditionalFormatting>
  <conditionalFormatting sqref="B324">
    <cfRule type="containsText" dxfId="11" priority="15" operator="containsText" text="GRC JALI">
      <formula>NOT(ISERROR(SEARCH("GRC JALI",B324)))</formula>
    </cfRule>
    <cfRule type="containsText" dxfId="10" priority="16" operator="containsText" text="GYPSUM">
      <formula>NOT(ISERROR(SEARCH("GYPSUM",B324)))</formula>
    </cfRule>
  </conditionalFormatting>
  <conditionalFormatting sqref="B324">
    <cfRule type="cellIs" dxfId="9" priority="14" stopIfTrue="1" operator="equal">
      <formula>0</formula>
    </cfRule>
  </conditionalFormatting>
  <conditionalFormatting sqref="B326">
    <cfRule type="containsText" dxfId="8" priority="12" operator="containsText" text="GRC JALI">
      <formula>NOT(ISERROR(SEARCH("GRC JALI",B326)))</formula>
    </cfRule>
    <cfRule type="containsText" dxfId="7" priority="13" operator="containsText" text="GYPSUM">
      <formula>NOT(ISERROR(SEARCH("GYPSUM",B326)))</formula>
    </cfRule>
  </conditionalFormatting>
  <conditionalFormatting sqref="B326">
    <cfRule type="cellIs" dxfId="6" priority="11" stopIfTrue="1" operator="equal">
      <formula>0</formula>
    </cfRule>
  </conditionalFormatting>
  <conditionalFormatting sqref="B310">
    <cfRule type="containsText" dxfId="5" priority="2" operator="containsText" text="GRC JALI">
      <formula>NOT(ISERROR(SEARCH("GRC JALI",B310)))</formula>
    </cfRule>
    <cfRule type="containsText" dxfId="4" priority="3" operator="containsText" text="GYPSUM">
      <formula>NOT(ISERROR(SEARCH("GYPSUM",B310)))</formula>
    </cfRule>
  </conditionalFormatting>
  <conditionalFormatting sqref="B310">
    <cfRule type="cellIs" dxfId="3" priority="1" stopIfTrue="1" operator="equal">
      <formula>0</formula>
    </cfRule>
  </conditionalFormatting>
  <pageMargins left="0.16" right="0.15748031496063" top="0.27559055118110198" bottom="0.27559055118110198" header="0.118110236220472" footer="0.196850393700787"/>
  <pageSetup paperSize="9" scale="69" orientation="landscape" verticalDpi="300" r:id="rId1"/>
  <headerFooter>
    <oddFooter>Page &amp;P</oddFooter>
  </headerFooter>
  <rowBreaks count="1" manualBreakCount="1">
    <brk id="276" max="16383" man="1"/>
  </rowBreaks>
  <ignoredErrors>
    <ignoredError sqref="A317:D317 C316:D316 A335:XFD1048576 A321:D321 C320:D320 A323:D323 C322:D322 A332:G334 M332:XFD332 A1:XFD1 A319:D319 A6:XFD8 A3 C3:H3 J3:XFD3 A34:D34 A256:E258 A240:D240 A141:E141 C140:D140 A289:D289 A60:E65 A59 C59:D59 A9 C9:XFD9 C318:D318 K333:XFD334 A233:E239 A10:D13 A28:E33 A27:D27 A39:E43 A38:D38 A45:E49 A44:D44 A51:E53 A50 A54:D54 A81:E86 A80 A88:E91 A87 A92:D92 A112:E113 A111:D111 H111 A115:F120 A114:D114 A121:D121 A136:E136 A143:E143 A142 H142:I142 A145:E145 A144 H144:I144 A147:E151 A146 A152:D152 A165:F170 A164:D164 A173:I183 A171:D171 A185:E189 A184:D184 A191:E195 A190:D190 A197:E200 A196:D196 A202:E204 A201:D201 A206:E206 A205:D205 A207:D207 A215:E217 A214:D214 A219:E219 A218:D218 A221:E222 A220:D220 A230:E231 A228:D228 A232:D232 A260:E263 A259:D259 A276:XFD276 A275 O275:XFD275 A279 A283:D283 C280:D280 A285:D285 C284:D284 C286:D286 C290:D290 C292:D292 B294:D294 B296:D296 A301:D301 C298:D298 A303:D303 C302:D302 C304:D304 I133:I135 A229 I92 M103:XFD103 L298:XFD298 C50:D50 C279:E279 J278:XFD278 I121 A133:D135 A154:E163 I154 A241 C241:E241 C278:D278 C275:K275 H257:I274 A277 C277:XFD277 C282:D282 G256:I256 C288:D288 C264:D264 A264 H230:I255 A265:E274 C300:D300 A305:D305 A307:D307 B306:D306 A309:D309 C308:D308 A311:D311 C310:D310 C312:D312 D313 A325:B325 C324:D324 A331:XFD331 D325:D326 I229 C229:D229 A224:E227 A223 C223:E223 J260:J261 A35:E37 A330:H330 L330:XFD330 H10:XFD10 A14:E26 A55:F58 L11:XFD30 H11:I91 H112:I120 H136:I140 G141:I141 G143:I143 G145:I145 A67:E79 A66 C66:E66 C80:D80 C87:D87 A93:E99 H93:I110 A122:E130 H122:I132 A138:E138 A137 C137:E137 A139:A140 C139:E139 C142:D142 H146:I151 L104:XFD106 H155:I170 H184 G208:I208 A208:E208 H209:I219 H220:J220 H221:I227 A242:E249 G317:H317 G321:H321 G323:H323 G319:H319 G289:H289 G283:H283 G285:H285 G301:H301 G303:H303 G279:H279 G305:H305 G307:H307 G309:H309 G311:H311 H325 L292:XFD292 L294:XFD294 L296:XFD296 L288:XFD290 L282:XFD286 L279:XFD280 L316:XFD326 A101:E106 A100 C100:E100 C144:D144 C146:D146 B2:XFD2 A132:E132 A131 C131:E131 H185:I207 L154:XFD274 L300:XFD313 A4:K4 M4:XFD5 A5:F5 H5:K5 L51:XFD102 M50:XFD50 L45:XFD49 M44:XFD44 L32:XFD43 M31:XFD31 A108:E110 A107:D107 L108:XFD152 M107:XFD107 A210:E213 A209:D209 A251:E255 A250:D25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7"/>
  <sheetViews>
    <sheetView view="pageBreakPreview" zoomScaleNormal="100" zoomScaleSheetLayoutView="100" workbookViewId="0">
      <selection activeCell="H3" sqref="H3"/>
    </sheetView>
  </sheetViews>
  <sheetFormatPr defaultRowHeight="15"/>
  <cols>
    <col min="1" max="1" width="6.42578125" customWidth="1"/>
    <col min="2" max="2" width="18.5703125" customWidth="1"/>
    <col min="3" max="3" width="10" customWidth="1"/>
    <col min="4" max="4" width="11" customWidth="1"/>
    <col min="5" max="5" width="13.42578125" customWidth="1"/>
    <col min="6" max="6" width="12.28515625" customWidth="1"/>
    <col min="7" max="7" width="9" customWidth="1"/>
    <col min="8" max="8" width="11.42578125" customWidth="1"/>
    <col min="9" max="9" width="11" customWidth="1"/>
    <col min="12" max="12" width="14.5703125" bestFit="1" customWidth="1"/>
    <col min="13" max="13" width="16.140625" bestFit="1" customWidth="1"/>
    <col min="14" max="14" width="14.5703125" bestFit="1" customWidth="1"/>
  </cols>
  <sheetData>
    <row r="1" spans="1:135" s="84" customFormat="1" ht="22.5" customHeight="1">
      <c r="A1" s="1063" t="s">
        <v>1</v>
      </c>
      <c r="B1" s="1063"/>
      <c r="C1" s="1063"/>
      <c r="D1" s="1063"/>
      <c r="E1" s="1063"/>
      <c r="F1" s="1063"/>
      <c r="G1" s="1063"/>
      <c r="H1" s="1063"/>
      <c r="I1" s="1063"/>
      <c r="J1" s="1063"/>
      <c r="K1" s="1063"/>
      <c r="L1" s="83"/>
    </row>
    <row r="2" spans="1:135" s="84" customFormat="1" ht="23.25" customHeight="1">
      <c r="A2" s="62" t="s">
        <v>2426</v>
      </c>
      <c r="B2" s="62"/>
      <c r="C2" s="62"/>
      <c r="D2" s="62"/>
      <c r="E2" s="62"/>
      <c r="F2" s="62"/>
      <c r="G2" s="62"/>
      <c r="H2" s="62"/>
      <c r="I2" s="62"/>
      <c r="J2" s="62"/>
      <c r="K2" s="62"/>
      <c r="L2" s="83"/>
    </row>
    <row r="3" spans="1:135" s="84" customFormat="1" ht="22.5" customHeight="1" thickBot="1">
      <c r="A3" s="1064" t="s">
        <v>2521</v>
      </c>
      <c r="B3" s="1064"/>
      <c r="C3" s="1064"/>
      <c r="D3" s="1064"/>
      <c r="E3" s="1064"/>
      <c r="F3" s="1064"/>
      <c r="G3" s="1064"/>
      <c r="H3" s="1064"/>
      <c r="I3" s="1064"/>
      <c r="J3" s="1064"/>
      <c r="K3" s="1064"/>
      <c r="L3" s="83"/>
      <c r="M3" s="1223" t="s">
        <v>2522</v>
      </c>
    </row>
    <row r="4" spans="1:135" s="263" customFormat="1" ht="42.75" customHeight="1">
      <c r="A4" s="731" t="s">
        <v>1430</v>
      </c>
      <c r="B4" s="732"/>
      <c r="C4" s="1345" t="s">
        <v>297</v>
      </c>
      <c r="D4" s="1337" t="s">
        <v>1042</v>
      </c>
      <c r="E4" s="1337" t="s">
        <v>1046</v>
      </c>
      <c r="F4" s="1337" t="s">
        <v>1043</v>
      </c>
      <c r="G4" s="1337" t="s">
        <v>1431</v>
      </c>
      <c r="H4" s="1343" t="s">
        <v>1432</v>
      </c>
      <c r="I4" s="1343" t="s">
        <v>2339</v>
      </c>
      <c r="J4" s="1337" t="s">
        <v>1433</v>
      </c>
      <c r="K4" s="1337" t="s">
        <v>1434</v>
      </c>
      <c r="L4" s="1337" t="s">
        <v>1044</v>
      </c>
      <c r="M4" s="1337" t="s">
        <v>1045</v>
      </c>
      <c r="N4" s="1340" t="s">
        <v>1041</v>
      </c>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row>
    <row r="5" spans="1:135" s="263" customFormat="1" ht="25.5" customHeight="1">
      <c r="A5" s="733" t="s">
        <v>1040</v>
      </c>
      <c r="B5" s="264" t="s">
        <v>0</v>
      </c>
      <c r="C5" s="1339"/>
      <c r="D5" s="1338"/>
      <c r="E5" s="1338"/>
      <c r="F5" s="1338"/>
      <c r="G5" s="1338"/>
      <c r="H5" s="1344"/>
      <c r="I5" s="1344"/>
      <c r="J5" s="1338"/>
      <c r="K5" s="1338"/>
      <c r="L5" s="1339"/>
      <c r="M5" s="1339"/>
      <c r="N5" s="1341"/>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row>
    <row r="6" spans="1:135" s="263" customFormat="1" ht="54.75" customHeight="1">
      <c r="A6" s="463">
        <v>1</v>
      </c>
      <c r="B6" s="464" t="s">
        <v>1435</v>
      </c>
      <c r="C6" s="265" t="s">
        <v>350</v>
      </c>
      <c r="D6" s="465">
        <f>Abstract!E133</f>
        <v>4475.1899999999996</v>
      </c>
      <c r="E6" s="465">
        <f>F6-D6</f>
        <v>0</v>
      </c>
      <c r="F6" s="465">
        <f>Abstract!G133</f>
        <v>4475.1899999999969</v>
      </c>
      <c r="G6" s="465">
        <v>85</v>
      </c>
      <c r="H6" s="265">
        <v>66</v>
      </c>
      <c r="I6" s="465">
        <f>'Tiles_Rec Detail'!M18</f>
        <v>66.069999999999993</v>
      </c>
      <c r="J6" s="465">
        <f>I6-G6</f>
        <v>-18.930000000000007</v>
      </c>
      <c r="K6" s="465">
        <f>ROUND(J6*10.764,2)</f>
        <v>-203.76</v>
      </c>
      <c r="L6" s="466">
        <v>-911103</v>
      </c>
      <c r="M6" s="466">
        <f>N6-L6</f>
        <v>-762</v>
      </c>
      <c r="N6" s="467">
        <f>ROUND(F6*K6,0)</f>
        <v>-911865</v>
      </c>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row>
    <row r="7" spans="1:135" s="263" customFormat="1" ht="62.25" customHeight="1">
      <c r="A7" s="463">
        <v>2</v>
      </c>
      <c r="B7" s="464" t="s">
        <v>1436</v>
      </c>
      <c r="C7" s="265" t="s">
        <v>350</v>
      </c>
      <c r="D7" s="465">
        <f>Abstract!E135</f>
        <v>372.87</v>
      </c>
      <c r="E7" s="465">
        <f>F7-D7</f>
        <v>0</v>
      </c>
      <c r="F7" s="465">
        <f>Abstract!G135</f>
        <v>372.86999999999989</v>
      </c>
      <c r="G7" s="465">
        <v>85</v>
      </c>
      <c r="H7" s="265">
        <v>66</v>
      </c>
      <c r="I7" s="465">
        <f>'Tiles_Rec Detail'!M18</f>
        <v>66.069999999999993</v>
      </c>
      <c r="J7" s="465">
        <f t="shared" ref="J7:J8" si="0">I7-G7</f>
        <v>-18.930000000000007</v>
      </c>
      <c r="K7" s="465">
        <f>ROUND(J7*10.764,2)</f>
        <v>-203.76</v>
      </c>
      <c r="L7" s="466">
        <v>-74927</v>
      </c>
      <c r="M7" s="466">
        <f>N7-L7</f>
        <v>-1049</v>
      </c>
      <c r="N7" s="467">
        <f>ROUND(F7*K7,0)</f>
        <v>-75976</v>
      </c>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row>
    <row r="8" spans="1:135" s="263" customFormat="1" ht="54" customHeight="1">
      <c r="A8" s="463">
        <v>3</v>
      </c>
      <c r="B8" s="464" t="s">
        <v>1437</v>
      </c>
      <c r="C8" s="265" t="s">
        <v>350</v>
      </c>
      <c r="D8" s="465">
        <f>Abstract!E134</f>
        <v>1340.88</v>
      </c>
      <c r="E8" s="465">
        <f>F8-D8</f>
        <v>0</v>
      </c>
      <c r="F8" s="465">
        <f>Abstract!G134</f>
        <v>1340.8800000000008</v>
      </c>
      <c r="G8" s="465">
        <v>50</v>
      </c>
      <c r="H8" s="265">
        <v>40</v>
      </c>
      <c r="I8" s="465">
        <f>'Tiles_Rec Detail'!M10</f>
        <v>39.36</v>
      </c>
      <c r="J8" s="465">
        <f t="shared" si="0"/>
        <v>-10.64</v>
      </c>
      <c r="K8" s="465">
        <f>ROUND(J8*10.764,2)</f>
        <v>-114.53</v>
      </c>
      <c r="L8" s="466">
        <v>-142654</v>
      </c>
      <c r="M8" s="466">
        <f>N8-L8+1</f>
        <v>-10916</v>
      </c>
      <c r="N8" s="467">
        <f>ROUND(F8*K8,0)</f>
        <v>-153571</v>
      </c>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row>
    <row r="9" spans="1:135" s="263" customFormat="1" ht="21" customHeight="1">
      <c r="A9" s="463"/>
      <c r="B9" s="468"/>
      <c r="C9" s="265"/>
      <c r="D9" s="265"/>
      <c r="E9" s="265"/>
      <c r="F9" s="465"/>
      <c r="G9" s="465"/>
      <c r="H9" s="265"/>
      <c r="I9" s="265"/>
      <c r="J9" s="265"/>
      <c r="K9" s="265"/>
      <c r="L9" s="466"/>
      <c r="M9" s="466"/>
      <c r="N9" s="467"/>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row>
    <row r="10" spans="1:135" s="263" customFormat="1" ht="15.75">
      <c r="A10" s="1342" t="s">
        <v>1438</v>
      </c>
      <c r="B10" s="1342"/>
      <c r="C10" s="1342"/>
      <c r="D10" s="1342"/>
      <c r="E10" s="1342"/>
      <c r="F10" s="1342"/>
      <c r="G10" s="1342"/>
      <c r="H10" s="1342"/>
      <c r="I10" s="1123"/>
      <c r="J10" s="264"/>
      <c r="K10" s="264"/>
      <c r="L10" s="730">
        <f>SUM(L6:L9)</f>
        <v>-1128684</v>
      </c>
      <c r="M10" s="730">
        <f>SUM(M6:M9)</f>
        <v>-12727</v>
      </c>
      <c r="N10" s="730">
        <f>SUM(N6:N9)</f>
        <v>-1141412</v>
      </c>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row>
    <row r="11" spans="1:135">
      <c r="N11">
        <v>1133819</v>
      </c>
    </row>
    <row r="13" spans="1:135">
      <c r="L13">
        <v>911103</v>
      </c>
      <c r="M13">
        <v>762</v>
      </c>
      <c r="N13">
        <v>911865</v>
      </c>
    </row>
    <row r="14" spans="1:135">
      <c r="L14">
        <v>74927</v>
      </c>
      <c r="M14">
        <v>1049</v>
      </c>
      <c r="N14">
        <v>75976</v>
      </c>
    </row>
    <row r="15" spans="1:135">
      <c r="L15">
        <v>142654</v>
      </c>
      <c r="M15">
        <v>10918</v>
      </c>
      <c r="N15">
        <v>153571</v>
      </c>
    </row>
    <row r="17" spans="12:14">
      <c r="L17">
        <v>1128684</v>
      </c>
      <c r="M17">
        <v>12729</v>
      </c>
      <c r="N17">
        <v>1141412</v>
      </c>
    </row>
  </sheetData>
  <mergeCells count="13">
    <mergeCell ref="E4:E5"/>
    <mergeCell ref="F4:F5"/>
    <mergeCell ref="M4:M5"/>
    <mergeCell ref="N4:N5"/>
    <mergeCell ref="A10:H10"/>
    <mergeCell ref="G4:G5"/>
    <mergeCell ref="H4:H5"/>
    <mergeCell ref="J4:J5"/>
    <mergeCell ref="K4:K5"/>
    <mergeCell ref="L4:L5"/>
    <mergeCell ref="C4:C5"/>
    <mergeCell ref="D4:D5"/>
    <mergeCell ref="I4:I5"/>
  </mergeCells>
  <pageMargins left="0.7" right="0.7" top="0.75" bottom="0.75" header="0.3" footer="0.3"/>
  <pageSetup scale="5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9"/>
  <sheetViews>
    <sheetView view="pageBreakPreview" zoomScaleNormal="100" zoomScaleSheetLayoutView="100" workbookViewId="0">
      <pane ySplit="3" topLeftCell="A4" activePane="bottomLeft" state="frozen"/>
      <selection activeCell="H3" sqref="H3"/>
      <selection pane="bottomLeft" activeCell="F7" sqref="F7"/>
    </sheetView>
  </sheetViews>
  <sheetFormatPr defaultRowHeight="14.25"/>
  <cols>
    <col min="1" max="1" width="10.5703125" style="71" customWidth="1"/>
    <col min="2" max="2" width="24.5703125" style="71" bestFit="1" customWidth="1"/>
    <col min="3" max="3" width="6.140625" style="74" customWidth="1"/>
    <col min="4" max="4" width="12.5703125" style="74" customWidth="1"/>
    <col min="5" max="5" width="10.5703125" style="74" customWidth="1"/>
    <col min="6" max="6" width="11.28515625" style="74" customWidth="1"/>
    <col min="7" max="7" width="10.7109375" style="74" customWidth="1"/>
    <col min="8" max="8" width="12.85546875" style="71" bestFit="1" customWidth="1"/>
    <col min="9" max="9" width="11.7109375" style="71" customWidth="1"/>
    <col min="10" max="10" width="9.140625" style="71"/>
    <col min="11" max="11" width="14.5703125" style="71" customWidth="1"/>
    <col min="12" max="12" width="13.5703125" style="71" customWidth="1"/>
    <col min="13" max="13" width="14.42578125" style="71" customWidth="1"/>
    <col min="14" max="16384" width="9.140625" style="71"/>
  </cols>
  <sheetData>
    <row r="1" spans="1:12" s="84" customFormat="1" ht="18.75" customHeight="1">
      <c r="A1" s="1063" t="s">
        <v>1</v>
      </c>
      <c r="B1" s="1063"/>
      <c r="C1" s="1063"/>
      <c r="D1" s="1063"/>
      <c r="E1" s="1063"/>
      <c r="F1" s="1063"/>
      <c r="G1" s="1063"/>
      <c r="H1" s="1063"/>
      <c r="I1" s="1063"/>
      <c r="J1" s="1063"/>
      <c r="K1" s="1063"/>
      <c r="L1" s="83"/>
    </row>
    <row r="2" spans="1:12" s="84" customFormat="1" ht="18.75" customHeight="1">
      <c r="A2" s="62" t="s">
        <v>2426</v>
      </c>
      <c r="B2" s="62"/>
      <c r="C2" s="62"/>
      <c r="D2" s="62"/>
      <c r="E2" s="62"/>
      <c r="F2" s="62"/>
      <c r="G2" s="62"/>
      <c r="H2" s="62"/>
      <c r="I2" s="62"/>
      <c r="J2" s="62"/>
      <c r="K2" s="62"/>
      <c r="L2" s="83"/>
    </row>
    <row r="3" spans="1:12" s="84" customFormat="1" ht="27.75" customHeight="1">
      <c r="A3" s="62" t="s">
        <v>2523</v>
      </c>
      <c r="B3" s="62"/>
      <c r="C3" s="62"/>
      <c r="D3" s="62"/>
      <c r="E3" s="62"/>
      <c r="F3" s="62"/>
      <c r="G3" s="1346" t="s">
        <v>2554</v>
      </c>
      <c r="H3" s="1346"/>
      <c r="I3" s="62"/>
      <c r="J3" s="62"/>
      <c r="K3" s="62"/>
      <c r="L3" s="83"/>
    </row>
    <row r="4" spans="1:12" s="534" customFormat="1" ht="42.75">
      <c r="A4" s="528" t="s">
        <v>302</v>
      </c>
      <c r="B4" s="528" t="s">
        <v>0</v>
      </c>
      <c r="C4" s="528" t="s">
        <v>297</v>
      </c>
      <c r="D4" s="533" t="s">
        <v>1756</v>
      </c>
      <c r="E4" s="533" t="s">
        <v>1757</v>
      </c>
      <c r="F4" s="533" t="s">
        <v>1758</v>
      </c>
      <c r="G4" s="528" t="s">
        <v>1754</v>
      </c>
      <c r="H4" s="528" t="s">
        <v>303</v>
      </c>
      <c r="I4" s="62"/>
      <c r="J4" s="62"/>
      <c r="K4" s="62"/>
      <c r="L4" s="83"/>
    </row>
    <row r="5" spans="1:12" ht="18" customHeight="1">
      <c r="A5" s="125"/>
      <c r="B5" s="124"/>
      <c r="C5" s="125"/>
      <c r="D5" s="536"/>
      <c r="E5" s="125"/>
      <c r="F5" s="125"/>
      <c r="G5" s="125"/>
      <c r="H5" s="126"/>
      <c r="I5" s="62"/>
      <c r="J5" s="62"/>
      <c r="K5" s="62"/>
      <c r="L5" s="83"/>
    </row>
    <row r="6" spans="1:12" ht="18" customHeight="1">
      <c r="A6" s="125">
        <v>1</v>
      </c>
      <c r="B6" s="124" t="s">
        <v>2539</v>
      </c>
      <c r="C6" s="125" t="s">
        <v>301</v>
      </c>
      <c r="D6" s="536">
        <f>+Abstract!G54</f>
        <v>66.436000000000007</v>
      </c>
      <c r="E6" s="125">
        <v>32500</v>
      </c>
      <c r="F6" s="535">
        <f>'TMT Rec Detail'!L18</f>
        <v>36762</v>
      </c>
      <c r="G6" s="535">
        <f>+F6-E6</f>
        <v>4262</v>
      </c>
      <c r="H6" s="1042">
        <f>ROUND(G6*D6,0)</f>
        <v>283150</v>
      </c>
      <c r="I6" s="62"/>
      <c r="J6" s="62"/>
      <c r="K6" s="62"/>
      <c r="L6" s="83"/>
    </row>
    <row r="7" spans="1:12" ht="18" customHeight="1">
      <c r="A7" s="125">
        <v>2</v>
      </c>
      <c r="B7" s="124" t="s">
        <v>2341</v>
      </c>
      <c r="C7" s="125" t="s">
        <v>1755</v>
      </c>
      <c r="D7" s="535">
        <f>Consumption_Cement!F28</f>
        <v>4991</v>
      </c>
      <c r="E7" s="125">
        <v>250</v>
      </c>
      <c r="F7" s="535">
        <f>'Cement Rec Detail'!K34</f>
        <v>311.3</v>
      </c>
      <c r="G7" s="535">
        <f>+F7-E7</f>
        <v>61.300000000000011</v>
      </c>
      <c r="H7" s="1042">
        <f>ROUND(G7*D7,0)</f>
        <v>305948</v>
      </c>
      <c r="I7" s="62"/>
      <c r="J7" s="62"/>
      <c r="K7" s="62"/>
      <c r="L7" s="83"/>
    </row>
    <row r="8" spans="1:12" ht="18" customHeight="1">
      <c r="A8" s="125"/>
      <c r="B8" s="124"/>
      <c r="C8" s="125"/>
      <c r="D8" s="125"/>
      <c r="E8" s="125"/>
      <c r="F8" s="125"/>
      <c r="G8" s="125"/>
      <c r="H8" s="127"/>
      <c r="I8" s="62"/>
      <c r="J8" s="62"/>
      <c r="K8" s="62"/>
      <c r="L8" s="83"/>
    </row>
    <row r="9" spans="1:12" ht="18" customHeight="1">
      <c r="A9" s="122"/>
      <c r="B9" s="532" t="s">
        <v>7</v>
      </c>
      <c r="C9" s="123"/>
      <c r="D9" s="123"/>
      <c r="E9" s="123"/>
      <c r="F9" s="123"/>
      <c r="G9" s="123"/>
      <c r="H9" s="1058">
        <f>SUM(H5:H8)</f>
        <v>589098</v>
      </c>
      <c r="I9" s="62"/>
      <c r="J9" s="62"/>
      <c r="K9" s="62"/>
      <c r="L9" s="83"/>
    </row>
  </sheetData>
  <mergeCells count="1">
    <mergeCell ref="G3:H3"/>
  </mergeCells>
  <pageMargins left="0.43" right="0.70866141732283505" top="0.74803149606299202" bottom="0.74803149606299202" header="0.31496062992126" footer="0.31496062992126"/>
  <pageSetup paperSize="9"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view="pageBreakPreview" zoomScale="85" zoomScaleSheetLayoutView="85" workbookViewId="0">
      <pane ySplit="3" topLeftCell="A103" activePane="bottomLeft" state="frozen"/>
      <selection pane="bottomLeft" activeCell="O111" sqref="O111"/>
    </sheetView>
  </sheetViews>
  <sheetFormatPr defaultRowHeight="14.25"/>
  <cols>
    <col min="1" max="1" width="9.28515625" style="96" bestFit="1" customWidth="1"/>
    <col min="2" max="2" width="25.7109375" style="96" bestFit="1" customWidth="1"/>
    <col min="3" max="3" width="4.7109375" style="96" customWidth="1"/>
    <col min="4" max="4" width="7.85546875" style="96" bestFit="1" customWidth="1"/>
    <col min="5" max="5" width="5.28515625" style="96" customWidth="1"/>
    <col min="6" max="6" width="4.85546875" style="96" customWidth="1"/>
    <col min="7" max="7" width="7" style="96" bestFit="1" customWidth="1"/>
    <col min="8" max="8" width="4.7109375" style="96" customWidth="1"/>
    <col min="9" max="9" width="8.5703125" style="96" bestFit="1" customWidth="1"/>
    <col min="10" max="10" width="4.7109375" style="96" bestFit="1" customWidth="1"/>
    <col min="11" max="11" width="4.28515625" style="96" customWidth="1"/>
    <col min="12" max="12" width="4.7109375" style="96" bestFit="1" customWidth="1"/>
    <col min="13" max="13" width="12.5703125" style="96" customWidth="1"/>
    <col min="14" max="14" width="9.28515625" style="96" bestFit="1" customWidth="1"/>
    <col min="15" max="15" width="10.42578125" style="96" bestFit="1" customWidth="1"/>
    <col min="16" max="17" width="9.28515625" style="96" bestFit="1" customWidth="1"/>
    <col min="18" max="18" width="7.5703125" style="96" bestFit="1" customWidth="1"/>
    <col min="19" max="20" width="9.28515625" style="96" bestFit="1" customWidth="1"/>
    <col min="21" max="16384" width="9.140625" style="96"/>
  </cols>
  <sheetData>
    <row r="1" spans="1:20" ht="22.5">
      <c r="A1" s="1350" t="s">
        <v>1027</v>
      </c>
      <c r="B1" s="1350"/>
      <c r="C1" s="1350"/>
      <c r="D1" s="1350"/>
      <c r="E1" s="1350"/>
      <c r="F1" s="1350"/>
      <c r="G1" s="1350"/>
      <c r="H1" s="1350"/>
      <c r="I1" s="1350"/>
      <c r="J1" s="1350"/>
      <c r="K1" s="1350"/>
      <c r="L1" s="1350"/>
      <c r="M1" s="1350"/>
      <c r="N1" s="1350"/>
      <c r="O1" s="1350"/>
      <c r="P1" s="1350"/>
      <c r="Q1" s="1350"/>
      <c r="R1" s="1350"/>
      <c r="S1" s="1350"/>
      <c r="T1" s="1350"/>
    </row>
    <row r="2" spans="1:20" ht="15.75">
      <c r="A2" s="1351" t="s">
        <v>978</v>
      </c>
      <c r="B2" s="1352" t="s">
        <v>0</v>
      </c>
      <c r="C2" s="1351"/>
      <c r="D2" s="1351"/>
      <c r="E2" s="1351" t="s">
        <v>980</v>
      </c>
      <c r="F2" s="1351"/>
      <c r="G2" s="1351"/>
      <c r="H2" s="1351" t="s">
        <v>981</v>
      </c>
      <c r="I2" s="1351"/>
      <c r="J2" s="1351"/>
      <c r="K2" s="1351"/>
      <c r="L2" s="1351"/>
      <c r="M2" s="1353" t="s">
        <v>982</v>
      </c>
      <c r="N2" s="1354" t="s">
        <v>983</v>
      </c>
      <c r="O2" s="1351" t="s">
        <v>984</v>
      </c>
      <c r="P2" s="1351"/>
      <c r="Q2" s="1351"/>
      <c r="R2" s="1351"/>
      <c r="S2" s="1351"/>
      <c r="T2" s="1351"/>
    </row>
    <row r="3" spans="1:20" ht="52.5">
      <c r="A3" s="1351"/>
      <c r="B3" s="1352"/>
      <c r="C3" s="221" t="s">
        <v>985</v>
      </c>
      <c r="D3" s="221" t="s">
        <v>987</v>
      </c>
      <c r="E3" s="221" t="s">
        <v>623</v>
      </c>
      <c r="F3" s="221" t="s">
        <v>988</v>
      </c>
      <c r="G3" s="222" t="s">
        <v>989</v>
      </c>
      <c r="H3" s="223" t="s">
        <v>299</v>
      </c>
      <c r="I3" s="223" t="s">
        <v>46</v>
      </c>
      <c r="J3" s="223" t="s">
        <v>50</v>
      </c>
      <c r="K3" s="223" t="s">
        <v>67</v>
      </c>
      <c r="L3" s="223" t="s">
        <v>73</v>
      </c>
      <c r="M3" s="1353"/>
      <c r="N3" s="1355"/>
      <c r="O3" s="223" t="s">
        <v>616</v>
      </c>
      <c r="P3" s="224" t="s">
        <v>617</v>
      </c>
      <c r="Q3" s="224" t="s">
        <v>618</v>
      </c>
      <c r="R3" s="224" t="s">
        <v>619</v>
      </c>
      <c r="S3" s="224" t="s">
        <v>620</v>
      </c>
      <c r="T3" s="224" t="s">
        <v>621</v>
      </c>
    </row>
    <row r="4" spans="1:20" ht="18">
      <c r="A4" s="223"/>
      <c r="B4" s="350" t="s">
        <v>974</v>
      </c>
      <c r="C4" s="262"/>
      <c r="D4" s="221"/>
      <c r="E4" s="221"/>
      <c r="F4" s="221"/>
      <c r="G4" s="222"/>
      <c r="H4" s="223"/>
      <c r="I4" s="223"/>
      <c r="J4" s="223"/>
      <c r="K4" s="223"/>
      <c r="L4" s="223"/>
      <c r="M4" s="244"/>
      <c r="N4" s="245"/>
      <c r="O4" s="223"/>
      <c r="P4" s="224"/>
      <c r="Q4" s="224"/>
      <c r="R4" s="224"/>
      <c r="S4" s="224"/>
      <c r="T4" s="224"/>
    </row>
    <row r="5" spans="1:20" ht="15.75">
      <c r="A5" s="223"/>
      <c r="B5" s="348" t="s">
        <v>944</v>
      </c>
      <c r="C5" s="262"/>
      <c r="D5" s="221"/>
      <c r="E5" s="221"/>
      <c r="F5" s="221"/>
      <c r="G5" s="222"/>
      <c r="H5" s="223"/>
      <c r="I5" s="223"/>
      <c r="J5" s="223"/>
      <c r="K5" s="223"/>
      <c r="L5" s="223"/>
      <c r="M5" s="244"/>
      <c r="N5" s="245"/>
      <c r="O5" s="223"/>
      <c r="P5" s="224"/>
      <c r="Q5" s="224"/>
      <c r="R5" s="224"/>
      <c r="S5" s="224"/>
      <c r="T5" s="224"/>
    </row>
    <row r="6" spans="1:20" ht="28.5">
      <c r="A6" s="225">
        <v>1</v>
      </c>
      <c r="B6" s="63" t="s">
        <v>1028</v>
      </c>
      <c r="C6" s="227">
        <v>8</v>
      </c>
      <c r="D6" s="228" t="s">
        <v>975</v>
      </c>
      <c r="E6" s="227">
        <v>1</v>
      </c>
      <c r="F6" s="227">
        <v>1</v>
      </c>
      <c r="G6" s="227">
        <v>18</v>
      </c>
      <c r="H6" s="227"/>
      <c r="I6" s="227">
        <v>4775</v>
      </c>
      <c r="J6" s="227"/>
      <c r="K6" s="227"/>
      <c r="L6" s="227"/>
      <c r="M6" s="229">
        <f>IF(D6="L Shape",(H6+I6)-(C6*2*1),IF(D6="U Shape",(H6+I6+J6)-(C6*2*2),IF(D6="Rectangle",(H6+I6+J6+K6)+(C6*10*2)-(C6*2*5),IF(D6="Straight",I6-(C60),IF(D6="Chair",(H6+I6+J6+K6+L6)-(C6*2*4),IF(D6="U2 Shape",(H6+I6+J6+K6+L6)-(C6*2*4),IF(D6="U3 Shape",(H6+I6+J6+K6)-(C6*2*3),IF(D6="Z Shape",(H6+I6+J6)-(C6*2*2),IF(D6="Triangle",(H6+I6+J6)+(C6*10*2)-(C6*2*4),IF(D6="Trapezoid2",(H6+H6+I6+J6+J6+K6)+(C6*10*2)-(C6*2*7),IF(D6="Trapezoid",(H6+I6+J6+K6)+(C6*10*2)-(C6*2*5),IF(D6="Link",I6+(C6*10*2),IF(D6="U5 Shape",(H6+I6+J6+K6)-(C6*2*3),IF(D6="DU2 Shape",(H6+I6+J6+K6)-(C6*2*4),IF(D6="SU Shape",(H6+I6+J6)-(C6*2*2),"-")))))))))))))))</f>
        <v>4775</v>
      </c>
      <c r="N6" s="229">
        <f>IF(M6&lt;12001,C6*49*0,IF(M6&lt;24001,C6*49*1,IF(M6&lt;36001,C6*49*2,IF(M6&lt;48001,C6*49*3,IF(M6&lt;60001,C6*49*4,IF(M6&lt;72001,(C6*49*5),IF(M6&lt;84001,(C6*49*6),IF(M6&lt;96001,(C6*49*7),IF(M6&lt;108001,(C6*49*8),IF(M6&lt;120001,(C6*49*9),IF(M6&lt;132001,(C6*49*10),IF(M6&lt;144001,(C6*49*11)))))))))))))</f>
        <v>0</v>
      </c>
      <c r="O6" s="230">
        <f>IF(C6=8,((M6+N6)*E6*F6*G6)/1000,"-")</f>
        <v>85.95</v>
      </c>
      <c r="P6" s="230" t="str">
        <f>IF(C6=10,((M6+N6)*E6*F6*G6)/1000,"-")</f>
        <v>-</v>
      </c>
      <c r="Q6" s="230" t="str">
        <f>IF(C6=12,((M6+N6)*E6*F6*G6)/1000,"-")</f>
        <v>-</v>
      </c>
      <c r="R6" s="230" t="str">
        <f>IF(C6=16,((M6+N6)*E6*F6*G6)/1000,"-")</f>
        <v>-</v>
      </c>
      <c r="S6" s="230" t="str">
        <f>IF(C6=20,((M6+N6)*E6*F6*G6)/1000,"-")</f>
        <v>-</v>
      </c>
      <c r="T6" s="230" t="str">
        <f>IF(C6=25,((M6+N6)*E6*F6*G6)/1000,"-")</f>
        <v>-</v>
      </c>
    </row>
    <row r="7" spans="1:20" ht="28.5">
      <c r="A7" s="225"/>
      <c r="B7" s="231"/>
      <c r="C7" s="227">
        <v>8</v>
      </c>
      <c r="D7" s="228" t="s">
        <v>975</v>
      </c>
      <c r="E7" s="227">
        <v>1</v>
      </c>
      <c r="F7" s="227">
        <v>1</v>
      </c>
      <c r="G7" s="227">
        <v>24</v>
      </c>
      <c r="H7" s="227"/>
      <c r="I7" s="227">
        <v>3400</v>
      </c>
      <c r="J7" s="227"/>
      <c r="K7" s="227"/>
      <c r="L7" s="227"/>
      <c r="M7" s="229">
        <f t="shared" ref="M7:M37" si="0">IF(D7="L Shape",(H7+I7)-(C7*2*1),IF(D7="U Shape",(H7+I7+J7)-(C7*2*2),IF(D7="Rectangle",(H7+I7+J7+K7)+(C7*10*2)-(C7*2*5),IF(D7="Straight",I7-(C61),IF(D7="Chair",(H7+I7+J7+K7+L7)-(C7*2*4),IF(D7="U2 Shape",(H7+I7+J7+K7+L7)-(C7*2*4),IF(D7="U3 Shape",(H7+I7+J7+K7)-(C7*2*3),IF(D7="Z Shape",(H7+I7+J7)-(C7*2*2),IF(D7="Triangle",(H7+I7+J7)+(C7*10*2)-(C7*2*4),IF(D7="Trapezoid2",(H7+H7+I7+J7+J7+K7)+(C7*10*2)-(C7*2*7),IF(D7="Trapezoid",(H7+I7+J7+K7)+(C7*10*2)-(C7*2*5),IF(D7="Link",I7+(C7*10*2),IF(D7="U5 Shape",(H7+I7+J7+K7)-(C7*2*3),IF(D7="DU2 Shape",(H7+I7+J7+K7)-(C7*2*4),IF(D7="SU Shape",(H7+I7+J7)-(C7*2*2),"-")))))))))))))))</f>
        <v>3392</v>
      </c>
      <c r="N7" s="229">
        <f t="shared" ref="N7:N70" si="1">IF(M7&lt;12001,C7*49*0,IF(M7&lt;24001,C7*49*1,IF(M7&lt;36001,C7*49*2,IF(M7&lt;48001,C7*49*3,IF(M7&lt;60001,C7*49*4,IF(M7&lt;72001,(C7*49*5),IF(M7&lt;84001,(C7*49*6),IF(M7&lt;96001,(C7*49*7),IF(M7&lt;108001,(C7*49*8),IF(M7&lt;120001,(C7*49*9),IF(M7&lt;132001,(C7*49*10),IF(M7&lt;144001,(C7*49*11)))))))))))))</f>
        <v>0</v>
      </c>
      <c r="O7" s="230">
        <f t="shared" ref="O7:O70" si="2">IF(C7=8,((M7+N7)*E7*F7*G7)/1000,"-")</f>
        <v>81.408000000000001</v>
      </c>
      <c r="P7" s="230" t="str">
        <f t="shared" ref="P7:P70" si="3">IF(C7=10,((M7+N7)*E7*F7*G7)/1000,"-")</f>
        <v>-</v>
      </c>
      <c r="Q7" s="230" t="str">
        <f t="shared" ref="Q7:Q70" si="4">IF(C7=12,((M7+N7)*E7*F7*G7)/1000,"-")</f>
        <v>-</v>
      </c>
      <c r="R7" s="230" t="str">
        <f t="shared" ref="R7:R70" si="5">IF(C7=16,((M7+N7)*E7*F7*G7)/1000,"-")</f>
        <v>-</v>
      </c>
      <c r="S7" s="230" t="str">
        <f t="shared" ref="S7:S70" si="6">IF(C7=20,((M7+N7)*E7*F7*G7)/1000,"-")</f>
        <v>-</v>
      </c>
      <c r="T7" s="230" t="str">
        <f t="shared" ref="T7:T70" si="7">IF(C7=25,((M7+N7)*E7*F7*G7)/1000,"-")</f>
        <v>-</v>
      </c>
    </row>
    <row r="8" spans="1:20" ht="28.5">
      <c r="A8" s="225">
        <v>2</v>
      </c>
      <c r="B8" s="63" t="s">
        <v>1029</v>
      </c>
      <c r="C8" s="227">
        <v>8</v>
      </c>
      <c r="D8" s="228" t="s">
        <v>975</v>
      </c>
      <c r="E8" s="227">
        <v>1</v>
      </c>
      <c r="F8" s="227">
        <v>1</v>
      </c>
      <c r="G8" s="227">
        <v>19</v>
      </c>
      <c r="H8" s="227"/>
      <c r="I8" s="227">
        <v>7325</v>
      </c>
      <c r="J8" s="227"/>
      <c r="K8" s="227"/>
      <c r="L8" s="227"/>
      <c r="M8" s="229">
        <f t="shared" si="0"/>
        <v>7317</v>
      </c>
      <c r="N8" s="229">
        <f t="shared" si="1"/>
        <v>0</v>
      </c>
      <c r="O8" s="230">
        <f t="shared" si="2"/>
        <v>139.023</v>
      </c>
      <c r="P8" s="230" t="str">
        <f t="shared" si="3"/>
        <v>-</v>
      </c>
      <c r="Q8" s="230" t="str">
        <f t="shared" si="4"/>
        <v>-</v>
      </c>
      <c r="R8" s="230" t="str">
        <f t="shared" si="5"/>
        <v>-</v>
      </c>
      <c r="S8" s="230" t="str">
        <f t="shared" si="6"/>
        <v>-</v>
      </c>
      <c r="T8" s="230" t="str">
        <f t="shared" si="7"/>
        <v>-</v>
      </c>
    </row>
    <row r="9" spans="1:20" ht="28.5">
      <c r="A9" s="225"/>
      <c r="B9" s="231"/>
      <c r="C9" s="227">
        <v>8</v>
      </c>
      <c r="D9" s="228" t="s">
        <v>975</v>
      </c>
      <c r="E9" s="227">
        <v>1</v>
      </c>
      <c r="F9" s="227">
        <v>1</v>
      </c>
      <c r="G9" s="227">
        <v>37</v>
      </c>
      <c r="H9" s="227"/>
      <c r="I9" s="227">
        <v>3775</v>
      </c>
      <c r="J9" s="227"/>
      <c r="K9" s="227"/>
      <c r="L9" s="227"/>
      <c r="M9" s="229">
        <f t="shared" si="0"/>
        <v>3775</v>
      </c>
      <c r="N9" s="229">
        <f t="shared" si="1"/>
        <v>0</v>
      </c>
      <c r="O9" s="230">
        <f t="shared" si="2"/>
        <v>139.67500000000001</v>
      </c>
      <c r="P9" s="230" t="str">
        <f t="shared" si="3"/>
        <v>-</v>
      </c>
      <c r="Q9" s="230" t="str">
        <f t="shared" si="4"/>
        <v>-</v>
      </c>
      <c r="R9" s="230" t="str">
        <f t="shared" si="5"/>
        <v>-</v>
      </c>
      <c r="S9" s="230" t="str">
        <f t="shared" si="6"/>
        <v>-</v>
      </c>
      <c r="T9" s="230" t="str">
        <f t="shared" si="7"/>
        <v>-</v>
      </c>
    </row>
    <row r="10" spans="1:20" ht="29.25">
      <c r="A10" s="225">
        <v>3</v>
      </c>
      <c r="B10" s="63" t="s">
        <v>1030</v>
      </c>
      <c r="C10" s="227">
        <v>8</v>
      </c>
      <c r="D10" s="228" t="s">
        <v>975</v>
      </c>
      <c r="E10" s="227">
        <v>1</v>
      </c>
      <c r="F10" s="227">
        <v>1</v>
      </c>
      <c r="G10" s="227">
        <f>12/0.2</f>
        <v>60</v>
      </c>
      <c r="H10" s="227"/>
      <c r="I10" s="227">
        <v>22500</v>
      </c>
      <c r="J10" s="227"/>
      <c r="K10" s="227"/>
      <c r="L10" s="227"/>
      <c r="M10" s="229">
        <f t="shared" si="0"/>
        <v>22492</v>
      </c>
      <c r="N10" s="229">
        <f t="shared" si="1"/>
        <v>392</v>
      </c>
      <c r="O10" s="230">
        <f t="shared" si="2"/>
        <v>1373.04</v>
      </c>
      <c r="P10" s="230" t="str">
        <f t="shared" si="3"/>
        <v>-</v>
      </c>
      <c r="Q10" s="230" t="str">
        <f t="shared" si="4"/>
        <v>-</v>
      </c>
      <c r="R10" s="230" t="str">
        <f t="shared" si="5"/>
        <v>-</v>
      </c>
      <c r="S10" s="230" t="str">
        <f t="shared" si="6"/>
        <v>-</v>
      </c>
      <c r="T10" s="230" t="str">
        <f t="shared" si="7"/>
        <v>-</v>
      </c>
    </row>
    <row r="11" spans="1:20" ht="28.5">
      <c r="A11" s="225"/>
      <c r="B11" s="231"/>
      <c r="C11" s="227">
        <v>8</v>
      </c>
      <c r="D11" s="228" t="s">
        <v>975</v>
      </c>
      <c r="E11" s="227">
        <v>1</v>
      </c>
      <c r="F11" s="227">
        <v>1</v>
      </c>
      <c r="G11" s="227">
        <v>113</v>
      </c>
      <c r="H11" s="227"/>
      <c r="I11" s="227">
        <v>11950</v>
      </c>
      <c r="J11" s="227"/>
      <c r="K11" s="227"/>
      <c r="L11" s="227"/>
      <c r="M11" s="229">
        <f t="shared" si="0"/>
        <v>11942</v>
      </c>
      <c r="N11" s="229">
        <f t="shared" si="1"/>
        <v>0</v>
      </c>
      <c r="O11" s="230">
        <f t="shared" si="2"/>
        <v>1349.4459999999999</v>
      </c>
      <c r="P11" s="230" t="str">
        <f t="shared" si="3"/>
        <v>-</v>
      </c>
      <c r="Q11" s="230" t="str">
        <f t="shared" si="4"/>
        <v>-</v>
      </c>
      <c r="R11" s="230" t="str">
        <f t="shared" si="5"/>
        <v>-</v>
      </c>
      <c r="S11" s="230" t="str">
        <f t="shared" si="6"/>
        <v>-</v>
      </c>
      <c r="T11" s="230" t="str">
        <f t="shared" si="7"/>
        <v>-</v>
      </c>
    </row>
    <row r="12" spans="1:20" ht="29.25">
      <c r="A12" s="225">
        <v>4</v>
      </c>
      <c r="B12" s="63" t="s">
        <v>1031</v>
      </c>
      <c r="C12" s="227">
        <v>8</v>
      </c>
      <c r="D12" s="228" t="s">
        <v>975</v>
      </c>
      <c r="E12" s="227">
        <v>1</v>
      </c>
      <c r="F12" s="227">
        <v>1</v>
      </c>
      <c r="G12" s="227">
        <v>52</v>
      </c>
      <c r="H12" s="227"/>
      <c r="I12" s="227">
        <v>14123</v>
      </c>
      <c r="J12" s="227"/>
      <c r="K12" s="227"/>
      <c r="L12" s="227"/>
      <c r="M12" s="229">
        <f t="shared" si="0"/>
        <v>14115</v>
      </c>
      <c r="N12" s="229">
        <f t="shared" si="1"/>
        <v>392</v>
      </c>
      <c r="O12" s="230">
        <f t="shared" si="2"/>
        <v>754.36400000000003</v>
      </c>
      <c r="P12" s="230" t="str">
        <f t="shared" si="3"/>
        <v>-</v>
      </c>
      <c r="Q12" s="230" t="str">
        <f t="shared" si="4"/>
        <v>-</v>
      </c>
      <c r="R12" s="230" t="str">
        <f t="shared" si="5"/>
        <v>-</v>
      </c>
      <c r="S12" s="230" t="str">
        <f t="shared" si="6"/>
        <v>-</v>
      </c>
      <c r="T12" s="230" t="str">
        <f t="shared" si="7"/>
        <v>-</v>
      </c>
    </row>
    <row r="13" spans="1:20" ht="28.5">
      <c r="A13" s="225"/>
      <c r="B13" s="231"/>
      <c r="C13" s="227">
        <v>8</v>
      </c>
      <c r="D13" s="228" t="s">
        <v>975</v>
      </c>
      <c r="E13" s="227">
        <v>1</v>
      </c>
      <c r="F13" s="227">
        <v>1</v>
      </c>
      <c r="G13" s="227">
        <v>71</v>
      </c>
      <c r="H13" s="227"/>
      <c r="I13" s="227">
        <v>10400</v>
      </c>
      <c r="J13" s="227"/>
      <c r="K13" s="227"/>
      <c r="L13" s="227"/>
      <c r="M13" s="229">
        <f t="shared" si="0"/>
        <v>10392</v>
      </c>
      <c r="N13" s="229">
        <f t="shared" si="1"/>
        <v>0</v>
      </c>
      <c r="O13" s="230">
        <f t="shared" si="2"/>
        <v>737.83199999999999</v>
      </c>
      <c r="P13" s="230" t="str">
        <f t="shared" si="3"/>
        <v>-</v>
      </c>
      <c r="Q13" s="230" t="str">
        <f t="shared" si="4"/>
        <v>-</v>
      </c>
      <c r="R13" s="230" t="str">
        <f t="shared" si="5"/>
        <v>-</v>
      </c>
      <c r="S13" s="230" t="str">
        <f t="shared" si="6"/>
        <v>-</v>
      </c>
      <c r="T13" s="230" t="str">
        <f t="shared" si="7"/>
        <v>-</v>
      </c>
    </row>
    <row r="14" spans="1:20" ht="29.25">
      <c r="A14" s="225">
        <v>5</v>
      </c>
      <c r="B14" s="63" t="s">
        <v>1032</v>
      </c>
      <c r="C14" s="227">
        <v>8</v>
      </c>
      <c r="D14" s="228" t="s">
        <v>975</v>
      </c>
      <c r="E14" s="227">
        <v>1</v>
      </c>
      <c r="F14" s="227">
        <v>1</v>
      </c>
      <c r="G14" s="227">
        <v>11</v>
      </c>
      <c r="H14" s="227"/>
      <c r="I14" s="227">
        <v>10923</v>
      </c>
      <c r="J14" s="227"/>
      <c r="K14" s="227"/>
      <c r="L14" s="227"/>
      <c r="M14" s="229">
        <f t="shared" si="0"/>
        <v>10915</v>
      </c>
      <c r="N14" s="229">
        <f t="shared" si="1"/>
        <v>0</v>
      </c>
      <c r="O14" s="230">
        <f t="shared" si="2"/>
        <v>120.065</v>
      </c>
      <c r="P14" s="230" t="str">
        <f t="shared" si="3"/>
        <v>-</v>
      </c>
      <c r="Q14" s="230" t="str">
        <f t="shared" si="4"/>
        <v>-</v>
      </c>
      <c r="R14" s="230" t="str">
        <f t="shared" si="5"/>
        <v>-</v>
      </c>
      <c r="S14" s="230" t="str">
        <f t="shared" si="6"/>
        <v>-</v>
      </c>
      <c r="T14" s="230" t="str">
        <f t="shared" si="7"/>
        <v>-</v>
      </c>
    </row>
    <row r="15" spans="1:20" ht="28.5">
      <c r="A15" s="225"/>
      <c r="B15" s="231"/>
      <c r="C15" s="227">
        <v>8</v>
      </c>
      <c r="D15" s="228" t="s">
        <v>975</v>
      </c>
      <c r="E15" s="227">
        <v>1</v>
      </c>
      <c r="F15" s="227">
        <v>1</v>
      </c>
      <c r="G15" s="227">
        <v>55</v>
      </c>
      <c r="H15" s="227"/>
      <c r="I15" s="227">
        <v>2262</v>
      </c>
      <c r="J15" s="227"/>
      <c r="K15" s="227"/>
      <c r="L15" s="227"/>
      <c r="M15" s="229">
        <f t="shared" si="0"/>
        <v>2254</v>
      </c>
      <c r="N15" s="229">
        <f t="shared" si="1"/>
        <v>0</v>
      </c>
      <c r="O15" s="230">
        <f t="shared" si="2"/>
        <v>123.97</v>
      </c>
      <c r="P15" s="230" t="str">
        <f t="shared" si="3"/>
        <v>-</v>
      </c>
      <c r="Q15" s="230" t="str">
        <f t="shared" si="4"/>
        <v>-</v>
      </c>
      <c r="R15" s="230" t="str">
        <f t="shared" si="5"/>
        <v>-</v>
      </c>
      <c r="S15" s="230" t="str">
        <f t="shared" si="6"/>
        <v>-</v>
      </c>
      <c r="T15" s="230" t="str">
        <f t="shared" si="7"/>
        <v>-</v>
      </c>
    </row>
    <row r="16" spans="1:20" ht="15.75">
      <c r="A16" s="225"/>
      <c r="B16" s="347" t="s">
        <v>1155</v>
      </c>
      <c r="C16" s="227"/>
      <c r="D16" s="228"/>
      <c r="E16" s="227"/>
      <c r="F16" s="227"/>
      <c r="G16" s="227"/>
      <c r="H16" s="227"/>
      <c r="I16" s="227"/>
      <c r="J16" s="227"/>
      <c r="K16" s="227"/>
      <c r="L16" s="227"/>
      <c r="M16" s="229" t="str">
        <f t="shared" si="0"/>
        <v>-</v>
      </c>
      <c r="N16" s="229"/>
      <c r="O16" s="230" t="str">
        <f t="shared" si="2"/>
        <v>-</v>
      </c>
      <c r="P16" s="230" t="str">
        <f t="shared" si="3"/>
        <v>-</v>
      </c>
      <c r="Q16" s="230" t="str">
        <f t="shared" si="4"/>
        <v>-</v>
      </c>
      <c r="R16" s="230" t="str">
        <f t="shared" si="5"/>
        <v>-</v>
      </c>
      <c r="S16" s="230" t="str">
        <f t="shared" si="6"/>
        <v>-</v>
      </c>
      <c r="T16" s="230" t="str">
        <f t="shared" si="7"/>
        <v>-</v>
      </c>
    </row>
    <row r="17" spans="1:20" ht="29.25">
      <c r="A17" s="225">
        <v>6</v>
      </c>
      <c r="B17" s="63" t="s">
        <v>1033</v>
      </c>
      <c r="C17" s="227">
        <v>8</v>
      </c>
      <c r="D17" s="228" t="s">
        <v>975</v>
      </c>
      <c r="E17" s="227">
        <v>1</v>
      </c>
      <c r="F17" s="227">
        <v>1</v>
      </c>
      <c r="G17" s="227">
        <f>12/0.2</f>
        <v>60</v>
      </c>
      <c r="H17" s="227"/>
      <c r="I17" s="227">
        <v>12700</v>
      </c>
      <c r="J17" s="227"/>
      <c r="K17" s="227"/>
      <c r="L17" s="227"/>
      <c r="M17" s="229">
        <f t="shared" si="0"/>
        <v>12692</v>
      </c>
      <c r="N17" s="229">
        <f t="shared" si="1"/>
        <v>392</v>
      </c>
      <c r="O17" s="230">
        <f t="shared" si="2"/>
        <v>785.04</v>
      </c>
      <c r="P17" s="230" t="str">
        <f t="shared" si="3"/>
        <v>-</v>
      </c>
      <c r="Q17" s="230" t="str">
        <f t="shared" si="4"/>
        <v>-</v>
      </c>
      <c r="R17" s="230" t="str">
        <f t="shared" si="5"/>
        <v>-</v>
      </c>
      <c r="S17" s="230" t="str">
        <f t="shared" si="6"/>
        <v>-</v>
      </c>
      <c r="T17" s="230" t="str">
        <f t="shared" si="7"/>
        <v>-</v>
      </c>
    </row>
    <row r="18" spans="1:20" ht="28.5">
      <c r="A18" s="225"/>
      <c r="B18" s="231"/>
      <c r="C18" s="227">
        <v>8</v>
      </c>
      <c r="D18" s="228" t="s">
        <v>975</v>
      </c>
      <c r="E18" s="227">
        <v>1</v>
      </c>
      <c r="F18" s="227">
        <v>1</v>
      </c>
      <c r="G18" s="227">
        <v>64</v>
      </c>
      <c r="H18" s="227"/>
      <c r="I18" s="227">
        <v>11950</v>
      </c>
      <c r="J18" s="227"/>
      <c r="K18" s="227"/>
      <c r="L18" s="227"/>
      <c r="M18" s="229">
        <f t="shared" si="0"/>
        <v>11942</v>
      </c>
      <c r="N18" s="229">
        <f t="shared" si="1"/>
        <v>0</v>
      </c>
      <c r="O18" s="230">
        <f t="shared" si="2"/>
        <v>764.28800000000001</v>
      </c>
      <c r="P18" s="230" t="str">
        <f t="shared" si="3"/>
        <v>-</v>
      </c>
      <c r="Q18" s="230" t="str">
        <f t="shared" si="4"/>
        <v>-</v>
      </c>
      <c r="R18" s="230" t="str">
        <f t="shared" si="5"/>
        <v>-</v>
      </c>
      <c r="S18" s="230" t="str">
        <f t="shared" si="6"/>
        <v>-</v>
      </c>
      <c r="T18" s="230" t="str">
        <f t="shared" si="7"/>
        <v>-</v>
      </c>
    </row>
    <row r="19" spans="1:20" ht="15.75">
      <c r="A19" s="225"/>
      <c r="B19" s="347" t="s">
        <v>1091</v>
      </c>
      <c r="C19" s="227"/>
      <c r="D19" s="228"/>
      <c r="E19" s="227"/>
      <c r="F19" s="227"/>
      <c r="G19" s="227"/>
      <c r="H19" s="227"/>
      <c r="I19" s="227"/>
      <c r="J19" s="227"/>
      <c r="K19" s="227"/>
      <c r="L19" s="227"/>
      <c r="M19" s="229" t="str">
        <f t="shared" si="0"/>
        <v>-</v>
      </c>
      <c r="N19" s="229"/>
      <c r="O19" s="230" t="str">
        <f t="shared" si="2"/>
        <v>-</v>
      </c>
      <c r="P19" s="230" t="str">
        <f t="shared" si="3"/>
        <v>-</v>
      </c>
      <c r="Q19" s="230" t="str">
        <f t="shared" si="4"/>
        <v>-</v>
      </c>
      <c r="R19" s="230" t="str">
        <f t="shared" si="5"/>
        <v>-</v>
      </c>
      <c r="S19" s="230" t="str">
        <f t="shared" si="6"/>
        <v>-</v>
      </c>
      <c r="T19" s="230" t="str">
        <f t="shared" si="7"/>
        <v>-</v>
      </c>
    </row>
    <row r="20" spans="1:20" ht="29.25">
      <c r="A20" s="225">
        <v>7</v>
      </c>
      <c r="B20" s="63" t="s">
        <v>1034</v>
      </c>
      <c r="C20" s="227">
        <v>8</v>
      </c>
      <c r="D20" s="228" t="s">
        <v>975</v>
      </c>
      <c r="E20" s="227">
        <v>1</v>
      </c>
      <c r="F20" s="227">
        <v>1</v>
      </c>
      <c r="G20" s="227">
        <v>63</v>
      </c>
      <c r="H20" s="227"/>
      <c r="I20" s="227">
        <v>13400</v>
      </c>
      <c r="J20" s="227"/>
      <c r="K20" s="227"/>
      <c r="L20" s="227"/>
      <c r="M20" s="229">
        <f t="shared" si="0"/>
        <v>13392</v>
      </c>
      <c r="N20" s="229">
        <f t="shared" si="1"/>
        <v>392</v>
      </c>
      <c r="O20" s="230">
        <f t="shared" si="2"/>
        <v>868.39200000000005</v>
      </c>
      <c r="P20" s="230" t="str">
        <f t="shared" si="3"/>
        <v>-</v>
      </c>
      <c r="Q20" s="230" t="str">
        <f t="shared" si="4"/>
        <v>-</v>
      </c>
      <c r="R20" s="230" t="str">
        <f t="shared" si="5"/>
        <v>-</v>
      </c>
      <c r="S20" s="230" t="str">
        <f t="shared" si="6"/>
        <v>-</v>
      </c>
      <c r="T20" s="230" t="str">
        <f t="shared" si="7"/>
        <v>-</v>
      </c>
    </row>
    <row r="21" spans="1:20" ht="28.5">
      <c r="A21" s="225"/>
      <c r="B21" s="231"/>
      <c r="C21" s="227">
        <v>8</v>
      </c>
      <c r="D21" s="228" t="s">
        <v>975</v>
      </c>
      <c r="E21" s="227">
        <v>1</v>
      </c>
      <c r="F21" s="227">
        <v>1</v>
      </c>
      <c r="G21" s="227">
        <v>68</v>
      </c>
      <c r="H21" s="227"/>
      <c r="I21" s="227">
        <v>11950</v>
      </c>
      <c r="J21" s="227"/>
      <c r="K21" s="227"/>
      <c r="L21" s="227"/>
      <c r="M21" s="229">
        <f t="shared" si="0"/>
        <v>11942</v>
      </c>
      <c r="N21" s="229">
        <f t="shared" si="1"/>
        <v>0</v>
      </c>
      <c r="O21" s="230">
        <f t="shared" si="2"/>
        <v>812.05600000000004</v>
      </c>
      <c r="P21" s="230" t="str">
        <f t="shared" si="3"/>
        <v>-</v>
      </c>
      <c r="Q21" s="230" t="str">
        <f t="shared" si="4"/>
        <v>-</v>
      </c>
      <c r="R21" s="230" t="str">
        <f t="shared" si="5"/>
        <v>-</v>
      </c>
      <c r="S21" s="230" t="str">
        <f t="shared" si="6"/>
        <v>-</v>
      </c>
      <c r="T21" s="230" t="str">
        <f t="shared" si="7"/>
        <v>-</v>
      </c>
    </row>
    <row r="22" spans="1:20" ht="31.5">
      <c r="A22" s="262"/>
      <c r="B22" s="348" t="s">
        <v>1156</v>
      </c>
      <c r="C22" s="262"/>
      <c r="D22" s="221"/>
      <c r="E22" s="221"/>
      <c r="F22" s="221"/>
      <c r="G22" s="222"/>
      <c r="H22" s="262"/>
      <c r="I22" s="262"/>
      <c r="J22" s="262"/>
      <c r="K22" s="262"/>
      <c r="L22" s="262"/>
      <c r="M22" s="229" t="str">
        <f t="shared" si="0"/>
        <v>-</v>
      </c>
      <c r="N22" s="229"/>
      <c r="O22" s="230" t="str">
        <f t="shared" si="2"/>
        <v>-</v>
      </c>
      <c r="P22" s="230" t="str">
        <f t="shared" si="3"/>
        <v>-</v>
      </c>
      <c r="Q22" s="230" t="str">
        <f t="shared" si="4"/>
        <v>-</v>
      </c>
      <c r="R22" s="230" t="str">
        <f t="shared" si="5"/>
        <v>-</v>
      </c>
      <c r="S22" s="230" t="str">
        <f t="shared" si="6"/>
        <v>-</v>
      </c>
      <c r="T22" s="230" t="str">
        <f t="shared" si="7"/>
        <v>-</v>
      </c>
    </row>
    <row r="23" spans="1:20" ht="28.5">
      <c r="A23" s="225">
        <v>8</v>
      </c>
      <c r="B23" s="63" t="s">
        <v>1028</v>
      </c>
      <c r="C23" s="227">
        <v>8</v>
      </c>
      <c r="D23" s="228" t="s">
        <v>975</v>
      </c>
      <c r="E23" s="227">
        <v>1</v>
      </c>
      <c r="F23" s="227">
        <v>1</v>
      </c>
      <c r="G23" s="227">
        <v>18</v>
      </c>
      <c r="H23" s="227"/>
      <c r="I23" s="227">
        <v>4775</v>
      </c>
      <c r="J23" s="227"/>
      <c r="K23" s="227"/>
      <c r="L23" s="227"/>
      <c r="M23" s="229">
        <f t="shared" si="0"/>
        <v>4767</v>
      </c>
      <c r="N23" s="229">
        <f t="shared" si="1"/>
        <v>0</v>
      </c>
      <c r="O23" s="230">
        <f t="shared" si="2"/>
        <v>85.805999999999997</v>
      </c>
      <c r="P23" s="230" t="str">
        <f t="shared" si="3"/>
        <v>-</v>
      </c>
      <c r="Q23" s="230" t="str">
        <f t="shared" si="4"/>
        <v>-</v>
      </c>
      <c r="R23" s="230" t="str">
        <f t="shared" si="5"/>
        <v>-</v>
      </c>
      <c r="S23" s="230" t="str">
        <f t="shared" si="6"/>
        <v>-</v>
      </c>
      <c r="T23" s="230" t="str">
        <f t="shared" si="7"/>
        <v>-</v>
      </c>
    </row>
    <row r="24" spans="1:20" ht="28.5">
      <c r="A24" s="225"/>
      <c r="B24" s="231"/>
      <c r="C24" s="227">
        <v>8</v>
      </c>
      <c r="D24" s="228" t="s">
        <v>975</v>
      </c>
      <c r="E24" s="227">
        <v>1</v>
      </c>
      <c r="F24" s="227">
        <v>1</v>
      </c>
      <c r="G24" s="227">
        <v>24</v>
      </c>
      <c r="H24" s="227"/>
      <c r="I24" s="227">
        <v>3400</v>
      </c>
      <c r="J24" s="227"/>
      <c r="K24" s="227"/>
      <c r="L24" s="227"/>
      <c r="M24" s="229">
        <f t="shared" si="0"/>
        <v>3392</v>
      </c>
      <c r="N24" s="229">
        <f t="shared" si="1"/>
        <v>0</v>
      </c>
      <c r="O24" s="230">
        <f t="shared" si="2"/>
        <v>81.408000000000001</v>
      </c>
      <c r="P24" s="230" t="str">
        <f t="shared" si="3"/>
        <v>-</v>
      </c>
      <c r="Q24" s="230" t="str">
        <f t="shared" si="4"/>
        <v>-</v>
      </c>
      <c r="R24" s="230" t="str">
        <f t="shared" si="5"/>
        <v>-</v>
      </c>
      <c r="S24" s="230" t="str">
        <f t="shared" si="6"/>
        <v>-</v>
      </c>
      <c r="T24" s="230" t="str">
        <f t="shared" si="7"/>
        <v>-</v>
      </c>
    </row>
    <row r="25" spans="1:20" ht="28.5">
      <c r="A25" s="225">
        <v>9</v>
      </c>
      <c r="B25" s="63" t="s">
        <v>1029</v>
      </c>
      <c r="C25" s="227">
        <v>8</v>
      </c>
      <c r="D25" s="228" t="s">
        <v>975</v>
      </c>
      <c r="E25" s="227">
        <v>1</v>
      </c>
      <c r="F25" s="227">
        <v>1</v>
      </c>
      <c r="G25" s="227">
        <v>19</v>
      </c>
      <c r="H25" s="227"/>
      <c r="I25" s="227">
        <v>7325</v>
      </c>
      <c r="J25" s="227"/>
      <c r="K25" s="227"/>
      <c r="L25" s="227"/>
      <c r="M25" s="229">
        <f t="shared" si="0"/>
        <v>7317</v>
      </c>
      <c r="N25" s="229">
        <f t="shared" si="1"/>
        <v>0</v>
      </c>
      <c r="O25" s="230">
        <f t="shared" si="2"/>
        <v>139.023</v>
      </c>
      <c r="P25" s="230" t="str">
        <f t="shared" si="3"/>
        <v>-</v>
      </c>
      <c r="Q25" s="230" t="str">
        <f t="shared" si="4"/>
        <v>-</v>
      </c>
      <c r="R25" s="230" t="str">
        <f t="shared" si="5"/>
        <v>-</v>
      </c>
      <c r="S25" s="230" t="str">
        <f t="shared" si="6"/>
        <v>-</v>
      </c>
      <c r="T25" s="230" t="str">
        <f t="shared" si="7"/>
        <v>-</v>
      </c>
    </row>
    <row r="26" spans="1:20" ht="28.5">
      <c r="A26" s="225"/>
      <c r="B26" s="231"/>
      <c r="C26" s="227">
        <v>8</v>
      </c>
      <c r="D26" s="228" t="s">
        <v>975</v>
      </c>
      <c r="E26" s="227">
        <v>1</v>
      </c>
      <c r="F26" s="227">
        <v>1</v>
      </c>
      <c r="G26" s="227">
        <v>37</v>
      </c>
      <c r="H26" s="227"/>
      <c r="I26" s="227">
        <v>3775</v>
      </c>
      <c r="J26" s="227"/>
      <c r="K26" s="227"/>
      <c r="L26" s="227"/>
      <c r="M26" s="229">
        <f t="shared" si="0"/>
        <v>3775</v>
      </c>
      <c r="N26" s="229">
        <f t="shared" si="1"/>
        <v>0</v>
      </c>
      <c r="O26" s="230">
        <f t="shared" si="2"/>
        <v>139.67500000000001</v>
      </c>
      <c r="P26" s="230" t="str">
        <f t="shared" si="3"/>
        <v>-</v>
      </c>
      <c r="Q26" s="230" t="str">
        <f t="shared" si="4"/>
        <v>-</v>
      </c>
      <c r="R26" s="230" t="str">
        <f t="shared" si="5"/>
        <v>-</v>
      </c>
      <c r="S26" s="230" t="str">
        <f t="shared" si="6"/>
        <v>-</v>
      </c>
      <c r="T26" s="230" t="str">
        <f t="shared" si="7"/>
        <v>-</v>
      </c>
    </row>
    <row r="27" spans="1:20" ht="29.25">
      <c r="A27" s="225">
        <v>10</v>
      </c>
      <c r="B27" s="63" t="s">
        <v>1030</v>
      </c>
      <c r="C27" s="227">
        <v>8</v>
      </c>
      <c r="D27" s="228" t="s">
        <v>975</v>
      </c>
      <c r="E27" s="227">
        <v>1</v>
      </c>
      <c r="F27" s="227">
        <v>1</v>
      </c>
      <c r="G27" s="227">
        <f>12/0.2</f>
        <v>60</v>
      </c>
      <c r="H27" s="227"/>
      <c r="I27" s="227">
        <v>22500</v>
      </c>
      <c r="J27" s="227"/>
      <c r="K27" s="227"/>
      <c r="L27" s="227"/>
      <c r="M27" s="229">
        <f t="shared" si="0"/>
        <v>22500</v>
      </c>
      <c r="N27" s="229">
        <f t="shared" si="1"/>
        <v>392</v>
      </c>
      <c r="O27" s="230">
        <f t="shared" si="2"/>
        <v>1373.52</v>
      </c>
      <c r="P27" s="230" t="str">
        <f t="shared" si="3"/>
        <v>-</v>
      </c>
      <c r="Q27" s="230" t="str">
        <f t="shared" si="4"/>
        <v>-</v>
      </c>
      <c r="R27" s="230" t="str">
        <f t="shared" si="5"/>
        <v>-</v>
      </c>
      <c r="S27" s="230" t="str">
        <f t="shared" si="6"/>
        <v>-</v>
      </c>
      <c r="T27" s="230" t="str">
        <f t="shared" si="7"/>
        <v>-</v>
      </c>
    </row>
    <row r="28" spans="1:20" ht="28.5">
      <c r="A28" s="225"/>
      <c r="B28" s="231"/>
      <c r="C28" s="227">
        <v>8</v>
      </c>
      <c r="D28" s="228" t="s">
        <v>975</v>
      </c>
      <c r="E28" s="227">
        <v>1</v>
      </c>
      <c r="F28" s="227">
        <v>1</v>
      </c>
      <c r="G28" s="227">
        <v>113</v>
      </c>
      <c r="H28" s="227"/>
      <c r="I28" s="227">
        <v>11950</v>
      </c>
      <c r="J28" s="227"/>
      <c r="K28" s="227"/>
      <c r="L28" s="227"/>
      <c r="M28" s="229">
        <f t="shared" si="0"/>
        <v>11938</v>
      </c>
      <c r="N28" s="229">
        <f t="shared" si="1"/>
        <v>0</v>
      </c>
      <c r="O28" s="230">
        <f t="shared" si="2"/>
        <v>1348.9939999999999</v>
      </c>
      <c r="P28" s="230" t="str">
        <f t="shared" si="3"/>
        <v>-</v>
      </c>
      <c r="Q28" s="230" t="str">
        <f t="shared" si="4"/>
        <v>-</v>
      </c>
      <c r="R28" s="230" t="str">
        <f t="shared" si="5"/>
        <v>-</v>
      </c>
      <c r="S28" s="230" t="str">
        <f t="shared" si="6"/>
        <v>-</v>
      </c>
      <c r="T28" s="230" t="str">
        <f t="shared" si="7"/>
        <v>-</v>
      </c>
    </row>
    <row r="29" spans="1:20" ht="29.25">
      <c r="A29" s="225">
        <v>11</v>
      </c>
      <c r="B29" s="63" t="s">
        <v>1031</v>
      </c>
      <c r="C29" s="227">
        <v>8</v>
      </c>
      <c r="D29" s="228" t="s">
        <v>975</v>
      </c>
      <c r="E29" s="227">
        <v>1</v>
      </c>
      <c r="F29" s="227">
        <v>1</v>
      </c>
      <c r="G29" s="227">
        <v>52</v>
      </c>
      <c r="H29" s="227"/>
      <c r="I29" s="227">
        <v>14123</v>
      </c>
      <c r="J29" s="227"/>
      <c r="K29" s="227"/>
      <c r="L29" s="227"/>
      <c r="M29" s="229">
        <f t="shared" si="0"/>
        <v>14111</v>
      </c>
      <c r="N29" s="229">
        <f t="shared" si="1"/>
        <v>392</v>
      </c>
      <c r="O29" s="230">
        <f t="shared" si="2"/>
        <v>754.15599999999995</v>
      </c>
      <c r="P29" s="230" t="str">
        <f t="shared" si="3"/>
        <v>-</v>
      </c>
      <c r="Q29" s="230" t="str">
        <f t="shared" si="4"/>
        <v>-</v>
      </c>
      <c r="R29" s="230" t="str">
        <f t="shared" si="5"/>
        <v>-</v>
      </c>
      <c r="S29" s="230" t="str">
        <f t="shared" si="6"/>
        <v>-</v>
      </c>
      <c r="T29" s="230" t="str">
        <f t="shared" si="7"/>
        <v>-</v>
      </c>
    </row>
    <row r="30" spans="1:20" ht="28.5">
      <c r="A30" s="225"/>
      <c r="B30" s="231"/>
      <c r="C30" s="227">
        <v>8</v>
      </c>
      <c r="D30" s="228" t="s">
        <v>975</v>
      </c>
      <c r="E30" s="227">
        <v>1</v>
      </c>
      <c r="F30" s="227">
        <v>1</v>
      </c>
      <c r="G30" s="227">
        <v>71</v>
      </c>
      <c r="H30" s="227"/>
      <c r="I30" s="227">
        <v>10400</v>
      </c>
      <c r="J30" s="227"/>
      <c r="K30" s="227"/>
      <c r="L30" s="227"/>
      <c r="M30" s="229">
        <f t="shared" si="0"/>
        <v>10388</v>
      </c>
      <c r="N30" s="229">
        <f t="shared" si="1"/>
        <v>0</v>
      </c>
      <c r="O30" s="230">
        <f t="shared" si="2"/>
        <v>737.548</v>
      </c>
      <c r="P30" s="230" t="str">
        <f t="shared" si="3"/>
        <v>-</v>
      </c>
      <c r="Q30" s="230" t="str">
        <f t="shared" si="4"/>
        <v>-</v>
      </c>
      <c r="R30" s="230" t="str">
        <f t="shared" si="5"/>
        <v>-</v>
      </c>
      <c r="S30" s="230" t="str">
        <f t="shared" si="6"/>
        <v>-</v>
      </c>
      <c r="T30" s="230" t="str">
        <f t="shared" si="7"/>
        <v>-</v>
      </c>
    </row>
    <row r="31" spans="1:20" ht="29.25">
      <c r="A31" s="225">
        <v>12</v>
      </c>
      <c r="B31" s="63" t="s">
        <v>1032</v>
      </c>
      <c r="C31" s="227">
        <v>8</v>
      </c>
      <c r="D31" s="228" t="s">
        <v>975</v>
      </c>
      <c r="E31" s="227">
        <v>1</v>
      </c>
      <c r="F31" s="227">
        <v>1</v>
      </c>
      <c r="G31" s="227">
        <v>11</v>
      </c>
      <c r="H31" s="227"/>
      <c r="I31" s="227">
        <v>10923</v>
      </c>
      <c r="J31" s="227"/>
      <c r="K31" s="227"/>
      <c r="L31" s="227"/>
      <c r="M31" s="229">
        <f t="shared" si="0"/>
        <v>10911</v>
      </c>
      <c r="N31" s="229">
        <f t="shared" si="1"/>
        <v>0</v>
      </c>
      <c r="O31" s="230">
        <f t="shared" si="2"/>
        <v>120.021</v>
      </c>
      <c r="P31" s="230" t="str">
        <f t="shared" si="3"/>
        <v>-</v>
      </c>
      <c r="Q31" s="230" t="str">
        <f t="shared" si="4"/>
        <v>-</v>
      </c>
      <c r="R31" s="230" t="str">
        <f t="shared" si="5"/>
        <v>-</v>
      </c>
      <c r="S31" s="230" t="str">
        <f t="shared" si="6"/>
        <v>-</v>
      </c>
      <c r="T31" s="230" t="str">
        <f t="shared" si="7"/>
        <v>-</v>
      </c>
    </row>
    <row r="32" spans="1:20" ht="28.5">
      <c r="A32" s="225"/>
      <c r="B32" s="231"/>
      <c r="C32" s="227">
        <v>8</v>
      </c>
      <c r="D32" s="228" t="s">
        <v>975</v>
      </c>
      <c r="E32" s="227">
        <v>1</v>
      </c>
      <c r="F32" s="227">
        <v>1</v>
      </c>
      <c r="G32" s="227">
        <v>55</v>
      </c>
      <c r="H32" s="227"/>
      <c r="I32" s="227">
        <v>2262</v>
      </c>
      <c r="J32" s="227"/>
      <c r="K32" s="227"/>
      <c r="L32" s="227"/>
      <c r="M32" s="229">
        <f t="shared" si="0"/>
        <v>2250</v>
      </c>
      <c r="N32" s="229">
        <f t="shared" si="1"/>
        <v>0</v>
      </c>
      <c r="O32" s="230">
        <f t="shared" si="2"/>
        <v>123.75</v>
      </c>
      <c r="P32" s="230" t="str">
        <f t="shared" si="3"/>
        <v>-</v>
      </c>
      <c r="Q32" s="230" t="str">
        <f t="shared" si="4"/>
        <v>-</v>
      </c>
      <c r="R32" s="230" t="str">
        <f t="shared" si="5"/>
        <v>-</v>
      </c>
      <c r="S32" s="230" t="str">
        <f t="shared" si="6"/>
        <v>-</v>
      </c>
      <c r="T32" s="230" t="str">
        <f t="shared" si="7"/>
        <v>-</v>
      </c>
    </row>
    <row r="33" spans="1:20" ht="29.25">
      <c r="A33" s="225">
        <v>13</v>
      </c>
      <c r="B33" s="63" t="s">
        <v>1157</v>
      </c>
      <c r="C33" s="227">
        <v>8</v>
      </c>
      <c r="D33" s="228" t="s">
        <v>975</v>
      </c>
      <c r="E33" s="227">
        <v>1</v>
      </c>
      <c r="F33" s="227">
        <v>1</v>
      </c>
      <c r="G33" s="227">
        <v>53</v>
      </c>
      <c r="H33" s="227"/>
      <c r="I33" s="349">
        <f>12900-100+200</f>
        <v>13000</v>
      </c>
      <c r="J33" s="227"/>
      <c r="K33" s="227"/>
      <c r="L33" s="227"/>
      <c r="M33" s="229">
        <f t="shared" si="0"/>
        <v>12988</v>
      </c>
      <c r="N33" s="229">
        <f t="shared" si="1"/>
        <v>392</v>
      </c>
      <c r="O33" s="230">
        <f t="shared" si="2"/>
        <v>709.14</v>
      </c>
      <c r="P33" s="230" t="str">
        <f t="shared" si="3"/>
        <v>-</v>
      </c>
      <c r="Q33" s="230" t="str">
        <f t="shared" si="4"/>
        <v>-</v>
      </c>
      <c r="R33" s="230" t="str">
        <f t="shared" si="5"/>
        <v>-</v>
      </c>
      <c r="S33" s="230" t="str">
        <f t="shared" si="6"/>
        <v>-</v>
      </c>
      <c r="T33" s="230" t="str">
        <f t="shared" si="7"/>
        <v>-</v>
      </c>
    </row>
    <row r="34" spans="1:20" ht="28.5">
      <c r="A34" s="225"/>
      <c r="B34" s="231" t="s">
        <v>1158</v>
      </c>
      <c r="C34" s="227">
        <v>8</v>
      </c>
      <c r="D34" s="228" t="s">
        <v>975</v>
      </c>
      <c r="E34" s="227">
        <v>1</v>
      </c>
      <c r="F34" s="227">
        <v>1</v>
      </c>
      <c r="G34" s="227">
        <v>87</v>
      </c>
      <c r="H34" s="227"/>
      <c r="I34" s="227">
        <f>9359-100+200</f>
        <v>9459</v>
      </c>
      <c r="J34" s="227"/>
      <c r="K34" s="227"/>
      <c r="L34" s="227"/>
      <c r="M34" s="229">
        <f t="shared" si="0"/>
        <v>9447</v>
      </c>
      <c r="N34" s="229">
        <f t="shared" si="1"/>
        <v>0</v>
      </c>
      <c r="O34" s="230">
        <f t="shared" si="2"/>
        <v>821.88900000000001</v>
      </c>
      <c r="P34" s="230" t="str">
        <f t="shared" si="3"/>
        <v>-</v>
      </c>
      <c r="Q34" s="230" t="str">
        <f t="shared" si="4"/>
        <v>-</v>
      </c>
      <c r="R34" s="230" t="str">
        <f t="shared" si="5"/>
        <v>-</v>
      </c>
      <c r="S34" s="230" t="str">
        <f t="shared" si="6"/>
        <v>-</v>
      </c>
      <c r="T34" s="230" t="str">
        <f t="shared" si="7"/>
        <v>-</v>
      </c>
    </row>
    <row r="35" spans="1:20" ht="29.25">
      <c r="A35" s="225">
        <v>14</v>
      </c>
      <c r="B35" s="63" t="s">
        <v>1159</v>
      </c>
      <c r="C35" s="227">
        <v>8</v>
      </c>
      <c r="D35" s="228" t="s">
        <v>975</v>
      </c>
      <c r="E35" s="227">
        <v>1</v>
      </c>
      <c r="F35" s="227">
        <v>1</v>
      </c>
      <c r="G35" s="227">
        <v>61</v>
      </c>
      <c r="H35" s="227"/>
      <c r="I35" s="349">
        <v>18500</v>
      </c>
      <c r="J35" s="227"/>
      <c r="K35" s="227"/>
      <c r="L35" s="227"/>
      <c r="M35" s="229">
        <f t="shared" si="0"/>
        <v>18488</v>
      </c>
      <c r="N35" s="229">
        <f t="shared" si="1"/>
        <v>392</v>
      </c>
      <c r="O35" s="230">
        <f t="shared" si="2"/>
        <v>1151.68</v>
      </c>
      <c r="P35" s="230" t="str">
        <f t="shared" si="3"/>
        <v>-</v>
      </c>
      <c r="Q35" s="230" t="str">
        <f t="shared" si="4"/>
        <v>-</v>
      </c>
      <c r="R35" s="230" t="str">
        <f t="shared" si="5"/>
        <v>-</v>
      </c>
      <c r="S35" s="230" t="str">
        <f t="shared" si="6"/>
        <v>-</v>
      </c>
      <c r="T35" s="230" t="str">
        <f t="shared" si="7"/>
        <v>-</v>
      </c>
    </row>
    <row r="36" spans="1:20" ht="28.5">
      <c r="A36" s="225"/>
      <c r="B36" s="231"/>
      <c r="C36" s="227">
        <v>8</v>
      </c>
      <c r="D36" s="228" t="s">
        <v>975</v>
      </c>
      <c r="E36" s="227">
        <v>1</v>
      </c>
      <c r="F36" s="227">
        <v>1</v>
      </c>
      <c r="G36" s="227">
        <v>93</v>
      </c>
      <c r="H36" s="227"/>
      <c r="I36" s="227">
        <v>12100</v>
      </c>
      <c r="J36" s="227"/>
      <c r="K36" s="227"/>
      <c r="L36" s="227"/>
      <c r="M36" s="229">
        <f t="shared" si="0"/>
        <v>12100</v>
      </c>
      <c r="N36" s="229">
        <f t="shared" si="1"/>
        <v>392</v>
      </c>
      <c r="O36" s="230">
        <f t="shared" si="2"/>
        <v>1161.7560000000001</v>
      </c>
      <c r="P36" s="230" t="str">
        <f t="shared" si="3"/>
        <v>-</v>
      </c>
      <c r="Q36" s="230" t="str">
        <f t="shared" si="4"/>
        <v>-</v>
      </c>
      <c r="R36" s="230" t="str">
        <f t="shared" si="5"/>
        <v>-</v>
      </c>
      <c r="S36" s="230" t="str">
        <f t="shared" si="6"/>
        <v>-</v>
      </c>
      <c r="T36" s="230" t="str">
        <f t="shared" si="7"/>
        <v>-</v>
      </c>
    </row>
    <row r="37" spans="1:20" ht="29.25">
      <c r="A37" s="225">
        <v>15</v>
      </c>
      <c r="B37" s="63" t="s">
        <v>1160</v>
      </c>
      <c r="C37" s="227">
        <v>8</v>
      </c>
      <c r="D37" s="228" t="s">
        <v>975</v>
      </c>
      <c r="E37" s="227">
        <v>1</v>
      </c>
      <c r="F37" s="227">
        <v>1</v>
      </c>
      <c r="G37" s="227">
        <v>17</v>
      </c>
      <c r="H37" s="227"/>
      <c r="I37" s="349">
        <v>5100</v>
      </c>
      <c r="J37" s="227"/>
      <c r="K37" s="227"/>
      <c r="L37" s="227"/>
      <c r="M37" s="229">
        <f t="shared" si="0"/>
        <v>5092</v>
      </c>
      <c r="N37" s="229">
        <f t="shared" si="1"/>
        <v>0</v>
      </c>
      <c r="O37" s="230">
        <f t="shared" si="2"/>
        <v>86.563999999999993</v>
      </c>
      <c r="P37" s="230" t="str">
        <f t="shared" si="3"/>
        <v>-</v>
      </c>
      <c r="Q37" s="230" t="str">
        <f t="shared" si="4"/>
        <v>-</v>
      </c>
      <c r="R37" s="230" t="str">
        <f t="shared" si="5"/>
        <v>-</v>
      </c>
      <c r="S37" s="230" t="str">
        <f t="shared" si="6"/>
        <v>-</v>
      </c>
      <c r="T37" s="230" t="str">
        <f t="shared" si="7"/>
        <v>-</v>
      </c>
    </row>
    <row r="38" spans="1:20" ht="28.5">
      <c r="A38" s="225"/>
      <c r="B38" s="231"/>
      <c r="C38" s="227">
        <v>8</v>
      </c>
      <c r="D38" s="228" t="s">
        <v>975</v>
      </c>
      <c r="E38" s="227">
        <v>1</v>
      </c>
      <c r="F38" s="227">
        <v>1</v>
      </c>
      <c r="G38" s="227">
        <v>26</v>
      </c>
      <c r="H38" s="227"/>
      <c r="I38" s="227">
        <v>3300</v>
      </c>
      <c r="J38" s="227"/>
      <c r="K38" s="227"/>
      <c r="L38" s="227"/>
      <c r="M38" s="229">
        <f>IF(D38="L Shape",(H38+I38)-(C38*2*1),IF(D38="U Shape",(H38+I38+J38)-(C38*2*2),IF(D38="Rectangle",(H38+I38+J38+K38)+(C38*10*2)-(C38*2*5),IF(D38="Straight",I38-(C91),IF(D38="Chair",(H38+I38+J38+K38+L38)-(C38*2*4),IF(D38="U2 Shape",(H38+I38+J38+K38+L38)-(C38*2*4),IF(D38="U3 Shape",(H38+I38+J38+K38)-(C38*2*3),IF(D38="Z Shape",(H38+I38+J38)-(C38*2*2),IF(D38="Triangle",(H38+I38+J38)+(C38*10*2)-(C38*2*4),IF(D38="Trapezoid2",(H38+H38+I38+J38+J38+K38)+(C38*10*2)-(C38*2*7),IF(D38="Trapezoid",(H38+I38+J38+K38)+(C38*10*2)-(C38*2*5),IF(D38="Link",I38+(C38*10*2),IF(D38="U5 Shape",(H38+I38+J38+K38)-(C38*2*3),IF(D38="DU2 Shape",(H38+I38+J38+K38)-(C38*2*4),IF(D38="SU Shape",(H38+I38+J38)-(C38*2*2),"-")))))))))))))))</f>
        <v>3292</v>
      </c>
      <c r="N38" s="229">
        <f t="shared" si="1"/>
        <v>0</v>
      </c>
      <c r="O38" s="230">
        <f t="shared" si="2"/>
        <v>85.591999999999999</v>
      </c>
      <c r="P38" s="230" t="str">
        <f t="shared" si="3"/>
        <v>-</v>
      </c>
      <c r="Q38" s="230" t="str">
        <f t="shared" si="4"/>
        <v>-</v>
      </c>
      <c r="R38" s="230" t="str">
        <f t="shared" si="5"/>
        <v>-</v>
      </c>
      <c r="S38" s="230" t="str">
        <f t="shared" si="6"/>
        <v>-</v>
      </c>
      <c r="T38" s="230" t="str">
        <f t="shared" si="7"/>
        <v>-</v>
      </c>
    </row>
    <row r="39" spans="1:20" ht="29.25">
      <c r="A39" s="225">
        <v>16</v>
      </c>
      <c r="B39" s="63" t="s">
        <v>1161</v>
      </c>
      <c r="C39" s="227">
        <v>8</v>
      </c>
      <c r="D39" s="228" t="s">
        <v>975</v>
      </c>
      <c r="E39" s="227">
        <v>1</v>
      </c>
      <c r="F39" s="227">
        <v>1</v>
      </c>
      <c r="G39" s="227">
        <v>13</v>
      </c>
      <c r="H39" s="227"/>
      <c r="I39" s="349">
        <v>6500</v>
      </c>
      <c r="J39" s="227"/>
      <c r="K39" s="227"/>
      <c r="L39" s="227"/>
      <c r="M39" s="229">
        <f>IF(D39="L Shape",(H39+I39)-(C39*2*1),IF(D39="U Shape",(H39+I39+J39)-(C39*2*2),IF(D39="Rectangle",(H39+I39+J39+K39)+(C39*10*2)-(C39*2*5),IF(D39="Straight",I39-(C92),IF(D39="Chair",(H39+I39+J39+K39+L39)-(C39*2*4),IF(D39="U2 Shape",(H39+I39+J39+K39+L39)-(C39*2*4),IF(D39="U3 Shape",(H39+I39+J39+K39)-(C39*2*3),IF(D39="Z Shape",(H39+I39+J39)-(C39*2*2),IF(D39="Triangle",(H39+I39+J39)+(C39*10*2)-(C39*2*4),IF(D39="Trapezoid2",(H39+H39+I39+J39+J39+K39)+(C39*10*2)-(C39*2*7),IF(D39="Trapezoid",(H39+I39+J39+K39)+(C39*10*2)-(C39*2*5),IF(D39="Link",I39+(C39*10*2),IF(D39="U5 Shape",(H39+I39+J39+K39)-(C39*2*3),IF(D39="DU2 Shape",(H39+I39+J39+K39)-(C39*2*4),IF(D39="SU Shape",(H39+I39+J39)-(C39*2*2),"-")))))))))))))))</f>
        <v>6492</v>
      </c>
      <c r="N39" s="229">
        <f t="shared" si="1"/>
        <v>0</v>
      </c>
      <c r="O39" s="230">
        <f t="shared" si="2"/>
        <v>84.396000000000001</v>
      </c>
      <c r="P39" s="230" t="str">
        <f t="shared" si="3"/>
        <v>-</v>
      </c>
      <c r="Q39" s="230" t="str">
        <f t="shared" si="4"/>
        <v>-</v>
      </c>
      <c r="R39" s="230" t="str">
        <f t="shared" si="5"/>
        <v>-</v>
      </c>
      <c r="S39" s="230" t="str">
        <f t="shared" si="6"/>
        <v>-</v>
      </c>
      <c r="T39" s="230" t="str">
        <f t="shared" si="7"/>
        <v>-</v>
      </c>
    </row>
    <row r="40" spans="1:20" ht="28.5">
      <c r="A40" s="225"/>
      <c r="B40" s="231"/>
      <c r="C40" s="227">
        <v>8</v>
      </c>
      <c r="D40" s="228" t="s">
        <v>975</v>
      </c>
      <c r="E40" s="227">
        <v>1</v>
      </c>
      <c r="F40" s="227">
        <v>1</v>
      </c>
      <c r="G40" s="227">
        <v>33</v>
      </c>
      <c r="H40" s="227"/>
      <c r="I40" s="227">
        <v>2400</v>
      </c>
      <c r="J40" s="227"/>
      <c r="K40" s="227"/>
      <c r="L40" s="227"/>
      <c r="M40" s="229">
        <f>IF(D40="L Shape",(H40+I40)-(C40*2*1),IF(D40="U Shape",(H40+I40+J40)-(C40*2*2),IF(D40="Rectangle",(H40+I40+J40+K40)+(C40*10*2)-(C40*2*5),IF(D40="Straight",I40-(C93),IF(D40="Chair",(H40+I40+J40+K40+L40)-(C40*2*4),IF(D40="U2 Shape",(H40+I40+J40+K40+L40)-(C40*2*4),IF(D40="U3 Shape",(H40+I40+J40+K40)-(C40*2*3),IF(D40="Z Shape",(H40+I40+J40)-(C40*2*2),IF(D40="Triangle",(H40+I40+J40)+(C40*10*2)-(C40*2*4),IF(D40="Trapezoid2",(H40+H40+I40+J40+J40+K40)+(C40*10*2)-(C40*2*7),IF(D40="Trapezoid",(H40+I40+J40+K40)+(C40*10*2)-(C40*2*5),IF(D40="Link",I40+(C40*10*2),IF(D40="U5 Shape",(H40+I40+J40+K40)-(C40*2*3),IF(D40="DU2 Shape",(H40+I40+J40+K40)-(C40*2*4),IF(D40="SU Shape",(H40+I40+J40)-(C40*2*2),"-")))))))))))))))</f>
        <v>2392</v>
      </c>
      <c r="N40" s="229">
        <f t="shared" si="1"/>
        <v>0</v>
      </c>
      <c r="O40" s="230">
        <f t="shared" si="2"/>
        <v>78.936000000000007</v>
      </c>
      <c r="P40" s="230" t="str">
        <f t="shared" si="3"/>
        <v>-</v>
      </c>
      <c r="Q40" s="230" t="str">
        <f t="shared" si="4"/>
        <v>-</v>
      </c>
      <c r="R40" s="230" t="str">
        <f t="shared" si="5"/>
        <v>-</v>
      </c>
      <c r="S40" s="230" t="str">
        <f t="shared" si="6"/>
        <v>-</v>
      </c>
      <c r="T40" s="230" t="str">
        <f t="shared" si="7"/>
        <v>-</v>
      </c>
    </row>
    <row r="41" spans="1:20" ht="29.25">
      <c r="A41" s="225">
        <v>17</v>
      </c>
      <c r="B41" s="63" t="s">
        <v>1162</v>
      </c>
      <c r="C41" s="227">
        <v>8</v>
      </c>
      <c r="D41" s="228" t="s">
        <v>975</v>
      </c>
      <c r="E41" s="227">
        <v>1</v>
      </c>
      <c r="F41" s="227">
        <v>1</v>
      </c>
      <c r="G41" s="227">
        <v>12</v>
      </c>
      <c r="H41" s="227"/>
      <c r="I41" s="349">
        <v>6500</v>
      </c>
      <c r="J41" s="227"/>
      <c r="K41" s="227"/>
      <c r="L41" s="227"/>
      <c r="M41" s="229">
        <f>IF(D41="L Shape",(H41+I41)-(C41*2*1),IF(D41="U Shape",(H41+I41+J41)-(C41*2*2),IF(D41="Rectangle",(H41+I41+J41+K41)+(C41*10*2)-(C41*2*5),IF(D41="Straight",I41-(C94),IF(D41="Chair",(H41+I41+J41+K41+L41)-(C41*2*4),IF(D41="U2 Shape",(H41+I41+J41+K41+L41)-(C41*2*4),IF(D41="U3 Shape",(H41+I41+J41+K41)-(C41*2*3),IF(D41="Z Shape",(H41+I41+J41)-(C41*2*2),IF(D41="Triangle",(H41+I41+J41)+(C41*10*2)-(C41*2*4),IF(D41="Trapezoid2",(H41+H41+I41+J41+J41+K41)+(C41*10*2)-(C41*2*7),IF(D41="Trapezoid",(H41+I41+J41+K41)+(C41*10*2)-(C41*2*5),IF(D41="Link",I41+(C41*10*2),IF(D41="U5 Shape",(H41+I41+J41+K41)-(C41*2*3),IF(D41="DU2 Shape",(H41+I41+J41+K41)-(C41*2*4),IF(D41="SU Shape",(H41+I41+J41)-(C41*2*2),"-")))))))))))))))</f>
        <v>6492</v>
      </c>
      <c r="N41" s="229">
        <f t="shared" si="1"/>
        <v>0</v>
      </c>
      <c r="O41" s="230">
        <f t="shared" si="2"/>
        <v>77.903999999999996</v>
      </c>
      <c r="P41" s="230" t="str">
        <f t="shared" si="3"/>
        <v>-</v>
      </c>
      <c r="Q41" s="230" t="str">
        <f t="shared" si="4"/>
        <v>-</v>
      </c>
      <c r="R41" s="230" t="str">
        <f t="shared" si="5"/>
        <v>-</v>
      </c>
      <c r="S41" s="230" t="str">
        <f t="shared" si="6"/>
        <v>-</v>
      </c>
      <c r="T41" s="230" t="str">
        <f t="shared" si="7"/>
        <v>-</v>
      </c>
    </row>
    <row r="42" spans="1:20" ht="28.5">
      <c r="A42" s="225"/>
      <c r="B42" s="231"/>
      <c r="C42" s="227">
        <v>8</v>
      </c>
      <c r="D42" s="228" t="s">
        <v>975</v>
      </c>
      <c r="E42" s="227">
        <v>1</v>
      </c>
      <c r="F42" s="227">
        <v>1</v>
      </c>
      <c r="G42" s="227">
        <v>33</v>
      </c>
      <c r="H42" s="227"/>
      <c r="I42" s="227">
        <v>2250</v>
      </c>
      <c r="J42" s="227"/>
      <c r="K42" s="227"/>
      <c r="L42" s="227"/>
      <c r="M42" s="229">
        <f t="shared" ref="M42:M73" si="8">IF(D42="L Shape",(H42+I42)-(C42*2*1),IF(D42="U Shape",(H42+I42+J42)-(C42*2*2),IF(D42="Rectangle",(H42+I42+J42+K42)+(C42*10*2)-(C42*2*5),IF(D42="Straight",I42-(C106),IF(D42="Chair",(H42+I42+J42+K42+L42)-(C42*2*4),IF(D42="U2 Shape",(H42+I42+J42+K42+L42)-(C42*2*4),IF(D42="U3 Shape",(H42+I42+J42+K42)-(C42*2*3),IF(D42="Z Shape",(H42+I42+J42)-(C42*2*2),IF(D42="Triangle",(H42+I42+J42)+(C42*10*2)-(C42*2*4),IF(D42="Trapezoid2",(H42+H42+I42+J42+J42+K42)+(C42*10*2)-(C42*2*7),IF(D42="Trapezoid",(H42+I42+J42+K42)+(C42*10*2)-(C42*2*5),IF(D42="Link",I42+(C42*10*2),IF(D42="U5 Shape",(H42+I42+J42+K42)-(C42*2*3),IF(D42="DU2 Shape",(H42+I42+J42+K42)-(C42*2*4),IF(D42="SU Shape",(H42+I42+J42)-(C42*2*2),"-")))))))))))))))</f>
        <v>2250</v>
      </c>
      <c r="N42" s="229">
        <f t="shared" si="1"/>
        <v>0</v>
      </c>
      <c r="O42" s="230">
        <f t="shared" si="2"/>
        <v>74.25</v>
      </c>
      <c r="P42" s="230" t="str">
        <f t="shared" si="3"/>
        <v>-</v>
      </c>
      <c r="Q42" s="230" t="str">
        <f t="shared" si="4"/>
        <v>-</v>
      </c>
      <c r="R42" s="230" t="str">
        <f t="shared" si="5"/>
        <v>-</v>
      </c>
      <c r="S42" s="230" t="str">
        <f t="shared" si="6"/>
        <v>-</v>
      </c>
      <c r="T42" s="230" t="str">
        <f t="shared" si="7"/>
        <v>-</v>
      </c>
    </row>
    <row r="43" spans="1:20" ht="29.25">
      <c r="A43" s="225">
        <v>18</v>
      </c>
      <c r="B43" s="63" t="s">
        <v>1163</v>
      </c>
      <c r="C43" s="227">
        <v>8</v>
      </c>
      <c r="D43" s="228" t="s">
        <v>975</v>
      </c>
      <c r="E43" s="227">
        <v>1</v>
      </c>
      <c r="F43" s="227">
        <v>1</v>
      </c>
      <c r="G43" s="227">
        <v>61</v>
      </c>
      <c r="H43" s="227"/>
      <c r="I43" s="349">
        <v>12900</v>
      </c>
      <c r="J43" s="227"/>
      <c r="K43" s="227"/>
      <c r="L43" s="227"/>
      <c r="M43" s="229">
        <f t="shared" si="8"/>
        <v>12900</v>
      </c>
      <c r="N43" s="229">
        <f t="shared" si="1"/>
        <v>392</v>
      </c>
      <c r="O43" s="230">
        <f t="shared" si="2"/>
        <v>810.81200000000001</v>
      </c>
      <c r="P43" s="230" t="str">
        <f t="shared" si="3"/>
        <v>-</v>
      </c>
      <c r="Q43" s="230" t="str">
        <f t="shared" si="4"/>
        <v>-</v>
      </c>
      <c r="R43" s="230" t="str">
        <f t="shared" si="5"/>
        <v>-</v>
      </c>
      <c r="S43" s="230" t="str">
        <f t="shared" si="6"/>
        <v>-</v>
      </c>
      <c r="T43" s="230" t="str">
        <f t="shared" si="7"/>
        <v>-</v>
      </c>
    </row>
    <row r="44" spans="1:20" ht="28.5">
      <c r="A44" s="225"/>
      <c r="B44" s="231"/>
      <c r="C44" s="227">
        <v>8</v>
      </c>
      <c r="D44" s="228" t="s">
        <v>975</v>
      </c>
      <c r="E44" s="227">
        <v>1</v>
      </c>
      <c r="F44" s="227">
        <v>1</v>
      </c>
      <c r="G44" s="227">
        <v>65</v>
      </c>
      <c r="H44" s="227"/>
      <c r="I44" s="227">
        <v>12100</v>
      </c>
      <c r="J44" s="227"/>
      <c r="K44" s="227"/>
      <c r="L44" s="227"/>
      <c r="M44" s="229">
        <f t="shared" si="8"/>
        <v>12100</v>
      </c>
      <c r="N44" s="229">
        <f t="shared" si="1"/>
        <v>392</v>
      </c>
      <c r="O44" s="230">
        <f t="shared" si="2"/>
        <v>811.98</v>
      </c>
      <c r="P44" s="230" t="str">
        <f t="shared" si="3"/>
        <v>-</v>
      </c>
      <c r="Q44" s="230" t="str">
        <f t="shared" si="4"/>
        <v>-</v>
      </c>
      <c r="R44" s="230" t="str">
        <f t="shared" si="5"/>
        <v>-</v>
      </c>
      <c r="S44" s="230" t="str">
        <f t="shared" si="6"/>
        <v>-</v>
      </c>
      <c r="T44" s="230" t="str">
        <f t="shared" si="7"/>
        <v>-</v>
      </c>
    </row>
    <row r="45" spans="1:20" ht="18">
      <c r="A45" s="223"/>
      <c r="B45" s="350" t="s">
        <v>938</v>
      </c>
      <c r="C45" s="262"/>
      <c r="D45" s="221"/>
      <c r="E45" s="221"/>
      <c r="F45" s="221"/>
      <c r="G45" s="222"/>
      <c r="H45" s="223"/>
      <c r="I45" s="223"/>
      <c r="J45" s="223"/>
      <c r="K45" s="223"/>
      <c r="L45" s="223"/>
      <c r="M45" s="229" t="str">
        <f t="shared" si="8"/>
        <v>-</v>
      </c>
      <c r="N45" s="229"/>
      <c r="O45" s="230" t="str">
        <f t="shared" si="2"/>
        <v>-</v>
      </c>
      <c r="P45" s="230" t="str">
        <f t="shared" si="3"/>
        <v>-</v>
      </c>
      <c r="Q45" s="230" t="str">
        <f t="shared" si="4"/>
        <v>-</v>
      </c>
      <c r="R45" s="230" t="str">
        <f t="shared" si="5"/>
        <v>-</v>
      </c>
      <c r="S45" s="230" t="str">
        <f t="shared" si="6"/>
        <v>-</v>
      </c>
      <c r="T45" s="230" t="str">
        <f t="shared" si="7"/>
        <v>-</v>
      </c>
    </row>
    <row r="46" spans="1:20" ht="15.75">
      <c r="A46" s="223"/>
      <c r="B46" s="348" t="s">
        <v>944</v>
      </c>
      <c r="C46" s="262"/>
      <c r="D46" s="221"/>
      <c r="E46" s="221"/>
      <c r="F46" s="221"/>
      <c r="G46" s="222"/>
      <c r="H46" s="223"/>
      <c r="I46" s="223"/>
      <c r="J46" s="223"/>
      <c r="K46" s="223"/>
      <c r="L46" s="223"/>
      <c r="M46" s="229" t="str">
        <f t="shared" si="8"/>
        <v>-</v>
      </c>
      <c r="N46" s="229"/>
      <c r="O46" s="230" t="str">
        <f t="shared" si="2"/>
        <v>-</v>
      </c>
      <c r="P46" s="230" t="str">
        <f t="shared" si="3"/>
        <v>-</v>
      </c>
      <c r="Q46" s="230" t="str">
        <f t="shared" si="4"/>
        <v>-</v>
      </c>
      <c r="R46" s="230" t="str">
        <f t="shared" si="5"/>
        <v>-</v>
      </c>
      <c r="S46" s="230" t="str">
        <f t="shared" si="6"/>
        <v>-</v>
      </c>
      <c r="T46" s="230" t="str">
        <f t="shared" si="7"/>
        <v>-</v>
      </c>
    </row>
    <row r="47" spans="1:20" ht="28.5">
      <c r="A47" s="225">
        <v>1</v>
      </c>
      <c r="B47" s="63" t="s">
        <v>1028</v>
      </c>
      <c r="C47" s="227">
        <v>8</v>
      </c>
      <c r="D47" s="228" t="s">
        <v>975</v>
      </c>
      <c r="E47" s="227">
        <v>1</v>
      </c>
      <c r="F47" s="227">
        <v>1</v>
      </c>
      <c r="G47" s="227">
        <v>18</v>
      </c>
      <c r="H47" s="227"/>
      <c r="I47" s="227">
        <v>4775</v>
      </c>
      <c r="J47" s="227"/>
      <c r="K47" s="227"/>
      <c r="L47" s="227"/>
      <c r="M47" s="229">
        <f t="shared" si="8"/>
        <v>4775</v>
      </c>
      <c r="N47" s="229">
        <f t="shared" si="1"/>
        <v>0</v>
      </c>
      <c r="O47" s="230">
        <f t="shared" si="2"/>
        <v>85.95</v>
      </c>
      <c r="P47" s="230" t="str">
        <f t="shared" si="3"/>
        <v>-</v>
      </c>
      <c r="Q47" s="230" t="str">
        <f t="shared" si="4"/>
        <v>-</v>
      </c>
      <c r="R47" s="230" t="str">
        <f t="shared" si="5"/>
        <v>-</v>
      </c>
      <c r="S47" s="230" t="str">
        <f t="shared" si="6"/>
        <v>-</v>
      </c>
      <c r="T47" s="230" t="str">
        <f t="shared" si="7"/>
        <v>-</v>
      </c>
    </row>
    <row r="48" spans="1:20" ht="28.5">
      <c r="A48" s="225"/>
      <c r="B48" s="231"/>
      <c r="C48" s="227">
        <v>8</v>
      </c>
      <c r="D48" s="228" t="s">
        <v>975</v>
      </c>
      <c r="E48" s="227">
        <v>1</v>
      </c>
      <c r="F48" s="227">
        <v>1</v>
      </c>
      <c r="G48" s="227">
        <v>24</v>
      </c>
      <c r="H48" s="227"/>
      <c r="I48" s="227">
        <v>3400</v>
      </c>
      <c r="J48" s="227"/>
      <c r="K48" s="227"/>
      <c r="L48" s="227"/>
      <c r="M48" s="229">
        <f t="shared" si="8"/>
        <v>3400</v>
      </c>
      <c r="N48" s="229">
        <f t="shared" si="1"/>
        <v>0</v>
      </c>
      <c r="O48" s="230">
        <f t="shared" si="2"/>
        <v>81.599999999999994</v>
      </c>
      <c r="P48" s="230" t="str">
        <f t="shared" si="3"/>
        <v>-</v>
      </c>
      <c r="Q48" s="230" t="str">
        <f t="shared" si="4"/>
        <v>-</v>
      </c>
      <c r="R48" s="230" t="str">
        <f t="shared" si="5"/>
        <v>-</v>
      </c>
      <c r="S48" s="230" t="str">
        <f t="shared" si="6"/>
        <v>-</v>
      </c>
      <c r="T48" s="230" t="str">
        <f t="shared" si="7"/>
        <v>-</v>
      </c>
    </row>
    <row r="49" spans="1:20" ht="28.5">
      <c r="A49" s="225">
        <v>2</v>
      </c>
      <c r="B49" s="63" t="s">
        <v>1029</v>
      </c>
      <c r="C49" s="227">
        <v>8</v>
      </c>
      <c r="D49" s="228" t="s">
        <v>975</v>
      </c>
      <c r="E49" s="227">
        <v>1</v>
      </c>
      <c r="F49" s="227">
        <v>1</v>
      </c>
      <c r="G49" s="227">
        <v>19</v>
      </c>
      <c r="H49" s="227"/>
      <c r="I49" s="227">
        <v>7325</v>
      </c>
      <c r="J49" s="227"/>
      <c r="K49" s="227"/>
      <c r="L49" s="227"/>
      <c r="M49" s="229">
        <f t="shared" si="8"/>
        <v>7325</v>
      </c>
      <c r="N49" s="229">
        <f t="shared" si="1"/>
        <v>0</v>
      </c>
      <c r="O49" s="230">
        <f t="shared" si="2"/>
        <v>139.17500000000001</v>
      </c>
      <c r="P49" s="230" t="str">
        <f t="shared" si="3"/>
        <v>-</v>
      </c>
      <c r="Q49" s="230" t="str">
        <f t="shared" si="4"/>
        <v>-</v>
      </c>
      <c r="R49" s="230" t="str">
        <f t="shared" si="5"/>
        <v>-</v>
      </c>
      <c r="S49" s="230" t="str">
        <f t="shared" si="6"/>
        <v>-</v>
      </c>
      <c r="T49" s="230" t="str">
        <f t="shared" si="7"/>
        <v>-</v>
      </c>
    </row>
    <row r="50" spans="1:20" ht="28.5">
      <c r="A50" s="225"/>
      <c r="B50" s="231"/>
      <c r="C50" s="227">
        <v>8</v>
      </c>
      <c r="D50" s="228" t="s">
        <v>975</v>
      </c>
      <c r="E50" s="227">
        <v>1</v>
      </c>
      <c r="F50" s="227">
        <v>1</v>
      </c>
      <c r="G50" s="227">
        <v>37</v>
      </c>
      <c r="H50" s="227"/>
      <c r="I50" s="227">
        <v>3775</v>
      </c>
      <c r="J50" s="227"/>
      <c r="K50" s="227"/>
      <c r="L50" s="227"/>
      <c r="M50" s="229">
        <f t="shared" si="8"/>
        <v>3775</v>
      </c>
      <c r="N50" s="229">
        <f t="shared" si="1"/>
        <v>0</v>
      </c>
      <c r="O50" s="230">
        <f t="shared" si="2"/>
        <v>139.67500000000001</v>
      </c>
      <c r="P50" s="230" t="str">
        <f t="shared" si="3"/>
        <v>-</v>
      </c>
      <c r="Q50" s="230" t="str">
        <f t="shared" si="4"/>
        <v>-</v>
      </c>
      <c r="R50" s="230" t="str">
        <f t="shared" si="5"/>
        <v>-</v>
      </c>
      <c r="S50" s="230" t="str">
        <f t="shared" si="6"/>
        <v>-</v>
      </c>
      <c r="T50" s="230" t="str">
        <f t="shared" si="7"/>
        <v>-</v>
      </c>
    </row>
    <row r="51" spans="1:20" ht="29.25">
      <c r="A51" s="225">
        <v>3</v>
      </c>
      <c r="B51" s="63" t="s">
        <v>1030</v>
      </c>
      <c r="C51" s="227">
        <v>8</v>
      </c>
      <c r="D51" s="228" t="s">
        <v>975</v>
      </c>
      <c r="E51" s="227">
        <v>1</v>
      </c>
      <c r="F51" s="227">
        <v>1</v>
      </c>
      <c r="G51" s="227">
        <f>12/0.2</f>
        <v>60</v>
      </c>
      <c r="H51" s="227"/>
      <c r="I51" s="227">
        <v>22500</v>
      </c>
      <c r="J51" s="227"/>
      <c r="K51" s="227"/>
      <c r="L51" s="227"/>
      <c r="M51" s="229">
        <f t="shared" si="8"/>
        <v>22500</v>
      </c>
      <c r="N51" s="229">
        <f t="shared" si="1"/>
        <v>392</v>
      </c>
      <c r="O51" s="230">
        <f t="shared" si="2"/>
        <v>1373.52</v>
      </c>
      <c r="P51" s="230" t="str">
        <f t="shared" si="3"/>
        <v>-</v>
      </c>
      <c r="Q51" s="230" t="str">
        <f t="shared" si="4"/>
        <v>-</v>
      </c>
      <c r="R51" s="230" t="str">
        <f t="shared" si="5"/>
        <v>-</v>
      </c>
      <c r="S51" s="230" t="str">
        <f t="shared" si="6"/>
        <v>-</v>
      </c>
      <c r="T51" s="230" t="str">
        <f t="shared" si="7"/>
        <v>-</v>
      </c>
    </row>
    <row r="52" spans="1:20" ht="28.5">
      <c r="A52" s="225"/>
      <c r="B52" s="231"/>
      <c r="C52" s="227">
        <v>8</v>
      </c>
      <c r="D52" s="228" t="s">
        <v>975</v>
      </c>
      <c r="E52" s="227">
        <v>1</v>
      </c>
      <c r="F52" s="227">
        <v>1</v>
      </c>
      <c r="G52" s="227">
        <v>113</v>
      </c>
      <c r="H52" s="227"/>
      <c r="I52" s="227">
        <v>11950</v>
      </c>
      <c r="J52" s="227"/>
      <c r="K52" s="227"/>
      <c r="L52" s="227"/>
      <c r="M52" s="229">
        <f t="shared" si="8"/>
        <v>11950</v>
      </c>
      <c r="N52" s="229">
        <f t="shared" si="1"/>
        <v>0</v>
      </c>
      <c r="O52" s="230">
        <f t="shared" si="2"/>
        <v>1350.35</v>
      </c>
      <c r="P52" s="230" t="str">
        <f t="shared" si="3"/>
        <v>-</v>
      </c>
      <c r="Q52" s="230" t="str">
        <f t="shared" si="4"/>
        <v>-</v>
      </c>
      <c r="R52" s="230" t="str">
        <f t="shared" si="5"/>
        <v>-</v>
      </c>
      <c r="S52" s="230" t="str">
        <f t="shared" si="6"/>
        <v>-</v>
      </c>
      <c r="T52" s="230" t="str">
        <f t="shared" si="7"/>
        <v>-</v>
      </c>
    </row>
    <row r="53" spans="1:20" ht="29.25">
      <c r="A53" s="225">
        <v>4</v>
      </c>
      <c r="B53" s="63" t="s">
        <v>1031</v>
      </c>
      <c r="C53" s="227">
        <v>8</v>
      </c>
      <c r="D53" s="228" t="s">
        <v>975</v>
      </c>
      <c r="E53" s="227">
        <v>1</v>
      </c>
      <c r="F53" s="227">
        <v>1</v>
      </c>
      <c r="G53" s="227">
        <v>52</v>
      </c>
      <c r="H53" s="227"/>
      <c r="I53" s="227">
        <v>14123</v>
      </c>
      <c r="J53" s="227"/>
      <c r="K53" s="227"/>
      <c r="L53" s="227"/>
      <c r="M53" s="229">
        <f t="shared" si="8"/>
        <v>14123</v>
      </c>
      <c r="N53" s="229">
        <f t="shared" si="1"/>
        <v>392</v>
      </c>
      <c r="O53" s="230">
        <f t="shared" si="2"/>
        <v>754.78</v>
      </c>
      <c r="P53" s="230" t="str">
        <f t="shared" si="3"/>
        <v>-</v>
      </c>
      <c r="Q53" s="230" t="str">
        <f t="shared" si="4"/>
        <v>-</v>
      </c>
      <c r="R53" s="230" t="str">
        <f t="shared" si="5"/>
        <v>-</v>
      </c>
      <c r="S53" s="230" t="str">
        <f t="shared" si="6"/>
        <v>-</v>
      </c>
      <c r="T53" s="230" t="str">
        <f t="shared" si="7"/>
        <v>-</v>
      </c>
    </row>
    <row r="54" spans="1:20" ht="28.5">
      <c r="A54" s="225"/>
      <c r="B54" s="231"/>
      <c r="C54" s="227">
        <v>8</v>
      </c>
      <c r="D54" s="228" t="s">
        <v>975</v>
      </c>
      <c r="E54" s="227">
        <v>1</v>
      </c>
      <c r="F54" s="227">
        <v>1</v>
      </c>
      <c r="G54" s="227">
        <v>71</v>
      </c>
      <c r="H54" s="227"/>
      <c r="I54" s="227">
        <v>10400</v>
      </c>
      <c r="J54" s="227"/>
      <c r="K54" s="227"/>
      <c r="L54" s="227"/>
      <c r="M54" s="229">
        <f t="shared" si="8"/>
        <v>10400</v>
      </c>
      <c r="N54" s="229">
        <f t="shared" si="1"/>
        <v>0</v>
      </c>
      <c r="O54" s="230">
        <f t="shared" si="2"/>
        <v>738.4</v>
      </c>
      <c r="P54" s="230" t="str">
        <f t="shared" si="3"/>
        <v>-</v>
      </c>
      <c r="Q54" s="230" t="str">
        <f t="shared" si="4"/>
        <v>-</v>
      </c>
      <c r="R54" s="230" t="str">
        <f t="shared" si="5"/>
        <v>-</v>
      </c>
      <c r="S54" s="230" t="str">
        <f t="shared" si="6"/>
        <v>-</v>
      </c>
      <c r="T54" s="230" t="str">
        <f t="shared" si="7"/>
        <v>-</v>
      </c>
    </row>
    <row r="55" spans="1:20" ht="29.25">
      <c r="A55" s="225">
        <v>5</v>
      </c>
      <c r="B55" s="63" t="s">
        <v>1032</v>
      </c>
      <c r="C55" s="227">
        <v>8</v>
      </c>
      <c r="D55" s="228" t="s">
        <v>975</v>
      </c>
      <c r="E55" s="227">
        <v>1</v>
      </c>
      <c r="F55" s="227">
        <v>1</v>
      </c>
      <c r="G55" s="227">
        <v>11</v>
      </c>
      <c r="H55" s="227"/>
      <c r="I55" s="227">
        <v>10923</v>
      </c>
      <c r="J55" s="227"/>
      <c r="K55" s="227"/>
      <c r="L55" s="227"/>
      <c r="M55" s="229">
        <f t="shared" si="8"/>
        <v>10923</v>
      </c>
      <c r="N55" s="229">
        <f t="shared" si="1"/>
        <v>0</v>
      </c>
      <c r="O55" s="230">
        <f t="shared" si="2"/>
        <v>120.15300000000001</v>
      </c>
      <c r="P55" s="230" t="str">
        <f t="shared" si="3"/>
        <v>-</v>
      </c>
      <c r="Q55" s="230" t="str">
        <f t="shared" si="4"/>
        <v>-</v>
      </c>
      <c r="R55" s="230" t="str">
        <f t="shared" si="5"/>
        <v>-</v>
      </c>
      <c r="S55" s="230" t="str">
        <f t="shared" si="6"/>
        <v>-</v>
      </c>
      <c r="T55" s="230" t="str">
        <f t="shared" si="7"/>
        <v>-</v>
      </c>
    </row>
    <row r="56" spans="1:20" ht="28.5">
      <c r="A56" s="225"/>
      <c r="B56" s="231"/>
      <c r="C56" s="227">
        <v>8</v>
      </c>
      <c r="D56" s="228" t="s">
        <v>975</v>
      </c>
      <c r="E56" s="227">
        <v>1</v>
      </c>
      <c r="F56" s="227">
        <v>1</v>
      </c>
      <c r="G56" s="227">
        <v>55</v>
      </c>
      <c r="H56" s="227"/>
      <c r="I56" s="227">
        <v>2262</v>
      </c>
      <c r="J56" s="227"/>
      <c r="K56" s="227"/>
      <c r="L56" s="227"/>
      <c r="M56" s="229">
        <f t="shared" si="8"/>
        <v>2262</v>
      </c>
      <c r="N56" s="229">
        <f t="shared" si="1"/>
        <v>0</v>
      </c>
      <c r="O56" s="230">
        <f t="shared" si="2"/>
        <v>124.41</v>
      </c>
      <c r="P56" s="230" t="str">
        <f t="shared" si="3"/>
        <v>-</v>
      </c>
      <c r="Q56" s="230" t="str">
        <f t="shared" si="4"/>
        <v>-</v>
      </c>
      <c r="R56" s="230" t="str">
        <f t="shared" si="5"/>
        <v>-</v>
      </c>
      <c r="S56" s="230" t="str">
        <f t="shared" si="6"/>
        <v>-</v>
      </c>
      <c r="T56" s="230" t="str">
        <f t="shared" si="7"/>
        <v>-</v>
      </c>
    </row>
    <row r="57" spans="1:20" ht="15.75">
      <c r="A57" s="225"/>
      <c r="B57" s="347" t="s">
        <v>1155</v>
      </c>
      <c r="C57" s="227"/>
      <c r="D57" s="228"/>
      <c r="E57" s="227"/>
      <c r="F57" s="227"/>
      <c r="G57" s="227"/>
      <c r="H57" s="227"/>
      <c r="I57" s="227"/>
      <c r="J57" s="227"/>
      <c r="K57" s="227"/>
      <c r="L57" s="227"/>
      <c r="M57" s="229" t="str">
        <f t="shared" si="8"/>
        <v>-</v>
      </c>
      <c r="N57" s="229"/>
      <c r="O57" s="230" t="str">
        <f t="shared" si="2"/>
        <v>-</v>
      </c>
      <c r="P57" s="230" t="str">
        <f t="shared" si="3"/>
        <v>-</v>
      </c>
      <c r="Q57" s="230" t="str">
        <f t="shared" si="4"/>
        <v>-</v>
      </c>
      <c r="R57" s="230" t="str">
        <f t="shared" si="5"/>
        <v>-</v>
      </c>
      <c r="S57" s="230" t="str">
        <f t="shared" si="6"/>
        <v>-</v>
      </c>
      <c r="T57" s="230" t="str">
        <f t="shared" si="7"/>
        <v>-</v>
      </c>
    </row>
    <row r="58" spans="1:20" ht="29.25">
      <c r="A58" s="225">
        <v>6</v>
      </c>
      <c r="B58" s="63" t="s">
        <v>1033</v>
      </c>
      <c r="C58" s="227">
        <v>8</v>
      </c>
      <c r="D58" s="228" t="s">
        <v>975</v>
      </c>
      <c r="E58" s="227">
        <v>1</v>
      </c>
      <c r="F58" s="227">
        <v>1</v>
      </c>
      <c r="G58" s="227">
        <f>12/0.2</f>
        <v>60</v>
      </c>
      <c r="H58" s="227"/>
      <c r="I58" s="227">
        <v>12700</v>
      </c>
      <c r="J58" s="227"/>
      <c r="K58" s="227"/>
      <c r="L58" s="227"/>
      <c r="M58" s="229">
        <f t="shared" si="8"/>
        <v>12700</v>
      </c>
      <c r="N58" s="229">
        <f t="shared" si="1"/>
        <v>392</v>
      </c>
      <c r="O58" s="230">
        <f t="shared" si="2"/>
        <v>785.52</v>
      </c>
      <c r="P58" s="230" t="str">
        <f t="shared" si="3"/>
        <v>-</v>
      </c>
      <c r="Q58" s="230" t="str">
        <f t="shared" si="4"/>
        <v>-</v>
      </c>
      <c r="R58" s="230" t="str">
        <f t="shared" si="5"/>
        <v>-</v>
      </c>
      <c r="S58" s="230" t="str">
        <f t="shared" si="6"/>
        <v>-</v>
      </c>
      <c r="T58" s="230" t="str">
        <f t="shared" si="7"/>
        <v>-</v>
      </c>
    </row>
    <row r="59" spans="1:20" ht="28.5">
      <c r="A59" s="225"/>
      <c r="B59" s="231"/>
      <c r="C59" s="227">
        <v>8</v>
      </c>
      <c r="D59" s="228" t="s">
        <v>975</v>
      </c>
      <c r="E59" s="227">
        <v>1</v>
      </c>
      <c r="F59" s="227">
        <v>1</v>
      </c>
      <c r="G59" s="227">
        <v>64</v>
      </c>
      <c r="H59" s="227"/>
      <c r="I59" s="227">
        <v>11950</v>
      </c>
      <c r="J59" s="227"/>
      <c r="K59" s="227"/>
      <c r="L59" s="227"/>
      <c r="M59" s="229">
        <f t="shared" si="8"/>
        <v>11950</v>
      </c>
      <c r="N59" s="229">
        <f t="shared" si="1"/>
        <v>0</v>
      </c>
      <c r="O59" s="230">
        <f t="shared" si="2"/>
        <v>764.8</v>
      </c>
      <c r="P59" s="230" t="str">
        <f t="shared" si="3"/>
        <v>-</v>
      </c>
      <c r="Q59" s="230" t="str">
        <f t="shared" si="4"/>
        <v>-</v>
      </c>
      <c r="R59" s="230" t="str">
        <f t="shared" si="5"/>
        <v>-</v>
      </c>
      <c r="S59" s="230" t="str">
        <f t="shared" si="6"/>
        <v>-</v>
      </c>
      <c r="T59" s="230" t="str">
        <f t="shared" si="7"/>
        <v>-</v>
      </c>
    </row>
    <row r="60" spans="1:20" ht="15.75">
      <c r="A60" s="225"/>
      <c r="B60" s="347" t="s">
        <v>1091</v>
      </c>
      <c r="C60" s="227"/>
      <c r="D60" s="228"/>
      <c r="E60" s="227"/>
      <c r="F60" s="227"/>
      <c r="G60" s="227"/>
      <c r="H60" s="227"/>
      <c r="I60" s="227"/>
      <c r="J60" s="227"/>
      <c r="K60" s="227"/>
      <c r="L60" s="227"/>
      <c r="M60" s="229" t="str">
        <f t="shared" si="8"/>
        <v>-</v>
      </c>
      <c r="N60" s="229"/>
      <c r="O60" s="230" t="str">
        <f t="shared" si="2"/>
        <v>-</v>
      </c>
      <c r="P60" s="230" t="str">
        <f t="shared" si="3"/>
        <v>-</v>
      </c>
      <c r="Q60" s="230" t="str">
        <f t="shared" si="4"/>
        <v>-</v>
      </c>
      <c r="R60" s="230" t="str">
        <f t="shared" si="5"/>
        <v>-</v>
      </c>
      <c r="S60" s="230" t="str">
        <f t="shared" si="6"/>
        <v>-</v>
      </c>
      <c r="T60" s="230" t="str">
        <f t="shared" si="7"/>
        <v>-</v>
      </c>
    </row>
    <row r="61" spans="1:20" ht="29.25">
      <c r="A61" s="225">
        <v>7</v>
      </c>
      <c r="B61" s="63" t="s">
        <v>1034</v>
      </c>
      <c r="C61" s="227">
        <v>8</v>
      </c>
      <c r="D61" s="228" t="s">
        <v>975</v>
      </c>
      <c r="E61" s="227">
        <v>1</v>
      </c>
      <c r="F61" s="227">
        <v>1</v>
      </c>
      <c r="G61" s="227">
        <v>61</v>
      </c>
      <c r="H61" s="227"/>
      <c r="I61" s="227">
        <v>13400</v>
      </c>
      <c r="J61" s="227"/>
      <c r="K61" s="227"/>
      <c r="L61" s="227"/>
      <c r="M61" s="229">
        <f t="shared" si="8"/>
        <v>13400</v>
      </c>
      <c r="N61" s="229">
        <f t="shared" si="1"/>
        <v>392</v>
      </c>
      <c r="O61" s="230">
        <f t="shared" si="2"/>
        <v>841.31200000000001</v>
      </c>
      <c r="P61" s="230" t="str">
        <f t="shared" si="3"/>
        <v>-</v>
      </c>
      <c r="Q61" s="230" t="str">
        <f t="shared" si="4"/>
        <v>-</v>
      </c>
      <c r="R61" s="230" t="str">
        <f t="shared" si="5"/>
        <v>-</v>
      </c>
      <c r="S61" s="230" t="str">
        <f t="shared" si="6"/>
        <v>-</v>
      </c>
      <c r="T61" s="230" t="str">
        <f t="shared" si="7"/>
        <v>-</v>
      </c>
    </row>
    <row r="62" spans="1:20" ht="28.5">
      <c r="A62" s="225"/>
      <c r="B62" s="231"/>
      <c r="C62" s="227">
        <v>8</v>
      </c>
      <c r="D62" s="228" t="s">
        <v>975</v>
      </c>
      <c r="E62" s="227">
        <v>1</v>
      </c>
      <c r="F62" s="227">
        <v>1</v>
      </c>
      <c r="G62" s="227">
        <v>68</v>
      </c>
      <c r="H62" s="227"/>
      <c r="I62" s="227">
        <v>11950</v>
      </c>
      <c r="J62" s="227"/>
      <c r="K62" s="227"/>
      <c r="L62" s="227"/>
      <c r="M62" s="229">
        <f t="shared" si="8"/>
        <v>11950</v>
      </c>
      <c r="N62" s="229">
        <f t="shared" si="1"/>
        <v>0</v>
      </c>
      <c r="O62" s="230">
        <f t="shared" si="2"/>
        <v>812.6</v>
      </c>
      <c r="P62" s="230" t="str">
        <f t="shared" si="3"/>
        <v>-</v>
      </c>
      <c r="Q62" s="230" t="str">
        <f t="shared" si="4"/>
        <v>-</v>
      </c>
      <c r="R62" s="230" t="str">
        <f t="shared" si="5"/>
        <v>-</v>
      </c>
      <c r="S62" s="230" t="str">
        <f t="shared" si="6"/>
        <v>-</v>
      </c>
      <c r="T62" s="230" t="str">
        <f t="shared" si="7"/>
        <v>-</v>
      </c>
    </row>
    <row r="63" spans="1:20" ht="31.5">
      <c r="A63" s="262"/>
      <c r="B63" s="348" t="s">
        <v>1156</v>
      </c>
      <c r="C63" s="262"/>
      <c r="D63" s="221"/>
      <c r="E63" s="221"/>
      <c r="F63" s="221"/>
      <c r="G63" s="222"/>
      <c r="H63" s="262"/>
      <c r="I63" s="262"/>
      <c r="J63" s="262"/>
      <c r="K63" s="262"/>
      <c r="L63" s="262"/>
      <c r="M63" s="229" t="str">
        <f t="shared" si="8"/>
        <v>-</v>
      </c>
      <c r="N63" s="229"/>
      <c r="O63" s="230" t="str">
        <f t="shared" si="2"/>
        <v>-</v>
      </c>
      <c r="P63" s="230" t="str">
        <f t="shared" si="3"/>
        <v>-</v>
      </c>
      <c r="Q63" s="230" t="str">
        <f t="shared" si="4"/>
        <v>-</v>
      </c>
      <c r="R63" s="230" t="str">
        <f t="shared" si="5"/>
        <v>-</v>
      </c>
      <c r="S63" s="230" t="str">
        <f t="shared" si="6"/>
        <v>-</v>
      </c>
      <c r="T63" s="230" t="str">
        <f t="shared" si="7"/>
        <v>-</v>
      </c>
    </row>
    <row r="64" spans="1:20" ht="28.5">
      <c r="A64" s="225">
        <v>8</v>
      </c>
      <c r="B64" s="63" t="s">
        <v>1028</v>
      </c>
      <c r="C64" s="227">
        <v>8</v>
      </c>
      <c r="D64" s="228" t="s">
        <v>975</v>
      </c>
      <c r="E64" s="227">
        <v>1</v>
      </c>
      <c r="F64" s="227">
        <v>1</v>
      </c>
      <c r="G64" s="227">
        <v>18</v>
      </c>
      <c r="H64" s="227"/>
      <c r="I64" s="227">
        <v>4775</v>
      </c>
      <c r="J64" s="227"/>
      <c r="K64" s="227"/>
      <c r="L64" s="227"/>
      <c r="M64" s="229">
        <f t="shared" si="8"/>
        <v>4775</v>
      </c>
      <c r="N64" s="229">
        <f t="shared" si="1"/>
        <v>0</v>
      </c>
      <c r="O64" s="230">
        <f t="shared" si="2"/>
        <v>85.95</v>
      </c>
      <c r="P64" s="230" t="str">
        <f t="shared" si="3"/>
        <v>-</v>
      </c>
      <c r="Q64" s="230" t="str">
        <f t="shared" si="4"/>
        <v>-</v>
      </c>
      <c r="R64" s="230" t="str">
        <f t="shared" si="5"/>
        <v>-</v>
      </c>
      <c r="S64" s="230" t="str">
        <f t="shared" si="6"/>
        <v>-</v>
      </c>
      <c r="T64" s="230" t="str">
        <f t="shared" si="7"/>
        <v>-</v>
      </c>
    </row>
    <row r="65" spans="1:20" ht="28.5">
      <c r="A65" s="225"/>
      <c r="B65" s="231"/>
      <c r="C65" s="227">
        <v>8</v>
      </c>
      <c r="D65" s="228" t="s">
        <v>975</v>
      </c>
      <c r="E65" s="227">
        <v>1</v>
      </c>
      <c r="F65" s="227">
        <v>1</v>
      </c>
      <c r="G65" s="227">
        <v>24</v>
      </c>
      <c r="H65" s="227"/>
      <c r="I65" s="227">
        <v>3400</v>
      </c>
      <c r="J65" s="227"/>
      <c r="K65" s="227"/>
      <c r="L65" s="227"/>
      <c r="M65" s="229">
        <f t="shared" si="8"/>
        <v>3400</v>
      </c>
      <c r="N65" s="229">
        <f t="shared" si="1"/>
        <v>0</v>
      </c>
      <c r="O65" s="230">
        <f t="shared" si="2"/>
        <v>81.599999999999994</v>
      </c>
      <c r="P65" s="230" t="str">
        <f t="shared" si="3"/>
        <v>-</v>
      </c>
      <c r="Q65" s="230" t="str">
        <f t="shared" si="4"/>
        <v>-</v>
      </c>
      <c r="R65" s="230" t="str">
        <f t="shared" si="5"/>
        <v>-</v>
      </c>
      <c r="S65" s="230" t="str">
        <f t="shared" si="6"/>
        <v>-</v>
      </c>
      <c r="T65" s="230" t="str">
        <f t="shared" si="7"/>
        <v>-</v>
      </c>
    </row>
    <row r="66" spans="1:20" ht="28.5">
      <c r="A66" s="225">
        <v>9</v>
      </c>
      <c r="B66" s="63" t="s">
        <v>1029</v>
      </c>
      <c r="C66" s="227">
        <v>8</v>
      </c>
      <c r="D66" s="228" t="s">
        <v>975</v>
      </c>
      <c r="E66" s="227">
        <v>1</v>
      </c>
      <c r="F66" s="227">
        <v>1</v>
      </c>
      <c r="G66" s="227">
        <v>19</v>
      </c>
      <c r="H66" s="227"/>
      <c r="I66" s="227">
        <v>7325</v>
      </c>
      <c r="J66" s="227"/>
      <c r="K66" s="227"/>
      <c r="L66" s="227"/>
      <c r="M66" s="229">
        <f t="shared" si="8"/>
        <v>7325</v>
      </c>
      <c r="N66" s="229">
        <f t="shared" si="1"/>
        <v>0</v>
      </c>
      <c r="O66" s="230">
        <f t="shared" si="2"/>
        <v>139.17500000000001</v>
      </c>
      <c r="P66" s="230" t="str">
        <f t="shared" si="3"/>
        <v>-</v>
      </c>
      <c r="Q66" s="230" t="str">
        <f t="shared" si="4"/>
        <v>-</v>
      </c>
      <c r="R66" s="230" t="str">
        <f t="shared" si="5"/>
        <v>-</v>
      </c>
      <c r="S66" s="230" t="str">
        <f t="shared" si="6"/>
        <v>-</v>
      </c>
      <c r="T66" s="230" t="str">
        <f t="shared" si="7"/>
        <v>-</v>
      </c>
    </row>
    <row r="67" spans="1:20" ht="28.5">
      <c r="A67" s="225"/>
      <c r="B67" s="231"/>
      <c r="C67" s="227">
        <v>8</v>
      </c>
      <c r="D67" s="228" t="s">
        <v>975</v>
      </c>
      <c r="E67" s="227">
        <v>1</v>
      </c>
      <c r="F67" s="227">
        <v>1</v>
      </c>
      <c r="G67" s="227">
        <v>37</v>
      </c>
      <c r="H67" s="227"/>
      <c r="I67" s="227">
        <v>3775</v>
      </c>
      <c r="J67" s="227"/>
      <c r="K67" s="227"/>
      <c r="L67" s="227"/>
      <c r="M67" s="229">
        <f t="shared" si="8"/>
        <v>3775</v>
      </c>
      <c r="N67" s="229">
        <f t="shared" si="1"/>
        <v>0</v>
      </c>
      <c r="O67" s="230">
        <f t="shared" si="2"/>
        <v>139.67500000000001</v>
      </c>
      <c r="P67" s="230" t="str">
        <f t="shared" si="3"/>
        <v>-</v>
      </c>
      <c r="Q67" s="230" t="str">
        <f t="shared" si="4"/>
        <v>-</v>
      </c>
      <c r="R67" s="230" t="str">
        <f t="shared" si="5"/>
        <v>-</v>
      </c>
      <c r="S67" s="230" t="str">
        <f t="shared" si="6"/>
        <v>-</v>
      </c>
      <c r="T67" s="230" t="str">
        <f t="shared" si="7"/>
        <v>-</v>
      </c>
    </row>
    <row r="68" spans="1:20" ht="29.25">
      <c r="A68" s="225">
        <v>10</v>
      </c>
      <c r="B68" s="63" t="s">
        <v>1030</v>
      </c>
      <c r="C68" s="227">
        <v>8</v>
      </c>
      <c r="D68" s="228" t="s">
        <v>975</v>
      </c>
      <c r="E68" s="227">
        <v>1</v>
      </c>
      <c r="F68" s="227">
        <v>1</v>
      </c>
      <c r="G68" s="227">
        <f>12/0.2</f>
        <v>60</v>
      </c>
      <c r="H68" s="227"/>
      <c r="I68" s="227">
        <v>22500</v>
      </c>
      <c r="J68" s="227"/>
      <c r="K68" s="227"/>
      <c r="L68" s="227"/>
      <c r="M68" s="229">
        <f t="shared" si="8"/>
        <v>22500</v>
      </c>
      <c r="N68" s="229">
        <f t="shared" si="1"/>
        <v>392</v>
      </c>
      <c r="O68" s="230">
        <f t="shared" si="2"/>
        <v>1373.52</v>
      </c>
      <c r="P68" s="230" t="str">
        <f t="shared" si="3"/>
        <v>-</v>
      </c>
      <c r="Q68" s="230" t="str">
        <f t="shared" si="4"/>
        <v>-</v>
      </c>
      <c r="R68" s="230" t="str">
        <f t="shared" si="5"/>
        <v>-</v>
      </c>
      <c r="S68" s="230" t="str">
        <f t="shared" si="6"/>
        <v>-</v>
      </c>
      <c r="T68" s="230" t="str">
        <f t="shared" si="7"/>
        <v>-</v>
      </c>
    </row>
    <row r="69" spans="1:20" ht="28.5">
      <c r="A69" s="225"/>
      <c r="B69" s="231"/>
      <c r="C69" s="227">
        <v>8</v>
      </c>
      <c r="D69" s="228" t="s">
        <v>975</v>
      </c>
      <c r="E69" s="227">
        <v>1</v>
      </c>
      <c r="F69" s="227">
        <v>1</v>
      </c>
      <c r="G69" s="227">
        <v>113</v>
      </c>
      <c r="H69" s="227"/>
      <c r="I69" s="227">
        <v>11950</v>
      </c>
      <c r="J69" s="227"/>
      <c r="K69" s="227"/>
      <c r="L69" s="227"/>
      <c r="M69" s="229">
        <f t="shared" si="8"/>
        <v>11950</v>
      </c>
      <c r="N69" s="229">
        <f t="shared" si="1"/>
        <v>0</v>
      </c>
      <c r="O69" s="230">
        <f t="shared" si="2"/>
        <v>1350.35</v>
      </c>
      <c r="P69" s="230" t="str">
        <f t="shared" si="3"/>
        <v>-</v>
      </c>
      <c r="Q69" s="230" t="str">
        <f t="shared" si="4"/>
        <v>-</v>
      </c>
      <c r="R69" s="230" t="str">
        <f t="shared" si="5"/>
        <v>-</v>
      </c>
      <c r="S69" s="230" t="str">
        <f t="shared" si="6"/>
        <v>-</v>
      </c>
      <c r="T69" s="230" t="str">
        <f t="shared" si="7"/>
        <v>-</v>
      </c>
    </row>
    <row r="70" spans="1:20" ht="29.25">
      <c r="A70" s="225">
        <v>11</v>
      </c>
      <c r="B70" s="63" t="s">
        <v>1031</v>
      </c>
      <c r="C70" s="227">
        <v>8</v>
      </c>
      <c r="D70" s="228" t="s">
        <v>975</v>
      </c>
      <c r="E70" s="227">
        <v>1</v>
      </c>
      <c r="F70" s="227">
        <v>1</v>
      </c>
      <c r="G70" s="227">
        <v>52</v>
      </c>
      <c r="H70" s="227"/>
      <c r="I70" s="227">
        <v>14123</v>
      </c>
      <c r="J70" s="227"/>
      <c r="K70" s="227"/>
      <c r="L70" s="227"/>
      <c r="M70" s="229">
        <f t="shared" si="8"/>
        <v>14123</v>
      </c>
      <c r="N70" s="229">
        <f t="shared" si="1"/>
        <v>392</v>
      </c>
      <c r="O70" s="230">
        <f t="shared" si="2"/>
        <v>754.78</v>
      </c>
      <c r="P70" s="230" t="str">
        <f t="shared" si="3"/>
        <v>-</v>
      </c>
      <c r="Q70" s="230" t="str">
        <f t="shared" si="4"/>
        <v>-</v>
      </c>
      <c r="R70" s="230" t="str">
        <f t="shared" si="5"/>
        <v>-</v>
      </c>
      <c r="S70" s="230" t="str">
        <f t="shared" si="6"/>
        <v>-</v>
      </c>
      <c r="T70" s="230" t="str">
        <f t="shared" si="7"/>
        <v>-</v>
      </c>
    </row>
    <row r="71" spans="1:20" ht="28.5">
      <c r="A71" s="225"/>
      <c r="B71" s="231"/>
      <c r="C71" s="227">
        <v>8</v>
      </c>
      <c r="D71" s="228" t="s">
        <v>975</v>
      </c>
      <c r="E71" s="227">
        <v>1</v>
      </c>
      <c r="F71" s="227">
        <v>1</v>
      </c>
      <c r="G71" s="227">
        <v>71</v>
      </c>
      <c r="H71" s="227"/>
      <c r="I71" s="227">
        <v>10400</v>
      </c>
      <c r="J71" s="227"/>
      <c r="K71" s="227"/>
      <c r="L71" s="227"/>
      <c r="M71" s="229">
        <f t="shared" si="8"/>
        <v>10400</v>
      </c>
      <c r="N71" s="229">
        <f t="shared" ref="N71:N94" si="9">IF(M71&lt;12001,C71*49*0,IF(M71&lt;24001,C71*49*1,IF(M71&lt;36001,C71*49*2,IF(M71&lt;48001,C71*49*3,IF(M71&lt;60001,C71*49*4,IF(M71&lt;72001,(C71*49*5),IF(M71&lt;84001,(C71*49*6),IF(M71&lt;96001,(C71*49*7),IF(M71&lt;108001,(C71*49*8),IF(M71&lt;120001,(C71*49*9),IF(M71&lt;132001,(C71*49*10),IF(M71&lt;144001,(C71*49*11)))))))))))))</f>
        <v>0</v>
      </c>
      <c r="O71" s="230">
        <f t="shared" ref="O71:O107" si="10">IF(C71=8,((M71+N71)*E71*F71*G71)/1000,"-")</f>
        <v>738.4</v>
      </c>
      <c r="P71" s="230" t="str">
        <f t="shared" ref="P71:P107" si="11">IF(C71=10,((M71+N71)*E71*F71*G71)/1000,"-")</f>
        <v>-</v>
      </c>
      <c r="Q71" s="230" t="str">
        <f t="shared" ref="Q71:Q107" si="12">IF(C71=12,((M71+N71)*E71*F71*G71)/1000,"-")</f>
        <v>-</v>
      </c>
      <c r="R71" s="230" t="str">
        <f t="shared" ref="R71:R107" si="13">IF(C71=16,((M71+N71)*E71*F71*G71)/1000,"-")</f>
        <v>-</v>
      </c>
      <c r="S71" s="230" t="str">
        <f t="shared" ref="S71:S107" si="14">IF(C71=20,((M71+N71)*E71*F71*G71)/1000,"-")</f>
        <v>-</v>
      </c>
      <c r="T71" s="230" t="str">
        <f t="shared" ref="T71:T107" si="15">IF(C71=25,((M71+N71)*E71*F71*G71)/1000,"-")</f>
        <v>-</v>
      </c>
    </row>
    <row r="72" spans="1:20" ht="29.25">
      <c r="A72" s="225">
        <v>12</v>
      </c>
      <c r="B72" s="63" t="s">
        <v>1032</v>
      </c>
      <c r="C72" s="227">
        <v>8</v>
      </c>
      <c r="D72" s="228" t="s">
        <v>975</v>
      </c>
      <c r="E72" s="227">
        <v>1</v>
      </c>
      <c r="F72" s="227">
        <v>1</v>
      </c>
      <c r="G72" s="227">
        <v>11</v>
      </c>
      <c r="H72" s="227"/>
      <c r="I72" s="227">
        <v>10923</v>
      </c>
      <c r="J72" s="227"/>
      <c r="K72" s="227"/>
      <c r="L72" s="227"/>
      <c r="M72" s="229">
        <f t="shared" si="8"/>
        <v>10923</v>
      </c>
      <c r="N72" s="229">
        <f t="shared" si="9"/>
        <v>0</v>
      </c>
      <c r="O72" s="230">
        <f t="shared" si="10"/>
        <v>120.15300000000001</v>
      </c>
      <c r="P72" s="230" t="str">
        <f t="shared" si="11"/>
        <v>-</v>
      </c>
      <c r="Q72" s="230" t="str">
        <f t="shared" si="12"/>
        <v>-</v>
      </c>
      <c r="R72" s="230" t="str">
        <f t="shared" si="13"/>
        <v>-</v>
      </c>
      <c r="S72" s="230" t="str">
        <f t="shared" si="14"/>
        <v>-</v>
      </c>
      <c r="T72" s="230" t="str">
        <f t="shared" si="15"/>
        <v>-</v>
      </c>
    </row>
    <row r="73" spans="1:20" ht="28.5">
      <c r="A73" s="225"/>
      <c r="B73" s="231"/>
      <c r="C73" s="227">
        <v>8</v>
      </c>
      <c r="D73" s="228" t="s">
        <v>975</v>
      </c>
      <c r="E73" s="227">
        <v>1</v>
      </c>
      <c r="F73" s="227">
        <v>1</v>
      </c>
      <c r="G73" s="227">
        <v>55</v>
      </c>
      <c r="H73" s="227"/>
      <c r="I73" s="227">
        <v>2262</v>
      </c>
      <c r="J73" s="227"/>
      <c r="K73" s="227"/>
      <c r="L73" s="227"/>
      <c r="M73" s="229">
        <f t="shared" si="8"/>
        <v>2262</v>
      </c>
      <c r="N73" s="229">
        <f t="shared" si="9"/>
        <v>0</v>
      </c>
      <c r="O73" s="230">
        <f t="shared" si="10"/>
        <v>124.41</v>
      </c>
      <c r="P73" s="230" t="str">
        <f t="shared" si="11"/>
        <v>-</v>
      </c>
      <c r="Q73" s="230" t="str">
        <f t="shared" si="12"/>
        <v>-</v>
      </c>
      <c r="R73" s="230" t="str">
        <f t="shared" si="13"/>
        <v>-</v>
      </c>
      <c r="S73" s="230" t="str">
        <f t="shared" si="14"/>
        <v>-</v>
      </c>
      <c r="T73" s="230" t="str">
        <f t="shared" si="15"/>
        <v>-</v>
      </c>
    </row>
    <row r="74" spans="1:20" ht="29.25">
      <c r="A74" s="225">
        <v>13</v>
      </c>
      <c r="B74" s="63" t="s">
        <v>1159</v>
      </c>
      <c r="C74" s="227">
        <v>8</v>
      </c>
      <c r="D74" s="228" t="s">
        <v>975</v>
      </c>
      <c r="E74" s="227">
        <v>1</v>
      </c>
      <c r="F74" s="227">
        <v>1</v>
      </c>
      <c r="G74" s="227">
        <v>61</v>
      </c>
      <c r="H74" s="227"/>
      <c r="I74" s="349">
        <v>18500</v>
      </c>
      <c r="J74" s="227"/>
      <c r="K74" s="227"/>
      <c r="L74" s="227"/>
      <c r="M74" s="229">
        <f t="shared" ref="M74:M90" si="16">IF(D74="L Shape",(H74+I74)-(C74*2*1),IF(D74="U Shape",(H74+I74+J74)-(C74*2*2),IF(D74="Rectangle",(H74+I74+J74+K74)+(C74*10*2)-(C74*2*5),IF(D74="Straight",I74-(C138),IF(D74="Chair",(H74+I74+J74+K74+L74)-(C74*2*4),IF(D74="U2 Shape",(H74+I74+J74+K74+L74)-(C74*2*4),IF(D74="U3 Shape",(H74+I74+J74+K74)-(C74*2*3),IF(D74="Z Shape",(H74+I74+J74)-(C74*2*2),IF(D74="Triangle",(H74+I74+J74)+(C74*10*2)-(C74*2*4),IF(D74="Trapezoid2",(H74+H74+I74+J74+J74+K74)+(C74*10*2)-(C74*2*7),IF(D74="Trapezoid",(H74+I74+J74+K74)+(C74*10*2)-(C74*2*5),IF(D74="Link",I74+(C74*10*2),IF(D74="U5 Shape",(H74+I74+J74+K74)-(C74*2*3),IF(D74="DU2 Shape",(H74+I74+J74+K74)-(C74*2*4),IF(D74="SU Shape",(H74+I74+J74)-(C74*2*2),"-")))))))))))))))</f>
        <v>18500</v>
      </c>
      <c r="N74" s="229">
        <f t="shared" si="9"/>
        <v>392</v>
      </c>
      <c r="O74" s="230">
        <f t="shared" si="10"/>
        <v>1152.412</v>
      </c>
      <c r="P74" s="230" t="str">
        <f t="shared" si="11"/>
        <v>-</v>
      </c>
      <c r="Q74" s="230" t="str">
        <f t="shared" si="12"/>
        <v>-</v>
      </c>
      <c r="R74" s="230" t="str">
        <f t="shared" si="13"/>
        <v>-</v>
      </c>
      <c r="S74" s="230" t="str">
        <f t="shared" si="14"/>
        <v>-</v>
      </c>
      <c r="T74" s="230" t="str">
        <f t="shared" si="15"/>
        <v>-</v>
      </c>
    </row>
    <row r="75" spans="1:20" ht="28.5">
      <c r="A75" s="225"/>
      <c r="B75" s="231"/>
      <c r="C75" s="227">
        <v>8</v>
      </c>
      <c r="D75" s="228" t="s">
        <v>975</v>
      </c>
      <c r="E75" s="227">
        <v>1</v>
      </c>
      <c r="F75" s="227">
        <v>1</v>
      </c>
      <c r="G75" s="227">
        <v>93</v>
      </c>
      <c r="H75" s="227"/>
      <c r="I75" s="227">
        <v>12100</v>
      </c>
      <c r="J75" s="227"/>
      <c r="K75" s="227"/>
      <c r="L75" s="227"/>
      <c r="M75" s="229">
        <f t="shared" si="16"/>
        <v>12100</v>
      </c>
      <c r="N75" s="229">
        <f t="shared" si="9"/>
        <v>392</v>
      </c>
      <c r="O75" s="230">
        <f t="shared" si="10"/>
        <v>1161.7560000000001</v>
      </c>
      <c r="P75" s="230" t="str">
        <f t="shared" si="11"/>
        <v>-</v>
      </c>
      <c r="Q75" s="230" t="str">
        <f t="shared" si="12"/>
        <v>-</v>
      </c>
      <c r="R75" s="230" t="str">
        <f t="shared" si="13"/>
        <v>-</v>
      </c>
      <c r="S75" s="230" t="str">
        <f t="shared" si="14"/>
        <v>-</v>
      </c>
      <c r="T75" s="230" t="str">
        <f t="shared" si="15"/>
        <v>-</v>
      </c>
    </row>
    <row r="76" spans="1:20" ht="29.25">
      <c r="A76" s="225">
        <v>14</v>
      </c>
      <c r="B76" s="63" t="s">
        <v>1164</v>
      </c>
      <c r="C76" s="227">
        <v>8</v>
      </c>
      <c r="D76" s="228" t="s">
        <v>975</v>
      </c>
      <c r="E76" s="227">
        <v>1</v>
      </c>
      <c r="F76" s="227">
        <v>1</v>
      </c>
      <c r="G76" s="227">
        <v>46</v>
      </c>
      <c r="H76" s="227"/>
      <c r="I76" s="349">
        <v>6500</v>
      </c>
      <c r="J76" s="227"/>
      <c r="K76" s="227"/>
      <c r="L76" s="227"/>
      <c r="M76" s="229">
        <f t="shared" si="16"/>
        <v>6500</v>
      </c>
      <c r="N76" s="229">
        <f t="shared" si="9"/>
        <v>0</v>
      </c>
      <c r="O76" s="230">
        <f t="shared" si="10"/>
        <v>299</v>
      </c>
      <c r="P76" s="230" t="str">
        <f t="shared" si="11"/>
        <v>-</v>
      </c>
      <c r="Q76" s="230" t="str">
        <f t="shared" si="12"/>
        <v>-</v>
      </c>
      <c r="R76" s="230" t="str">
        <f t="shared" si="13"/>
        <v>-</v>
      </c>
      <c r="S76" s="230" t="str">
        <f t="shared" si="14"/>
        <v>-</v>
      </c>
      <c r="T76" s="230" t="str">
        <f t="shared" si="15"/>
        <v>-</v>
      </c>
    </row>
    <row r="77" spans="1:20" ht="28.5">
      <c r="A77" s="225"/>
      <c r="B77" s="231"/>
      <c r="C77" s="227">
        <v>8</v>
      </c>
      <c r="D77" s="228" t="s">
        <v>975</v>
      </c>
      <c r="E77" s="227">
        <v>1</v>
      </c>
      <c r="F77" s="227">
        <v>1</v>
      </c>
      <c r="G77" s="227">
        <v>33</v>
      </c>
      <c r="H77" s="227"/>
      <c r="I77" s="227">
        <v>9150</v>
      </c>
      <c r="J77" s="227"/>
      <c r="K77" s="227"/>
      <c r="L77" s="227"/>
      <c r="M77" s="229">
        <f t="shared" si="16"/>
        <v>9150</v>
      </c>
      <c r="N77" s="229">
        <f t="shared" si="9"/>
        <v>0</v>
      </c>
      <c r="O77" s="230">
        <f t="shared" si="10"/>
        <v>301.95</v>
      </c>
      <c r="P77" s="230" t="str">
        <f t="shared" si="11"/>
        <v>-</v>
      </c>
      <c r="Q77" s="230" t="str">
        <f t="shared" si="12"/>
        <v>-</v>
      </c>
      <c r="R77" s="230" t="str">
        <f t="shared" si="13"/>
        <v>-</v>
      </c>
      <c r="S77" s="230" t="str">
        <f t="shared" si="14"/>
        <v>-</v>
      </c>
      <c r="T77" s="230" t="str">
        <f t="shared" si="15"/>
        <v>-</v>
      </c>
    </row>
    <row r="78" spans="1:20" ht="29.25">
      <c r="A78" s="225">
        <v>15</v>
      </c>
      <c r="B78" s="63" t="s">
        <v>1163</v>
      </c>
      <c r="C78" s="227">
        <v>8</v>
      </c>
      <c r="D78" s="228" t="s">
        <v>975</v>
      </c>
      <c r="E78" s="227">
        <v>1</v>
      </c>
      <c r="F78" s="227">
        <v>1</v>
      </c>
      <c r="G78" s="227">
        <v>61</v>
      </c>
      <c r="H78" s="227"/>
      <c r="I78" s="349">
        <v>12900</v>
      </c>
      <c r="J78" s="227"/>
      <c r="K78" s="227"/>
      <c r="L78" s="227"/>
      <c r="M78" s="229">
        <f t="shared" si="16"/>
        <v>12900</v>
      </c>
      <c r="N78" s="229">
        <f t="shared" si="9"/>
        <v>392</v>
      </c>
      <c r="O78" s="230">
        <f t="shared" si="10"/>
        <v>810.81200000000001</v>
      </c>
      <c r="P78" s="230" t="str">
        <f t="shared" si="11"/>
        <v>-</v>
      </c>
      <c r="Q78" s="230" t="str">
        <f t="shared" si="12"/>
        <v>-</v>
      </c>
      <c r="R78" s="230" t="str">
        <f t="shared" si="13"/>
        <v>-</v>
      </c>
      <c r="S78" s="230" t="str">
        <f t="shared" si="14"/>
        <v>-</v>
      </c>
      <c r="T78" s="230" t="str">
        <f t="shared" si="15"/>
        <v>-</v>
      </c>
    </row>
    <row r="79" spans="1:20" ht="28.5">
      <c r="A79" s="225"/>
      <c r="B79" s="231"/>
      <c r="C79" s="227">
        <v>8</v>
      </c>
      <c r="D79" s="228" t="s">
        <v>975</v>
      </c>
      <c r="E79" s="227">
        <v>1</v>
      </c>
      <c r="F79" s="227">
        <v>1</v>
      </c>
      <c r="G79" s="227">
        <v>65</v>
      </c>
      <c r="H79" s="227"/>
      <c r="I79" s="227">
        <v>12100</v>
      </c>
      <c r="J79" s="227"/>
      <c r="K79" s="227"/>
      <c r="L79" s="227"/>
      <c r="M79" s="229">
        <f t="shared" si="16"/>
        <v>12100</v>
      </c>
      <c r="N79" s="229">
        <f t="shared" si="9"/>
        <v>392</v>
      </c>
      <c r="O79" s="230">
        <f t="shared" si="10"/>
        <v>811.98</v>
      </c>
      <c r="P79" s="230" t="str">
        <f t="shared" si="11"/>
        <v>-</v>
      </c>
      <c r="Q79" s="230" t="str">
        <f t="shared" si="12"/>
        <v>-</v>
      </c>
      <c r="R79" s="230" t="str">
        <f t="shared" si="13"/>
        <v>-</v>
      </c>
      <c r="S79" s="230" t="str">
        <f t="shared" si="14"/>
        <v>-</v>
      </c>
      <c r="T79" s="230" t="str">
        <f t="shared" si="15"/>
        <v>-</v>
      </c>
    </row>
    <row r="80" spans="1:20" ht="36">
      <c r="A80" s="262"/>
      <c r="B80" s="350" t="s">
        <v>1047</v>
      </c>
      <c r="C80" s="262"/>
      <c r="D80" s="221"/>
      <c r="E80" s="221"/>
      <c r="F80" s="221"/>
      <c r="G80" s="222"/>
      <c r="H80" s="262"/>
      <c r="I80" s="262"/>
      <c r="J80" s="262"/>
      <c r="K80" s="262"/>
      <c r="L80" s="262"/>
      <c r="M80" s="229" t="str">
        <f t="shared" si="16"/>
        <v>-</v>
      </c>
      <c r="N80" s="229"/>
      <c r="O80" s="230" t="str">
        <f t="shared" si="10"/>
        <v>-</v>
      </c>
      <c r="P80" s="230" t="str">
        <f t="shared" si="11"/>
        <v>-</v>
      </c>
      <c r="Q80" s="230" t="str">
        <f t="shared" si="12"/>
        <v>-</v>
      </c>
      <c r="R80" s="230" t="str">
        <f t="shared" si="13"/>
        <v>-</v>
      </c>
      <c r="S80" s="230" t="str">
        <f t="shared" si="14"/>
        <v>-</v>
      </c>
      <c r="T80" s="230" t="str">
        <f t="shared" si="15"/>
        <v>-</v>
      </c>
    </row>
    <row r="81" spans="1:20" ht="15.75">
      <c r="A81" s="262"/>
      <c r="B81" s="348" t="s">
        <v>1158</v>
      </c>
      <c r="C81" s="262"/>
      <c r="D81" s="221"/>
      <c r="E81" s="221"/>
      <c r="F81" s="221"/>
      <c r="G81" s="222"/>
      <c r="H81" s="262"/>
      <c r="I81" s="262"/>
      <c r="J81" s="262"/>
      <c r="K81" s="262"/>
      <c r="L81" s="262"/>
      <c r="M81" s="229" t="str">
        <f t="shared" si="16"/>
        <v>-</v>
      </c>
      <c r="N81" s="229"/>
      <c r="O81" s="230" t="str">
        <f t="shared" si="10"/>
        <v>-</v>
      </c>
      <c r="P81" s="230" t="str">
        <f t="shared" si="11"/>
        <v>-</v>
      </c>
      <c r="Q81" s="230" t="str">
        <f t="shared" si="12"/>
        <v>-</v>
      </c>
      <c r="R81" s="230" t="str">
        <f t="shared" si="13"/>
        <v>-</v>
      </c>
      <c r="S81" s="230" t="str">
        <f t="shared" si="14"/>
        <v>-</v>
      </c>
      <c r="T81" s="230" t="str">
        <f t="shared" si="15"/>
        <v>-</v>
      </c>
    </row>
    <row r="82" spans="1:20" ht="29.25">
      <c r="A82" s="225">
        <v>1</v>
      </c>
      <c r="B82" s="63" t="s">
        <v>1165</v>
      </c>
      <c r="C82" s="227">
        <v>12</v>
      </c>
      <c r="D82" s="228" t="s">
        <v>975</v>
      </c>
      <c r="E82" s="227">
        <v>2</v>
      </c>
      <c r="F82" s="227">
        <v>2</v>
      </c>
      <c r="G82" s="227">
        <v>48</v>
      </c>
      <c r="H82" s="227"/>
      <c r="I82" s="227">
        <v>10923</v>
      </c>
      <c r="J82" s="227"/>
      <c r="K82" s="227"/>
      <c r="L82" s="227"/>
      <c r="M82" s="229">
        <f t="shared" si="16"/>
        <v>10923</v>
      </c>
      <c r="N82" s="229">
        <f t="shared" si="9"/>
        <v>0</v>
      </c>
      <c r="O82" s="230" t="str">
        <f t="shared" si="10"/>
        <v>-</v>
      </c>
      <c r="P82" s="230" t="str">
        <f t="shared" si="11"/>
        <v>-</v>
      </c>
      <c r="Q82" s="230">
        <f t="shared" si="12"/>
        <v>2097.2159999999999</v>
      </c>
      <c r="R82" s="230" t="str">
        <f t="shared" si="13"/>
        <v>-</v>
      </c>
      <c r="S82" s="230" t="str">
        <f t="shared" si="14"/>
        <v>-</v>
      </c>
      <c r="T82" s="230" t="str">
        <f t="shared" si="15"/>
        <v>-</v>
      </c>
    </row>
    <row r="83" spans="1:20" ht="28.5">
      <c r="A83" s="225"/>
      <c r="B83" s="231"/>
      <c r="C83" s="227">
        <v>12</v>
      </c>
      <c r="D83" s="228" t="s">
        <v>975</v>
      </c>
      <c r="E83" s="227">
        <v>2</v>
      </c>
      <c r="F83" s="227">
        <v>2</v>
      </c>
      <c r="G83" s="227">
        <v>55</v>
      </c>
      <c r="H83" s="227"/>
      <c r="I83" s="227">
        <v>9512</v>
      </c>
      <c r="J83" s="227"/>
      <c r="K83" s="227"/>
      <c r="L83" s="227"/>
      <c r="M83" s="229">
        <f t="shared" si="16"/>
        <v>9512</v>
      </c>
      <c r="N83" s="229">
        <f t="shared" si="9"/>
        <v>0</v>
      </c>
      <c r="O83" s="230" t="str">
        <f t="shared" si="10"/>
        <v>-</v>
      </c>
      <c r="P83" s="230" t="str">
        <f t="shared" si="11"/>
        <v>-</v>
      </c>
      <c r="Q83" s="230">
        <f t="shared" si="12"/>
        <v>2092.64</v>
      </c>
      <c r="R83" s="230" t="str">
        <f t="shared" si="13"/>
        <v>-</v>
      </c>
      <c r="S83" s="230" t="str">
        <f t="shared" si="14"/>
        <v>-</v>
      </c>
      <c r="T83" s="230" t="str">
        <f t="shared" si="15"/>
        <v>-</v>
      </c>
    </row>
    <row r="84" spans="1:20" ht="29.25">
      <c r="A84" s="225">
        <v>2</v>
      </c>
      <c r="B84" s="63" t="s">
        <v>1166</v>
      </c>
      <c r="C84" s="227">
        <v>12</v>
      </c>
      <c r="D84" s="228" t="s">
        <v>975</v>
      </c>
      <c r="E84" s="227">
        <v>2</v>
      </c>
      <c r="F84" s="227">
        <v>2</v>
      </c>
      <c r="G84" s="227">
        <v>24</v>
      </c>
      <c r="H84" s="227"/>
      <c r="I84" s="227">
        <v>3825</v>
      </c>
      <c r="J84" s="227"/>
      <c r="K84" s="227"/>
      <c r="L84" s="227"/>
      <c r="M84" s="229">
        <f t="shared" si="16"/>
        <v>3825</v>
      </c>
      <c r="N84" s="229">
        <f t="shared" si="9"/>
        <v>0</v>
      </c>
      <c r="O84" s="230" t="str">
        <f t="shared" si="10"/>
        <v>-</v>
      </c>
      <c r="P84" s="230" t="str">
        <f t="shared" si="11"/>
        <v>-</v>
      </c>
      <c r="Q84" s="230">
        <f t="shared" si="12"/>
        <v>367.2</v>
      </c>
      <c r="R84" s="230" t="str">
        <f t="shared" si="13"/>
        <v>-</v>
      </c>
      <c r="S84" s="230" t="str">
        <f t="shared" si="14"/>
        <v>-</v>
      </c>
      <c r="T84" s="230" t="str">
        <f t="shared" si="15"/>
        <v>-</v>
      </c>
    </row>
    <row r="85" spans="1:20" ht="28.5">
      <c r="A85" s="225"/>
      <c r="B85" s="231"/>
      <c r="C85" s="227">
        <v>12</v>
      </c>
      <c r="D85" s="228" t="s">
        <v>975</v>
      </c>
      <c r="E85" s="227">
        <v>2</v>
      </c>
      <c r="F85" s="227">
        <v>2</v>
      </c>
      <c r="G85" s="227">
        <v>20</v>
      </c>
      <c r="H85" s="227"/>
      <c r="I85" s="227">
        <v>4700</v>
      </c>
      <c r="J85" s="227"/>
      <c r="K85" s="227"/>
      <c r="L85" s="227"/>
      <c r="M85" s="229">
        <f t="shared" si="16"/>
        <v>4700</v>
      </c>
      <c r="N85" s="229">
        <f t="shared" si="9"/>
        <v>0</v>
      </c>
      <c r="O85" s="230" t="str">
        <f t="shared" si="10"/>
        <v>-</v>
      </c>
      <c r="P85" s="230" t="str">
        <f t="shared" si="11"/>
        <v>-</v>
      </c>
      <c r="Q85" s="230">
        <f t="shared" si="12"/>
        <v>376</v>
      </c>
      <c r="R85" s="230" t="str">
        <f t="shared" si="13"/>
        <v>-</v>
      </c>
      <c r="S85" s="230" t="str">
        <f t="shared" si="14"/>
        <v>-</v>
      </c>
      <c r="T85" s="230" t="str">
        <f t="shared" si="15"/>
        <v>-</v>
      </c>
    </row>
    <row r="86" spans="1:20" ht="29.25">
      <c r="A86" s="225">
        <v>3</v>
      </c>
      <c r="B86" s="63" t="s">
        <v>1167</v>
      </c>
      <c r="C86" s="227">
        <v>12</v>
      </c>
      <c r="D86" s="228" t="s">
        <v>975</v>
      </c>
      <c r="E86" s="227">
        <v>2</v>
      </c>
      <c r="F86" s="227">
        <v>2</v>
      </c>
      <c r="G86" s="227">
        <v>8</v>
      </c>
      <c r="H86" s="227"/>
      <c r="I86" s="227">
        <v>4600</v>
      </c>
      <c r="J86" s="227"/>
      <c r="K86" s="227"/>
      <c r="L86" s="227"/>
      <c r="M86" s="229">
        <f t="shared" si="16"/>
        <v>4600</v>
      </c>
      <c r="N86" s="229">
        <f t="shared" si="9"/>
        <v>0</v>
      </c>
      <c r="O86" s="230" t="str">
        <f t="shared" si="10"/>
        <v>-</v>
      </c>
      <c r="P86" s="230" t="str">
        <f t="shared" si="11"/>
        <v>-</v>
      </c>
      <c r="Q86" s="230">
        <f t="shared" si="12"/>
        <v>147.19999999999999</v>
      </c>
      <c r="R86" s="230" t="str">
        <f t="shared" si="13"/>
        <v>-</v>
      </c>
      <c r="S86" s="230" t="str">
        <f t="shared" si="14"/>
        <v>-</v>
      </c>
      <c r="T86" s="230" t="str">
        <f t="shared" si="15"/>
        <v>-</v>
      </c>
    </row>
    <row r="87" spans="1:20" ht="28.5">
      <c r="A87" s="225"/>
      <c r="B87" s="231"/>
      <c r="C87" s="227">
        <v>12</v>
      </c>
      <c r="D87" s="228" t="s">
        <v>975</v>
      </c>
      <c r="E87" s="227">
        <v>2</v>
      </c>
      <c r="F87" s="227">
        <v>2</v>
      </c>
      <c r="G87" s="227">
        <v>24</v>
      </c>
      <c r="H87" s="227"/>
      <c r="I87" s="227">
        <v>1425</v>
      </c>
      <c r="J87" s="227"/>
      <c r="K87" s="227"/>
      <c r="L87" s="227"/>
      <c r="M87" s="229">
        <f t="shared" si="16"/>
        <v>1425</v>
      </c>
      <c r="N87" s="229">
        <f t="shared" si="9"/>
        <v>0</v>
      </c>
      <c r="O87" s="230" t="str">
        <f t="shared" si="10"/>
        <v>-</v>
      </c>
      <c r="P87" s="230" t="str">
        <f t="shared" si="11"/>
        <v>-</v>
      </c>
      <c r="Q87" s="230">
        <f t="shared" si="12"/>
        <v>136.80000000000001</v>
      </c>
      <c r="R87" s="230" t="str">
        <f t="shared" si="13"/>
        <v>-</v>
      </c>
      <c r="S87" s="230" t="str">
        <f t="shared" si="14"/>
        <v>-</v>
      </c>
      <c r="T87" s="230" t="str">
        <f t="shared" si="15"/>
        <v>-</v>
      </c>
    </row>
    <row r="88" spans="1:20" ht="43.5">
      <c r="A88" s="225">
        <v>4</v>
      </c>
      <c r="B88" s="63" t="s">
        <v>1168</v>
      </c>
      <c r="C88" s="227">
        <v>12</v>
      </c>
      <c r="D88" s="228" t="s">
        <v>975</v>
      </c>
      <c r="E88" s="227">
        <v>2</v>
      </c>
      <c r="F88" s="227">
        <v>1</v>
      </c>
      <c r="G88" s="227">
        <v>24</v>
      </c>
      <c r="H88" s="227"/>
      <c r="I88" s="227">
        <v>3025</v>
      </c>
      <c r="J88" s="227"/>
      <c r="K88" s="227"/>
      <c r="L88" s="227"/>
      <c r="M88" s="229">
        <f t="shared" si="16"/>
        <v>3025</v>
      </c>
      <c r="N88" s="229">
        <f t="shared" si="9"/>
        <v>0</v>
      </c>
      <c r="O88" s="230" t="str">
        <f t="shared" si="10"/>
        <v>-</v>
      </c>
      <c r="P88" s="230" t="str">
        <f t="shared" si="11"/>
        <v>-</v>
      </c>
      <c r="Q88" s="230">
        <f t="shared" si="12"/>
        <v>145.19999999999999</v>
      </c>
      <c r="R88" s="230" t="str">
        <f t="shared" si="13"/>
        <v>-</v>
      </c>
      <c r="S88" s="230" t="str">
        <f t="shared" si="14"/>
        <v>-</v>
      </c>
      <c r="T88" s="230" t="str">
        <f t="shared" si="15"/>
        <v>-</v>
      </c>
    </row>
    <row r="89" spans="1:20" ht="28.5">
      <c r="A89" s="225"/>
      <c r="B89" s="231"/>
      <c r="C89" s="227">
        <v>12</v>
      </c>
      <c r="D89" s="228" t="s">
        <v>975</v>
      </c>
      <c r="E89" s="227">
        <v>2</v>
      </c>
      <c r="F89" s="227">
        <v>1</v>
      </c>
      <c r="G89" s="227">
        <v>16</v>
      </c>
      <c r="H89" s="227"/>
      <c r="I89" s="227">
        <v>4700</v>
      </c>
      <c r="J89" s="227"/>
      <c r="K89" s="227"/>
      <c r="L89" s="227"/>
      <c r="M89" s="229">
        <f t="shared" si="16"/>
        <v>4700</v>
      </c>
      <c r="N89" s="229">
        <f t="shared" si="9"/>
        <v>0</v>
      </c>
      <c r="O89" s="230" t="str">
        <f t="shared" si="10"/>
        <v>-</v>
      </c>
      <c r="P89" s="230" t="str">
        <f t="shared" si="11"/>
        <v>-</v>
      </c>
      <c r="Q89" s="230">
        <f t="shared" si="12"/>
        <v>150.4</v>
      </c>
      <c r="R89" s="230" t="str">
        <f t="shared" si="13"/>
        <v>-</v>
      </c>
      <c r="S89" s="230" t="str">
        <f t="shared" si="14"/>
        <v>-</v>
      </c>
      <c r="T89" s="230" t="str">
        <f t="shared" si="15"/>
        <v>-</v>
      </c>
    </row>
    <row r="90" spans="1:20" ht="18">
      <c r="A90" s="262"/>
      <c r="B90" s="350" t="s">
        <v>1169</v>
      </c>
      <c r="C90" s="262"/>
      <c r="D90" s="221"/>
      <c r="E90" s="221"/>
      <c r="F90" s="221"/>
      <c r="G90" s="222"/>
      <c r="H90" s="262"/>
      <c r="I90" s="262"/>
      <c r="J90" s="262"/>
      <c r="K90" s="262"/>
      <c r="L90" s="262"/>
      <c r="M90" s="229" t="str">
        <f t="shared" si="16"/>
        <v>-</v>
      </c>
      <c r="N90" s="229"/>
      <c r="O90" s="230" t="str">
        <f t="shared" si="10"/>
        <v>-</v>
      </c>
      <c r="P90" s="230" t="str">
        <f t="shared" si="11"/>
        <v>-</v>
      </c>
      <c r="Q90" s="230" t="str">
        <f t="shared" si="12"/>
        <v>-</v>
      </c>
      <c r="R90" s="230" t="str">
        <f t="shared" si="13"/>
        <v>-</v>
      </c>
      <c r="S90" s="230" t="str">
        <f t="shared" si="14"/>
        <v>-</v>
      </c>
      <c r="T90" s="230" t="str">
        <f t="shared" si="15"/>
        <v>-</v>
      </c>
    </row>
    <row r="91" spans="1:20" ht="29.25">
      <c r="A91" s="225">
        <v>1</v>
      </c>
      <c r="B91" s="63" t="s">
        <v>1170</v>
      </c>
      <c r="C91" s="227">
        <v>8</v>
      </c>
      <c r="D91" s="228" t="s">
        <v>975</v>
      </c>
      <c r="E91" s="227">
        <v>1</v>
      </c>
      <c r="F91" s="227">
        <v>2</v>
      </c>
      <c r="G91" s="227">
        <v>17</v>
      </c>
      <c r="H91" s="227"/>
      <c r="I91" s="227">
        <v>6098</v>
      </c>
      <c r="J91" s="227"/>
      <c r="K91" s="227"/>
      <c r="L91" s="227"/>
      <c r="M91" s="229">
        <f>IF(D91="L Shape",(H91+I91)-(C91*2*1),IF(D91="U Shape",(H91+I91+J91)-(C91*2*2),IF(D91="Rectangle",(H91+I91+J91+K91)+(C91*10*2)-(C91*2*5),IF(D91="Straight",I91-(C156),IF(D91="Chair",(H91+I91+J91+K91+L91)-(C91*2*4),IF(D91="U2 Shape",(H91+I91+J91+K91+L91)-(C91*2*4),IF(D91="U3 Shape",(H91+I91+J91+K91)-(C91*2*3),IF(D91="Z Shape",(H91+I91+J91)-(C91*2*2),IF(D91="Triangle",(H91+I91+J91)+(C91*10*2)-(C91*2*4),IF(D91="Trapezoid2",(H91+H91+I91+J91+J91+K91)+(C91*10*2)-(C91*2*7),IF(D91="Trapezoid",(H91+I91+J91+K91)+(C91*10*2)-(C91*2*5),IF(D91="Link",I91+(C91*10*2),IF(D91="U5 Shape",(H91+I91+J91+K91)-(C91*2*3),IF(D91="DU2 Shape",(H91+I91+J91+K91)-(C91*2*4),IF(D91="SU Shape",(H91+I91+J91)-(C91*2*2),"-")))))))))))))))</f>
        <v>6098</v>
      </c>
      <c r="N91" s="229">
        <f t="shared" si="9"/>
        <v>0</v>
      </c>
      <c r="O91" s="230">
        <f t="shared" si="10"/>
        <v>207.33199999999999</v>
      </c>
      <c r="P91" s="230" t="str">
        <f t="shared" si="11"/>
        <v>-</v>
      </c>
      <c r="Q91" s="230" t="str">
        <f t="shared" si="12"/>
        <v>-</v>
      </c>
      <c r="R91" s="230" t="str">
        <f t="shared" si="13"/>
        <v>-</v>
      </c>
      <c r="S91" s="230" t="str">
        <f t="shared" si="14"/>
        <v>-</v>
      </c>
      <c r="T91" s="230" t="str">
        <f t="shared" si="15"/>
        <v>-</v>
      </c>
    </row>
    <row r="92" spans="1:20" ht="28.5">
      <c r="A92" s="225"/>
      <c r="B92" s="231"/>
      <c r="C92" s="227">
        <v>8</v>
      </c>
      <c r="D92" s="228" t="s">
        <v>975</v>
      </c>
      <c r="E92" s="227">
        <v>1</v>
      </c>
      <c r="F92" s="227">
        <v>2</v>
      </c>
      <c r="G92" s="227">
        <v>31</v>
      </c>
      <c r="H92" s="227"/>
      <c r="I92" s="227">
        <v>3375</v>
      </c>
      <c r="J92" s="227"/>
      <c r="K92" s="227"/>
      <c r="L92" s="227"/>
      <c r="M92" s="229">
        <f>IF(D92="L Shape",(H92+I92)-(C92*2*1),IF(D92="U Shape",(H92+I92+J92)-(C92*2*2),IF(D92="Rectangle",(H92+I92+J92+K92)+(C92*10*2)-(C92*2*5),IF(D92="Straight",I92-(C157),IF(D92="Chair",(H92+I92+J92+K92+L92)-(C92*2*4),IF(D92="U2 Shape",(H92+I92+J92+K92+L92)-(C92*2*4),IF(D92="U3 Shape",(H92+I92+J92+K92)-(C92*2*3),IF(D92="Z Shape",(H92+I92+J92)-(C92*2*2),IF(D92="Triangle",(H92+I92+J92)+(C92*10*2)-(C92*2*4),IF(D92="Trapezoid2",(H92+H92+I92+J92+J92+K92)+(C92*10*2)-(C92*2*7),IF(D92="Trapezoid",(H92+I92+J92+K92)+(C92*10*2)-(C92*2*5),IF(D92="Link",I92+(C92*10*2),IF(D92="U5 Shape",(H92+I92+J92+K92)-(C92*2*3),IF(D92="DU2 Shape",(H92+I92+J92+K92)-(C92*2*4),IF(D92="SU Shape",(H92+I92+J92)-(C92*2*2),"-")))))))))))))))</f>
        <v>3375</v>
      </c>
      <c r="N92" s="229">
        <f t="shared" si="9"/>
        <v>0</v>
      </c>
      <c r="O92" s="230">
        <f t="shared" si="10"/>
        <v>209.25</v>
      </c>
      <c r="P92" s="230" t="str">
        <f t="shared" si="11"/>
        <v>-</v>
      </c>
      <c r="Q92" s="230" t="str">
        <f t="shared" si="12"/>
        <v>-</v>
      </c>
      <c r="R92" s="230" t="str">
        <f t="shared" si="13"/>
        <v>-</v>
      </c>
      <c r="S92" s="230" t="str">
        <f t="shared" si="14"/>
        <v>-</v>
      </c>
      <c r="T92" s="230" t="str">
        <f t="shared" si="15"/>
        <v>-</v>
      </c>
    </row>
    <row r="93" spans="1:20" ht="29.25">
      <c r="A93" s="225">
        <v>2</v>
      </c>
      <c r="B93" s="63" t="s">
        <v>1171</v>
      </c>
      <c r="C93" s="227">
        <v>8</v>
      </c>
      <c r="D93" s="228" t="s">
        <v>975</v>
      </c>
      <c r="E93" s="227">
        <v>1</v>
      </c>
      <c r="F93" s="227">
        <v>1</v>
      </c>
      <c r="G93" s="227">
        <v>33</v>
      </c>
      <c r="H93" s="227"/>
      <c r="I93" s="227">
        <v>6500</v>
      </c>
      <c r="J93" s="227"/>
      <c r="K93" s="227"/>
      <c r="L93" s="227"/>
      <c r="M93" s="229">
        <f>IF(D93="L Shape",(H93+I93)-(C93*2*1),IF(D93="U Shape",(H93+I93+J93)-(C93*2*2),IF(D93="Rectangle",(H93+I93+J93+K93)+(C93*10*2)-(C93*2*5),IF(D93="Straight",I93-(C158),IF(D93="Chair",(H93+I93+J93+K93+L93)-(C93*2*4),IF(D93="U2 Shape",(H93+I93+J93+K93+L93)-(C93*2*4),IF(D93="U3 Shape",(H93+I93+J93+K93)-(C93*2*3),IF(D93="Z Shape",(H93+I93+J93)-(C93*2*2),IF(D93="Triangle",(H93+I93+J93)+(C93*10*2)-(C93*2*4),IF(D93="Trapezoid2",(H93+H93+I93+J93+J93+K93)+(C93*10*2)-(C93*2*7),IF(D93="Trapezoid",(H93+I93+J93+K93)+(C93*10*2)-(C93*2*5),IF(D93="Link",I93+(C93*10*2),IF(D93="U5 Shape",(H93+I93+J93+K93)-(C93*2*3),IF(D93="DU2 Shape",(H93+I93+J93+K93)-(C93*2*4),IF(D93="SU Shape",(H93+I93+J93)-(C93*2*2),"-")))))))))))))))</f>
        <v>6500</v>
      </c>
      <c r="N93" s="229">
        <f t="shared" si="9"/>
        <v>0</v>
      </c>
      <c r="O93" s="230">
        <f t="shared" si="10"/>
        <v>214.5</v>
      </c>
      <c r="P93" s="230" t="str">
        <f t="shared" si="11"/>
        <v>-</v>
      </c>
      <c r="Q93" s="230" t="str">
        <f t="shared" si="12"/>
        <v>-</v>
      </c>
      <c r="R93" s="230" t="str">
        <f t="shared" si="13"/>
        <v>-</v>
      </c>
      <c r="S93" s="230" t="str">
        <f t="shared" si="14"/>
        <v>-</v>
      </c>
      <c r="T93" s="230" t="str">
        <f t="shared" si="15"/>
        <v>-</v>
      </c>
    </row>
    <row r="94" spans="1:20" ht="28.5">
      <c r="A94" s="225"/>
      <c r="B94" s="231"/>
      <c r="C94" s="227">
        <v>8</v>
      </c>
      <c r="D94" s="228" t="s">
        <v>975</v>
      </c>
      <c r="E94" s="227">
        <v>1</v>
      </c>
      <c r="F94" s="227">
        <v>1</v>
      </c>
      <c r="G94" s="227">
        <v>33</v>
      </c>
      <c r="H94" s="227"/>
      <c r="I94" s="227">
        <v>6575</v>
      </c>
      <c r="J94" s="227"/>
      <c r="K94" s="227"/>
      <c r="L94" s="227"/>
      <c r="M94" s="229">
        <f>IF(D94="L Shape",(H94+I94)-(C94*2*1),IF(D94="U Shape",(H94+I94+J94)-(C94*2*2),IF(D94="Rectangle",(H94+I94+J94+K94)+(C94*10*2)-(C94*2*5),IF(D94="Straight",I94-(C159),IF(D94="Chair",(H94+I94+J94+K94+L94)-(C94*2*4),IF(D94="U2 Shape",(H94+I94+J94+K94+L94)-(C94*2*4),IF(D94="U3 Shape",(H94+I94+J94+K94)-(C94*2*3),IF(D94="Z Shape",(H94+I94+J94)-(C94*2*2),IF(D94="Triangle",(H94+I94+J94)+(C94*10*2)-(C94*2*4),IF(D94="Trapezoid2",(H94+H94+I94+J94+J94+K94)+(C94*10*2)-(C94*2*7),IF(D94="Trapezoid",(H94+I94+J94+K94)+(C94*10*2)-(C94*2*5),IF(D94="Link",I94+(C94*10*2),IF(D94="U5 Shape",(H94+I94+J94+K94)-(C94*2*3),IF(D94="DU2 Shape",(H94+I94+J94+K94)-(C94*2*4),IF(D94="SU Shape",(H94+I94+J94)-(C94*2*2),"-")))))))))))))))</f>
        <v>6575</v>
      </c>
      <c r="N94" s="229">
        <f t="shared" si="9"/>
        <v>0</v>
      </c>
      <c r="O94" s="230">
        <f t="shared" si="10"/>
        <v>216.97499999999999</v>
      </c>
      <c r="P94" s="230" t="str">
        <f t="shared" si="11"/>
        <v>-</v>
      </c>
      <c r="Q94" s="230" t="str">
        <f t="shared" si="12"/>
        <v>-</v>
      </c>
      <c r="R94" s="230" t="str">
        <f t="shared" si="13"/>
        <v>-</v>
      </c>
      <c r="S94" s="230" t="str">
        <f t="shared" si="14"/>
        <v>-</v>
      </c>
      <c r="T94" s="230" t="str">
        <f t="shared" si="15"/>
        <v>-</v>
      </c>
    </row>
    <row r="95" spans="1:20" ht="36">
      <c r="A95" s="262"/>
      <c r="B95" s="350" t="s">
        <v>1172</v>
      </c>
      <c r="C95" s="262"/>
      <c r="D95" s="221"/>
      <c r="E95" s="221"/>
      <c r="F95" s="221"/>
      <c r="G95" s="222"/>
      <c r="H95" s="262"/>
      <c r="I95" s="262"/>
      <c r="J95" s="262"/>
      <c r="K95" s="262"/>
      <c r="L95" s="262"/>
      <c r="M95" s="229" t="str">
        <f>IF(D95="L Shape",(H95+I95)-(C95*2*1),IF(D95="U Shape",(H95+I95+J95)-(C95*2*2),IF(D95="Rectangle",(H95+I95+J95+K95)+(C95*10*2)-(C95*2*5),IF(D95="Straight",I95-(C159),IF(D95="Chair",(H95+I95+J95+K95+L95)-(C95*2*4),IF(D95="U2 Shape",(H95+I95+J95+K95+L95)-(C95*2*4),IF(D95="U3 Shape",(H95+I95+J95+K95)-(C95*2*3),IF(D95="Z Shape",(H95+I95+J95)-(C95*2*2),IF(D95="Triangle",(H95+I95+J95)+(C95*10*2)-(C95*2*4),IF(D95="Trapezoid2",(H95+H95+I95+J95+J95+K95)+(C95*10*2)-(C95*2*7),IF(D95="Trapezoid",(H95+I95+J95+K95)+(C95*10*2)-(C95*2*5),IF(D95="Link",I95+(C95*10*2),IF(D95="U5 Shape",(H95+I95+J95+K95)-(C95*2*3),IF(D95="DU2 Shape",(H95+I95+J95+K95)-(C95*2*4),IF(D95="SU Shape",(H95+I95+J95)-(C95*2*2),"-")))))))))))))))</f>
        <v>-</v>
      </c>
      <c r="N95" s="229"/>
      <c r="O95" s="230" t="str">
        <f t="shared" ref="O95:O105" si="17">IF(C95=8,((M95+N95)*E95*F95*G95)/1000,"-")</f>
        <v>-</v>
      </c>
      <c r="P95" s="230" t="str">
        <f t="shared" ref="P95:P105" si="18">IF(C95=10,((M95+N95)*E95*F95*G95)/1000,"-")</f>
        <v>-</v>
      </c>
      <c r="Q95" s="230" t="str">
        <f t="shared" ref="Q95:Q105" si="19">IF(C95=12,((M95+N95)*E95*F95*G95)/1000,"-")</f>
        <v>-</v>
      </c>
      <c r="R95" s="230" t="str">
        <f t="shared" ref="R95:R105" si="20">IF(C95=16,((M95+N95)*E95*F95*G95)/1000,"-")</f>
        <v>-</v>
      </c>
      <c r="S95" s="230" t="str">
        <f t="shared" ref="S95:S105" si="21">IF(C95=20,((M95+N95)*E95*F95*G95)/1000,"-")</f>
        <v>-</v>
      </c>
      <c r="T95" s="230" t="str">
        <f t="shared" ref="T95:T105" si="22">IF(C95=25,((M95+N95)*E95*F95*G95)/1000,"-")</f>
        <v>-</v>
      </c>
    </row>
    <row r="96" spans="1:20" ht="29.25">
      <c r="A96" s="225">
        <v>1</v>
      </c>
      <c r="B96" s="64" t="s">
        <v>1173</v>
      </c>
      <c r="C96" s="227">
        <v>12</v>
      </c>
      <c r="D96" s="228" t="s">
        <v>975</v>
      </c>
      <c r="E96" s="227">
        <v>1</v>
      </c>
      <c r="F96" s="227">
        <v>4</v>
      </c>
      <c r="G96" s="227">
        <v>5</v>
      </c>
      <c r="H96" s="227"/>
      <c r="I96" s="227">
        <f>9412+400</f>
        <v>9812</v>
      </c>
      <c r="J96" s="227"/>
      <c r="K96" s="227"/>
      <c r="L96" s="227"/>
      <c r="M96" s="229">
        <f t="shared" ref="M96:M105" si="23">IF(D96="L Shape",(H96+I96)-(C96*2*1),IF(D96="U Shape",(H96+I96+J96)-(C96*2*2),IF(D96="Rectangle",(H96+I96+J96+K96)+(C96*10*2)-(C96*2*5),IF(D96="Straight",I96-(C161),IF(D96="Chair",(H96+I96+J96+K96+L96)-(C96*2*4),IF(D96="U2 Shape",(H96+I96+J96+K96+L96)-(C96*2*4),IF(D96="U3 Shape",(H96+I96+J96+K96)-(C96*2*3),IF(D96="Z Shape",(H96+I96+J96)-(C96*2*2),IF(D96="Triangle",(H96+I96+J96)+(C96*10*2)-(C96*2*4),IF(D96="Trapezoid2",(H96+H96+I96+J96+J96+K96)+(C96*10*2)-(C96*2*7),IF(D96="Trapezoid",(H96+I96+J96+K96)+(C96*10*2)-(C96*2*5),IF(D96="Link",I96+(C96*10*2),IF(D96="U5 Shape",(H96+I96+J96+K96)-(C96*2*3),IF(D96="DU2 Shape",(H96+I96+J96+K96)-(C96*2*4),IF(D96="SU Shape",(H96+I96+J96)-(C96*2*2),"-")))))))))))))))</f>
        <v>9812</v>
      </c>
      <c r="N96" s="229">
        <f t="shared" ref="N96:N105" si="24">IF(M96&lt;12001,C96*49*0,IF(M96&lt;24001,C96*49*1,IF(M96&lt;36001,C96*49*2,IF(M96&lt;48001,C96*49*3,IF(M96&lt;60001,C96*49*4,IF(M96&lt;72001,(C96*49*5),IF(M96&lt;84001,(C96*49*6),IF(M96&lt;96001,(C96*49*7),IF(M96&lt;108001,(C96*49*8),IF(M96&lt;120001,(C96*49*9),IF(M96&lt;132001,(C96*49*10),IF(M96&lt;144001,(C96*49*11)))))))))))))</f>
        <v>0</v>
      </c>
      <c r="O96" s="230" t="str">
        <f t="shared" si="17"/>
        <v>-</v>
      </c>
      <c r="P96" s="230" t="str">
        <f t="shared" si="18"/>
        <v>-</v>
      </c>
      <c r="Q96" s="230">
        <f t="shared" si="19"/>
        <v>196.24</v>
      </c>
      <c r="R96" s="230" t="str">
        <f t="shared" si="20"/>
        <v>-</v>
      </c>
      <c r="S96" s="230" t="str">
        <f t="shared" si="21"/>
        <v>-</v>
      </c>
      <c r="T96" s="230" t="str">
        <f t="shared" si="22"/>
        <v>-</v>
      </c>
    </row>
    <row r="97" spans="1:20" ht="28.5">
      <c r="A97" s="225"/>
      <c r="B97" s="231" t="s">
        <v>1174</v>
      </c>
      <c r="C97" s="227">
        <v>8</v>
      </c>
      <c r="D97" s="228" t="s">
        <v>975</v>
      </c>
      <c r="E97" s="227">
        <v>1</v>
      </c>
      <c r="F97" s="227">
        <v>4</v>
      </c>
      <c r="G97" s="227">
        <v>63</v>
      </c>
      <c r="H97" s="227"/>
      <c r="I97" s="227">
        <f>150+150+350+350+80</f>
        <v>1080</v>
      </c>
      <c r="J97" s="227"/>
      <c r="K97" s="227"/>
      <c r="L97" s="227"/>
      <c r="M97" s="229">
        <f t="shared" si="23"/>
        <v>1080</v>
      </c>
      <c r="N97" s="229">
        <f t="shared" si="24"/>
        <v>0</v>
      </c>
      <c r="O97" s="230">
        <f t="shared" si="17"/>
        <v>272.16000000000003</v>
      </c>
      <c r="P97" s="230" t="str">
        <f t="shared" si="18"/>
        <v>-</v>
      </c>
      <c r="Q97" s="230" t="str">
        <f t="shared" si="19"/>
        <v>-</v>
      </c>
      <c r="R97" s="230" t="str">
        <f t="shared" si="20"/>
        <v>-</v>
      </c>
      <c r="S97" s="230" t="str">
        <f t="shared" si="21"/>
        <v>-</v>
      </c>
      <c r="T97" s="230" t="str">
        <f t="shared" si="22"/>
        <v>-</v>
      </c>
    </row>
    <row r="98" spans="1:20" ht="29.25">
      <c r="A98" s="225">
        <v>2</v>
      </c>
      <c r="B98" s="64" t="s">
        <v>1175</v>
      </c>
      <c r="C98" s="227">
        <v>12</v>
      </c>
      <c r="D98" s="228" t="s">
        <v>975</v>
      </c>
      <c r="E98" s="227">
        <v>1</v>
      </c>
      <c r="F98" s="227">
        <v>2</v>
      </c>
      <c r="G98" s="227">
        <v>5</v>
      </c>
      <c r="H98" s="227"/>
      <c r="I98" s="227">
        <f>10725+400</f>
        <v>11125</v>
      </c>
      <c r="J98" s="227"/>
      <c r="K98" s="227"/>
      <c r="L98" s="227"/>
      <c r="M98" s="229">
        <f t="shared" si="23"/>
        <v>11125</v>
      </c>
      <c r="N98" s="229">
        <f t="shared" si="24"/>
        <v>0</v>
      </c>
      <c r="O98" s="230" t="str">
        <f t="shared" si="17"/>
        <v>-</v>
      </c>
      <c r="P98" s="230" t="str">
        <f t="shared" si="18"/>
        <v>-</v>
      </c>
      <c r="Q98" s="230">
        <f t="shared" si="19"/>
        <v>111.25</v>
      </c>
      <c r="R98" s="230" t="str">
        <f t="shared" si="20"/>
        <v>-</v>
      </c>
      <c r="S98" s="230" t="str">
        <f t="shared" si="21"/>
        <v>-</v>
      </c>
      <c r="T98" s="230" t="str">
        <f t="shared" si="22"/>
        <v>-</v>
      </c>
    </row>
    <row r="99" spans="1:20" ht="28.5">
      <c r="A99" s="225"/>
      <c r="B99" s="231" t="s">
        <v>1174</v>
      </c>
      <c r="C99" s="227">
        <v>8</v>
      </c>
      <c r="D99" s="228" t="s">
        <v>975</v>
      </c>
      <c r="E99" s="227">
        <v>1</v>
      </c>
      <c r="F99" s="227">
        <v>2</v>
      </c>
      <c r="G99" s="227">
        <v>72</v>
      </c>
      <c r="H99" s="227"/>
      <c r="I99" s="227">
        <f>150+150+350+350+80</f>
        <v>1080</v>
      </c>
      <c r="J99" s="227"/>
      <c r="K99" s="227"/>
      <c r="L99" s="227"/>
      <c r="M99" s="229">
        <f t="shared" si="23"/>
        <v>1080</v>
      </c>
      <c r="N99" s="229">
        <f t="shared" si="24"/>
        <v>0</v>
      </c>
      <c r="O99" s="230">
        <f t="shared" si="17"/>
        <v>155.52000000000001</v>
      </c>
      <c r="P99" s="230" t="str">
        <f t="shared" si="18"/>
        <v>-</v>
      </c>
      <c r="Q99" s="230" t="str">
        <f t="shared" si="19"/>
        <v>-</v>
      </c>
      <c r="R99" s="230" t="str">
        <f t="shared" si="20"/>
        <v>-</v>
      </c>
      <c r="S99" s="230" t="str">
        <f t="shared" si="21"/>
        <v>-</v>
      </c>
      <c r="T99" s="230" t="str">
        <f t="shared" si="22"/>
        <v>-</v>
      </c>
    </row>
    <row r="100" spans="1:20" ht="29.25">
      <c r="A100" s="225">
        <v>3</v>
      </c>
      <c r="B100" s="64" t="s">
        <v>1176</v>
      </c>
      <c r="C100" s="227">
        <v>12</v>
      </c>
      <c r="D100" s="228" t="s">
        <v>975</v>
      </c>
      <c r="E100" s="227">
        <v>1</v>
      </c>
      <c r="F100" s="227">
        <v>2</v>
      </c>
      <c r="G100" s="227">
        <v>5</v>
      </c>
      <c r="H100" s="227"/>
      <c r="I100" s="227">
        <f>6898+400</f>
        <v>7298</v>
      </c>
      <c r="J100" s="227"/>
      <c r="K100" s="227"/>
      <c r="L100" s="227"/>
      <c r="M100" s="229">
        <f t="shared" si="23"/>
        <v>7298</v>
      </c>
      <c r="N100" s="229">
        <f t="shared" si="24"/>
        <v>0</v>
      </c>
      <c r="O100" s="230" t="str">
        <f t="shared" si="17"/>
        <v>-</v>
      </c>
      <c r="P100" s="230" t="str">
        <f t="shared" si="18"/>
        <v>-</v>
      </c>
      <c r="Q100" s="230">
        <f t="shared" si="19"/>
        <v>72.98</v>
      </c>
      <c r="R100" s="230" t="str">
        <f t="shared" si="20"/>
        <v>-</v>
      </c>
      <c r="S100" s="230" t="str">
        <f t="shared" si="21"/>
        <v>-</v>
      </c>
      <c r="T100" s="230" t="str">
        <f t="shared" si="22"/>
        <v>-</v>
      </c>
    </row>
    <row r="101" spans="1:20" ht="28.5">
      <c r="A101" s="225"/>
      <c r="B101" s="231" t="s">
        <v>1174</v>
      </c>
      <c r="C101" s="227">
        <v>8</v>
      </c>
      <c r="D101" s="228" t="s">
        <v>975</v>
      </c>
      <c r="E101" s="227">
        <v>1</v>
      </c>
      <c r="F101" s="227">
        <v>2</v>
      </c>
      <c r="G101" s="227">
        <v>46</v>
      </c>
      <c r="H101" s="227"/>
      <c r="I101" s="227">
        <f>150+150+350+350+80</f>
        <v>1080</v>
      </c>
      <c r="J101" s="227"/>
      <c r="K101" s="227"/>
      <c r="L101" s="227"/>
      <c r="M101" s="229">
        <f t="shared" si="23"/>
        <v>1080</v>
      </c>
      <c r="N101" s="229">
        <f t="shared" si="24"/>
        <v>0</v>
      </c>
      <c r="O101" s="230">
        <f t="shared" si="17"/>
        <v>99.36</v>
      </c>
      <c r="P101" s="230" t="str">
        <f t="shared" si="18"/>
        <v>-</v>
      </c>
      <c r="Q101" s="230" t="str">
        <f t="shared" si="19"/>
        <v>-</v>
      </c>
      <c r="R101" s="230" t="str">
        <f t="shared" si="20"/>
        <v>-</v>
      </c>
      <c r="S101" s="230" t="str">
        <f t="shared" si="21"/>
        <v>-</v>
      </c>
      <c r="T101" s="230" t="str">
        <f t="shared" si="22"/>
        <v>-</v>
      </c>
    </row>
    <row r="102" spans="1:20" ht="43.5">
      <c r="A102" s="225">
        <v>4</v>
      </c>
      <c r="B102" s="64" t="s">
        <v>1177</v>
      </c>
      <c r="C102" s="227">
        <v>12</v>
      </c>
      <c r="D102" s="228" t="s">
        <v>975</v>
      </c>
      <c r="E102" s="227">
        <v>1</v>
      </c>
      <c r="F102" s="227">
        <v>2</v>
      </c>
      <c r="G102" s="227">
        <v>5</v>
      </c>
      <c r="H102" s="227"/>
      <c r="I102" s="227">
        <f>5505+400</f>
        <v>5905</v>
      </c>
      <c r="J102" s="227"/>
      <c r="K102" s="227"/>
      <c r="L102" s="227"/>
      <c r="M102" s="229">
        <f t="shared" si="23"/>
        <v>5905</v>
      </c>
      <c r="N102" s="229">
        <f t="shared" si="24"/>
        <v>0</v>
      </c>
      <c r="O102" s="230" t="str">
        <f t="shared" si="17"/>
        <v>-</v>
      </c>
      <c r="P102" s="230" t="str">
        <f t="shared" si="18"/>
        <v>-</v>
      </c>
      <c r="Q102" s="230">
        <f t="shared" si="19"/>
        <v>59.05</v>
      </c>
      <c r="R102" s="230" t="str">
        <f t="shared" si="20"/>
        <v>-</v>
      </c>
      <c r="S102" s="230" t="str">
        <f t="shared" si="21"/>
        <v>-</v>
      </c>
      <c r="T102" s="230" t="str">
        <f t="shared" si="22"/>
        <v>-</v>
      </c>
    </row>
    <row r="103" spans="1:20" ht="28.5">
      <c r="A103" s="225"/>
      <c r="B103" s="231" t="s">
        <v>1174</v>
      </c>
      <c r="C103" s="227">
        <v>8</v>
      </c>
      <c r="D103" s="228" t="s">
        <v>975</v>
      </c>
      <c r="E103" s="227">
        <v>1</v>
      </c>
      <c r="F103" s="227">
        <v>2</v>
      </c>
      <c r="G103" s="227">
        <v>37</v>
      </c>
      <c r="H103" s="227"/>
      <c r="I103" s="227">
        <f>150+150+350+350+80</f>
        <v>1080</v>
      </c>
      <c r="J103" s="227"/>
      <c r="K103" s="227"/>
      <c r="L103" s="227"/>
      <c r="M103" s="229">
        <f t="shared" si="23"/>
        <v>1080</v>
      </c>
      <c r="N103" s="229">
        <f t="shared" si="24"/>
        <v>0</v>
      </c>
      <c r="O103" s="230">
        <f t="shared" si="17"/>
        <v>79.92</v>
      </c>
      <c r="P103" s="230" t="str">
        <f t="shared" si="18"/>
        <v>-</v>
      </c>
      <c r="Q103" s="230" t="str">
        <f t="shared" si="19"/>
        <v>-</v>
      </c>
      <c r="R103" s="230" t="str">
        <f t="shared" si="20"/>
        <v>-</v>
      </c>
      <c r="S103" s="230" t="str">
        <f t="shared" si="21"/>
        <v>-</v>
      </c>
      <c r="T103" s="230" t="str">
        <f t="shared" si="22"/>
        <v>-</v>
      </c>
    </row>
    <row r="104" spans="1:20" ht="29.25">
      <c r="A104" s="225">
        <v>5</v>
      </c>
      <c r="B104" s="64" t="s">
        <v>1178</v>
      </c>
      <c r="C104" s="227">
        <v>12</v>
      </c>
      <c r="D104" s="228" t="s">
        <v>975</v>
      </c>
      <c r="E104" s="227">
        <v>1</v>
      </c>
      <c r="F104" s="227">
        <v>2</v>
      </c>
      <c r="G104" s="227">
        <v>4</v>
      </c>
      <c r="H104" s="227"/>
      <c r="I104" s="227">
        <f>11450+400</f>
        <v>11850</v>
      </c>
      <c r="J104" s="227"/>
      <c r="K104" s="227"/>
      <c r="L104" s="227"/>
      <c r="M104" s="229">
        <f t="shared" si="23"/>
        <v>11850</v>
      </c>
      <c r="N104" s="229">
        <f t="shared" si="24"/>
        <v>0</v>
      </c>
      <c r="O104" s="230" t="str">
        <f t="shared" si="17"/>
        <v>-</v>
      </c>
      <c r="P104" s="230" t="str">
        <f t="shared" si="18"/>
        <v>-</v>
      </c>
      <c r="Q104" s="230">
        <f t="shared" si="19"/>
        <v>94.8</v>
      </c>
      <c r="R104" s="230" t="str">
        <f t="shared" si="20"/>
        <v>-</v>
      </c>
      <c r="S104" s="230" t="str">
        <f t="shared" si="21"/>
        <v>-</v>
      </c>
      <c r="T104" s="230" t="str">
        <f t="shared" si="22"/>
        <v>-</v>
      </c>
    </row>
    <row r="105" spans="1:20" ht="28.5">
      <c r="A105" s="225"/>
      <c r="B105" s="231" t="s">
        <v>1174</v>
      </c>
      <c r="C105" s="227">
        <v>8</v>
      </c>
      <c r="D105" s="228" t="s">
        <v>975</v>
      </c>
      <c r="E105" s="227">
        <v>1</v>
      </c>
      <c r="F105" s="227">
        <v>2</v>
      </c>
      <c r="G105" s="227">
        <v>77</v>
      </c>
      <c r="H105" s="227"/>
      <c r="I105" s="227">
        <f>150+150+350+350+80</f>
        <v>1080</v>
      </c>
      <c r="J105" s="227"/>
      <c r="K105" s="227"/>
      <c r="L105" s="227"/>
      <c r="M105" s="229">
        <f t="shared" si="23"/>
        <v>1080</v>
      </c>
      <c r="N105" s="229">
        <f t="shared" si="24"/>
        <v>0</v>
      </c>
      <c r="O105" s="230">
        <f t="shared" si="17"/>
        <v>166.32</v>
      </c>
      <c r="P105" s="230" t="str">
        <f t="shared" si="18"/>
        <v>-</v>
      </c>
      <c r="Q105" s="230" t="str">
        <f t="shared" si="19"/>
        <v>-</v>
      </c>
      <c r="R105" s="230" t="str">
        <f t="shared" si="20"/>
        <v>-</v>
      </c>
      <c r="S105" s="230" t="str">
        <f t="shared" si="21"/>
        <v>-</v>
      </c>
      <c r="T105" s="230" t="str">
        <f t="shared" si="22"/>
        <v>-</v>
      </c>
    </row>
    <row r="106" spans="1:20" ht="15.75">
      <c r="A106" s="225"/>
      <c r="B106" s="225"/>
      <c r="C106" s="225"/>
      <c r="D106" s="228"/>
      <c r="E106" s="225"/>
      <c r="F106" s="225"/>
      <c r="G106" s="225"/>
      <c r="H106" s="225"/>
      <c r="I106" s="225"/>
      <c r="J106" s="225"/>
      <c r="K106" s="225"/>
      <c r="L106" s="225"/>
      <c r="M106" s="229" t="str">
        <f>IF(D106="L Shape",(H106+I106)-(#REF!*2*1),IF(D106="U Shape",(H106+I106+J106)-(#REF!*2*2),IF(D106="Rectangle",(H106+I106+J106+K106)+(#REF!*10*2)-(#REF!*2*5),IF(D106="Straight",I106-(#REF!*0),IF(D106="Chair",(H106+I106+J106+K106+L106)-(#REF!*2*4),IF(D106="U2 Shape",(H106+I106+J106+K106+L106)-(#REF!*2*4),IF(D106="U3 Shape",(H106+I106+J106+K106)-(#REF!*2*3),IF(D106="Z Shape",(H106+I106+J106)-(#REF!*2*2),IF(D106="Triangle",(H106+I106+J106)+(#REF!*10*2)-(#REF!*2*4),IF(D106="Trapezoid2",(H106+H106+I106+J106+J106+K106)+(#REF!*10*2)-(#REF!*2*7),IF(D106="Trapezoid",(H106+I106+J106+K106)+(#REF!*10*2)-(#REF!*2*5),IF(D106="Link",I106+(#REF!*10*2),IF(D106="U5 Shape",(H106+I106+J106+K106)-(#REF!*2*3),IF(D106="DU2 Shape",(H106+I106+J106+K106)-(#REF!*2*4),IF(D106="SU Shape",(H106+I106+J106)-(#REF!*2*2),"-")))))))))))))))</f>
        <v>-</v>
      </c>
      <c r="N106" s="229"/>
      <c r="O106" s="230" t="str">
        <f t="shared" si="10"/>
        <v>-</v>
      </c>
      <c r="P106" s="230" t="str">
        <f t="shared" si="11"/>
        <v>-</v>
      </c>
      <c r="Q106" s="230" t="str">
        <f t="shared" si="12"/>
        <v>-</v>
      </c>
      <c r="R106" s="230" t="str">
        <f t="shared" si="13"/>
        <v>-</v>
      </c>
      <c r="S106" s="230" t="str">
        <f t="shared" si="14"/>
        <v>-</v>
      </c>
      <c r="T106" s="230" t="str">
        <f t="shared" si="15"/>
        <v>-</v>
      </c>
    </row>
    <row r="107" spans="1:20" ht="15.75">
      <c r="A107" s="225"/>
      <c r="B107" s="225"/>
      <c r="C107" s="225"/>
      <c r="D107" s="228"/>
      <c r="E107" s="225"/>
      <c r="F107" s="225"/>
      <c r="G107" s="225"/>
      <c r="H107" s="225"/>
      <c r="I107" s="225"/>
      <c r="J107" s="225"/>
      <c r="K107" s="225"/>
      <c r="L107" s="225"/>
      <c r="M107" s="229" t="str">
        <f>IF(D107="L Shape",(H107+I107)-(#REF!*2*1),IF(D107="U Shape",(H107+I107+J107)-(#REF!*2*2),IF(D107="Rectangle",(H107+I107+J107+K107)+(#REF!*10*2)-(#REF!*2*5),IF(D107="Straight",I107-(#REF!*0),IF(D107="Chair",(H107+I107+J107+K107+L107)-(#REF!*2*4),IF(D107="U2 Shape",(H107+I107+J107+K107+L107)-(#REF!*2*4),IF(D107="U3 Shape",(H107+I107+J107+K107)-(#REF!*2*3),IF(D107="Z Shape",(H107+I107+J107)-(#REF!*2*2),IF(D107="Triangle",(H107+I107+J107)+(#REF!*10*2)-(#REF!*2*4),IF(D107="Trapezoid2",(H107+H107+I107+J107+J107+K107)+(#REF!*10*2)-(#REF!*2*7),IF(D107="Trapezoid",(H107+I107+J107+K107)+(#REF!*10*2)-(#REF!*2*5),IF(D107="Link",I107+(#REF!*10*2),IF(D107="U5 Shape",(H107+I107+J107+K107)-(#REF!*2*3),IF(D107="DU2 Shape",(H107+I107+J107+K107)-(#REF!*2*4),IF(D107="SU Shape",(H107+I107+J107)-(#REF!*2*2),"-")))))))))))))))</f>
        <v>-</v>
      </c>
      <c r="N107" s="229"/>
      <c r="O107" s="230" t="str">
        <f t="shared" si="10"/>
        <v>-</v>
      </c>
      <c r="P107" s="230" t="str">
        <f t="shared" si="11"/>
        <v>-</v>
      </c>
      <c r="Q107" s="230" t="str">
        <f t="shared" si="12"/>
        <v>-</v>
      </c>
      <c r="R107" s="230" t="str">
        <f t="shared" si="13"/>
        <v>-</v>
      </c>
      <c r="S107" s="230" t="str">
        <f t="shared" si="14"/>
        <v>-</v>
      </c>
      <c r="T107" s="230" t="str">
        <f t="shared" si="15"/>
        <v>-</v>
      </c>
    </row>
    <row r="108" spans="1:20" ht="15.75">
      <c r="A108" s="225"/>
      <c r="B108" s="225"/>
      <c r="C108" s="225"/>
      <c r="D108" s="228"/>
      <c r="E108" s="225"/>
      <c r="F108" s="225"/>
      <c r="G108" s="225"/>
      <c r="H108" s="225"/>
      <c r="I108" s="225"/>
      <c r="J108" s="225"/>
      <c r="K108" s="225"/>
      <c r="L108" s="225"/>
      <c r="M108" s="237"/>
      <c r="N108" s="237"/>
      <c r="O108" s="240">
        <f t="shared" ref="O108:T108" si="25">SUM(O6:O107)</f>
        <v>38172.853999999992</v>
      </c>
      <c r="P108" s="240">
        <f t="shared" si="25"/>
        <v>0</v>
      </c>
      <c r="Q108" s="240">
        <f t="shared" si="25"/>
        <v>6046.9759999999987</v>
      </c>
      <c r="R108" s="240">
        <f t="shared" si="25"/>
        <v>0</v>
      </c>
      <c r="S108" s="240">
        <f t="shared" si="25"/>
        <v>0</v>
      </c>
      <c r="T108" s="240">
        <f t="shared" si="25"/>
        <v>0</v>
      </c>
    </row>
    <row r="109" spans="1:20">
      <c r="A109" s="1347" t="s">
        <v>877</v>
      </c>
      <c r="B109" s="1348"/>
      <c r="C109" s="1348"/>
      <c r="D109" s="1348"/>
      <c r="E109" s="1348"/>
      <c r="F109" s="1348"/>
      <c r="G109" s="1348"/>
      <c r="H109" s="1348"/>
      <c r="I109" s="1348"/>
      <c r="J109" s="1348"/>
      <c r="K109" s="1348"/>
      <c r="L109" s="1348"/>
      <c r="M109" s="1348"/>
      <c r="N109" s="1349"/>
      <c r="O109" s="110">
        <f>ROUND(PI()/4*POWER(8/1000,2)*7850,3)</f>
        <v>0.39500000000000002</v>
      </c>
      <c r="P109" s="110">
        <f>ROUND(PI()/4*POWER(10/1000,2)*7850,3)</f>
        <v>0.61699999999999999</v>
      </c>
      <c r="Q109" s="110">
        <f>ROUND(PI()/4*POWER(12/1000,2)*7850,3)</f>
        <v>0.88800000000000001</v>
      </c>
      <c r="R109" s="110">
        <f>ROUND(PI()/4*POWER(16/1000,2)*7850,2)</f>
        <v>1.58</v>
      </c>
      <c r="S109" s="110">
        <f>ROUND(PI()/4*POWER(20/1000,2)*7850,2)</f>
        <v>2.4700000000000002</v>
      </c>
      <c r="T109" s="110">
        <f>ROUND(PI()/4*POWER(25/1000,2)*7850,2)</f>
        <v>3.85</v>
      </c>
    </row>
    <row r="110" spans="1:20">
      <c r="A110" s="1347" t="s">
        <v>878</v>
      </c>
      <c r="B110" s="1348"/>
      <c r="C110" s="1348"/>
      <c r="D110" s="1348"/>
      <c r="E110" s="1348"/>
      <c r="F110" s="1348"/>
      <c r="G110" s="1348"/>
      <c r="H110" s="1348"/>
      <c r="I110" s="1348"/>
      <c r="J110" s="1348"/>
      <c r="K110" s="1348"/>
      <c r="L110" s="1348"/>
      <c r="M110" s="1348"/>
      <c r="N110" s="1349"/>
      <c r="O110" s="111">
        <f t="shared" ref="O110:T110" si="26">PRODUCT(O108:O109)</f>
        <v>15078.277329999997</v>
      </c>
      <c r="P110" s="111">
        <f t="shared" si="26"/>
        <v>0</v>
      </c>
      <c r="Q110" s="111">
        <f t="shared" si="26"/>
        <v>5369.7146879999991</v>
      </c>
      <c r="R110" s="111">
        <f t="shared" si="26"/>
        <v>0</v>
      </c>
      <c r="S110" s="111">
        <f t="shared" si="26"/>
        <v>0</v>
      </c>
      <c r="T110" s="111">
        <f t="shared" si="26"/>
        <v>0</v>
      </c>
    </row>
    <row r="111" spans="1:20">
      <c r="A111" s="1347" t="s">
        <v>879</v>
      </c>
      <c r="B111" s="1348"/>
      <c r="C111" s="1348"/>
      <c r="D111" s="1348"/>
      <c r="E111" s="1348"/>
      <c r="F111" s="1348"/>
      <c r="G111" s="1348"/>
      <c r="H111" s="1348"/>
      <c r="I111" s="1348"/>
      <c r="J111" s="1348"/>
      <c r="K111" s="1348"/>
      <c r="L111" s="1348"/>
      <c r="M111" s="1348"/>
      <c r="N111" s="1349"/>
      <c r="O111" s="258">
        <f t="shared" ref="O111:T111" si="27">ROUND(O110/1000,3)</f>
        <v>15.077999999999999</v>
      </c>
      <c r="P111" s="258">
        <f t="shared" si="27"/>
        <v>0</v>
      </c>
      <c r="Q111" s="258">
        <f t="shared" si="27"/>
        <v>5.37</v>
      </c>
      <c r="R111" s="258">
        <f t="shared" si="27"/>
        <v>0</v>
      </c>
      <c r="S111" s="258">
        <f t="shared" si="27"/>
        <v>0</v>
      </c>
      <c r="T111" s="258">
        <f t="shared" si="27"/>
        <v>0</v>
      </c>
    </row>
    <row r="112" spans="1:20">
      <c r="A112" s="1347" t="s">
        <v>880</v>
      </c>
      <c r="B112" s="1348"/>
      <c r="C112" s="1348"/>
      <c r="D112" s="1348"/>
      <c r="E112" s="1348"/>
      <c r="F112" s="1348"/>
      <c r="G112" s="1348"/>
      <c r="H112" s="1348"/>
      <c r="I112" s="1348"/>
      <c r="J112" s="1348"/>
      <c r="K112" s="1348"/>
      <c r="L112" s="1348"/>
      <c r="M112" s="1348"/>
      <c r="N112" s="1349"/>
      <c r="O112" s="241">
        <f>+SUM(O111:T111)</f>
        <v>20.448</v>
      </c>
      <c r="P112" s="242"/>
      <c r="Q112" s="242"/>
      <c r="R112" s="242"/>
      <c r="S112" s="242"/>
      <c r="T112" s="243"/>
    </row>
  </sheetData>
  <mergeCells count="13">
    <mergeCell ref="A109:N109"/>
    <mergeCell ref="A110:N110"/>
    <mergeCell ref="A111:N111"/>
    <mergeCell ref="A112:N112"/>
    <mergeCell ref="A1:T1"/>
    <mergeCell ref="A2:A3"/>
    <mergeCell ref="B2:B3"/>
    <mergeCell ref="C2:D2"/>
    <mergeCell ref="E2:G2"/>
    <mergeCell ref="H2:L2"/>
    <mergeCell ref="M2:M3"/>
    <mergeCell ref="N2:N3"/>
    <mergeCell ref="O2:T2"/>
  </mergeCells>
  <dataValidations disablePrompts="1" count="1">
    <dataValidation type="list" allowBlank="1" showInputMessage="1" showErrorMessage="1" sqref="D23:D44 D96:D108 D91:D94 D6:D21 D47:D62 D64:D79 D82:D89">
      <formula1>$K$2:$K$7</formula1>
    </dataValidation>
  </dataValidations>
  <pageMargins left="0.16" right="0.16" top="0.74803149606299213" bottom="0.7480314960629921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4"/>
  <sheetViews>
    <sheetView showZeros="0" view="pageBreakPreview" topLeftCell="A7" zoomScale="90" zoomScaleSheetLayoutView="90" workbookViewId="0">
      <selection activeCell="G24" sqref="G24"/>
    </sheetView>
  </sheetViews>
  <sheetFormatPr defaultRowHeight="15.75"/>
  <cols>
    <col min="1" max="1" width="9.28515625" style="331" bestFit="1" customWidth="1"/>
    <col min="2" max="2" width="48.5703125" style="331" customWidth="1"/>
    <col min="3" max="3" width="5.85546875" style="331" bestFit="1" customWidth="1"/>
    <col min="4" max="5" width="10.7109375" style="331" bestFit="1" customWidth="1"/>
    <col min="6" max="6" width="11.85546875" style="324" bestFit="1" customWidth="1"/>
    <col min="7" max="7" width="8.7109375" style="331" bestFit="1" customWidth="1"/>
    <col min="8" max="10" width="13.5703125" style="331" bestFit="1" customWidth="1"/>
    <col min="11" max="16384" width="9.140625" style="331"/>
  </cols>
  <sheetData>
    <row r="1" spans="1:19" s="65" customFormat="1" ht="20.25">
      <c r="A1" s="1361" t="s">
        <v>1</v>
      </c>
      <c r="B1" s="1361"/>
      <c r="C1" s="1361"/>
      <c r="D1" s="1361"/>
      <c r="E1" s="1361"/>
      <c r="F1" s="1361"/>
      <c r="G1" s="1361"/>
      <c r="H1" s="1361"/>
    </row>
    <row r="2" spans="1:19" s="219" customFormat="1">
      <c r="A2" s="62" t="s">
        <v>340</v>
      </c>
      <c r="B2" s="62"/>
      <c r="C2" s="62"/>
      <c r="D2" s="62"/>
      <c r="E2" s="62"/>
      <c r="F2" s="447"/>
      <c r="G2" s="62"/>
      <c r="H2" s="62"/>
      <c r="I2" s="62"/>
      <c r="J2" s="62"/>
      <c r="K2" s="218"/>
      <c r="L2" s="218"/>
      <c r="M2" s="218"/>
      <c r="N2" s="218"/>
      <c r="O2" s="218"/>
      <c r="P2" s="218"/>
      <c r="Q2" s="218"/>
      <c r="R2" s="218"/>
      <c r="S2" s="218"/>
    </row>
    <row r="3" spans="1:19" s="65" customFormat="1">
      <c r="A3" s="1362" t="s">
        <v>1358</v>
      </c>
      <c r="B3" s="1362"/>
      <c r="C3" s="1362"/>
      <c r="D3" s="1362"/>
      <c r="E3" s="1362"/>
      <c r="F3" s="79"/>
      <c r="H3" s="62"/>
      <c r="I3" s="1363" t="s">
        <v>1359</v>
      </c>
      <c r="J3" s="1363"/>
    </row>
    <row r="4" spans="1:19" ht="27" customHeight="1">
      <c r="A4" s="1364" t="s">
        <v>1038</v>
      </c>
      <c r="B4" s="1365"/>
      <c r="C4" s="1366" t="s">
        <v>297</v>
      </c>
      <c r="D4" s="1356" t="s">
        <v>1042</v>
      </c>
      <c r="E4" s="1356" t="s">
        <v>1046</v>
      </c>
      <c r="F4" s="1367" t="s">
        <v>1043</v>
      </c>
      <c r="G4" s="1366" t="s">
        <v>1039</v>
      </c>
      <c r="H4" s="1356" t="s">
        <v>1044</v>
      </c>
      <c r="I4" s="1356" t="s">
        <v>1045</v>
      </c>
      <c r="J4" s="1356" t="s">
        <v>1041</v>
      </c>
    </row>
    <row r="5" spans="1:19" ht="25.5" customHeight="1">
      <c r="A5" s="394" t="s">
        <v>1040</v>
      </c>
      <c r="B5" s="394" t="s">
        <v>0</v>
      </c>
      <c r="C5" s="1357"/>
      <c r="D5" s="1357"/>
      <c r="E5" s="1357"/>
      <c r="F5" s="1368"/>
      <c r="G5" s="1357"/>
      <c r="H5" s="1357"/>
      <c r="I5" s="1357"/>
      <c r="J5" s="1357"/>
    </row>
    <row r="6" spans="1:19" ht="20.100000000000001" customHeight="1">
      <c r="A6" s="395">
        <v>1</v>
      </c>
      <c r="B6" s="396" t="s">
        <v>1417</v>
      </c>
      <c r="C6" s="395" t="s">
        <v>347</v>
      </c>
      <c r="D6" s="460">
        <v>193.45</v>
      </c>
      <c r="E6" s="460">
        <f>+MB!G3916</f>
        <v>359.95000000000022</v>
      </c>
      <c r="F6" s="458">
        <f>+E6+D6</f>
        <v>553.4000000000002</v>
      </c>
      <c r="G6" s="329">
        <v>5225</v>
      </c>
      <c r="H6" s="459">
        <f>+G6*D6</f>
        <v>1010776.2499999999</v>
      </c>
      <c r="I6" s="459">
        <f>+G6*E6</f>
        <v>1880738.7500000012</v>
      </c>
      <c r="J6" s="459">
        <f>+G6*F6</f>
        <v>2891515.0000000009</v>
      </c>
    </row>
    <row r="7" spans="1:19" ht="20.100000000000001" customHeight="1">
      <c r="A7" s="395">
        <v>2</v>
      </c>
      <c r="B7" s="396" t="s">
        <v>1418</v>
      </c>
      <c r="C7" s="395" t="s">
        <v>350</v>
      </c>
      <c r="D7" s="397">
        <v>0</v>
      </c>
      <c r="E7" s="397" t="e">
        <f>+MB!#REF!</f>
        <v>#REF!</v>
      </c>
      <c r="F7" s="448" t="e">
        <f>+E7+D7</f>
        <v>#REF!</v>
      </c>
      <c r="G7" s="395">
        <v>800</v>
      </c>
      <c r="H7" s="402">
        <f>+G7*D7</f>
        <v>0</v>
      </c>
      <c r="I7" s="402" t="e">
        <f t="shared" ref="I7:I15" si="0">+G7*E7</f>
        <v>#REF!</v>
      </c>
      <c r="J7" s="402" t="e">
        <f t="shared" ref="J7:J15" si="1">+G7*F7</f>
        <v>#REF!</v>
      </c>
    </row>
    <row r="8" spans="1:19" ht="31.5">
      <c r="A8" s="395">
        <v>3</v>
      </c>
      <c r="B8" s="396" t="s">
        <v>1191</v>
      </c>
      <c r="C8" s="395" t="s">
        <v>350</v>
      </c>
      <c r="D8" s="397">
        <v>0</v>
      </c>
      <c r="E8" s="397" t="e">
        <f>+MB!#REF!</f>
        <v>#REF!</v>
      </c>
      <c r="F8" s="448" t="e">
        <f>+E8+D8</f>
        <v>#REF!</v>
      </c>
      <c r="G8" s="395">
        <v>800</v>
      </c>
      <c r="H8" s="402">
        <f>+G8*D8</f>
        <v>0</v>
      </c>
      <c r="I8" s="402" t="e">
        <f t="shared" si="0"/>
        <v>#REF!</v>
      </c>
      <c r="J8" s="402" t="e">
        <f t="shared" si="1"/>
        <v>#REF!</v>
      </c>
    </row>
    <row r="9" spans="1:19" ht="20.100000000000001" customHeight="1">
      <c r="A9" s="395">
        <v>4</v>
      </c>
      <c r="B9" s="398" t="s">
        <v>1419</v>
      </c>
      <c r="C9" s="395" t="s">
        <v>347</v>
      </c>
      <c r="D9" s="395">
        <v>1.44</v>
      </c>
      <c r="E9" s="395" t="e">
        <f>+MB!#REF!</f>
        <v>#REF!</v>
      </c>
      <c r="F9" s="448" t="e">
        <f t="shared" ref="F9:F15" si="2">+E9+D9</f>
        <v>#REF!</v>
      </c>
      <c r="G9" s="395">
        <v>59000</v>
      </c>
      <c r="H9" s="402">
        <f t="shared" ref="H9:H15" si="3">+G9*D9</f>
        <v>84960</v>
      </c>
      <c r="I9" s="402" t="e">
        <f t="shared" si="0"/>
        <v>#REF!</v>
      </c>
      <c r="J9" s="402" t="e">
        <f t="shared" si="1"/>
        <v>#REF!</v>
      </c>
    </row>
    <row r="10" spans="1:19" ht="20.100000000000001" customHeight="1">
      <c r="A10" s="395">
        <v>5</v>
      </c>
      <c r="B10" s="398" t="s">
        <v>1420</v>
      </c>
      <c r="C10" s="395" t="s">
        <v>414</v>
      </c>
      <c r="D10" s="395">
        <v>0</v>
      </c>
      <c r="E10" s="395" t="e">
        <f>+MB!#REF!</f>
        <v>#REF!</v>
      </c>
      <c r="F10" s="448" t="e">
        <f t="shared" si="2"/>
        <v>#REF!</v>
      </c>
      <c r="G10" s="395">
        <v>250</v>
      </c>
      <c r="H10" s="402">
        <f t="shared" si="3"/>
        <v>0</v>
      </c>
      <c r="I10" s="402" t="e">
        <f t="shared" si="0"/>
        <v>#REF!</v>
      </c>
      <c r="J10" s="402" t="e">
        <f t="shared" si="1"/>
        <v>#REF!</v>
      </c>
    </row>
    <row r="11" spans="1:19" ht="20.100000000000001" customHeight="1">
      <c r="A11" s="395">
        <v>6</v>
      </c>
      <c r="B11" s="398" t="s">
        <v>1421</v>
      </c>
      <c r="C11" s="395" t="s">
        <v>350</v>
      </c>
      <c r="D11" s="395">
        <v>0</v>
      </c>
      <c r="E11" s="395">
        <f>+MB!G4134</f>
        <v>6214.8079999999954</v>
      </c>
      <c r="F11" s="448">
        <f t="shared" si="2"/>
        <v>6214.8079999999954</v>
      </c>
      <c r="G11" s="395">
        <v>75</v>
      </c>
      <c r="H11" s="402">
        <f t="shared" si="3"/>
        <v>0</v>
      </c>
      <c r="I11" s="402">
        <f t="shared" si="0"/>
        <v>466110.59999999969</v>
      </c>
      <c r="J11" s="402">
        <f t="shared" si="1"/>
        <v>466110.59999999969</v>
      </c>
    </row>
    <row r="12" spans="1:19" ht="41.25" customHeight="1">
      <c r="A12" s="395" t="s">
        <v>586</v>
      </c>
      <c r="B12" s="398" t="s">
        <v>1426</v>
      </c>
      <c r="C12" s="395" t="s">
        <v>350</v>
      </c>
      <c r="D12" s="395">
        <v>0</v>
      </c>
      <c r="E12" s="329">
        <f>+MB!G4173</f>
        <v>817.13</v>
      </c>
      <c r="F12" s="458">
        <f t="shared" si="2"/>
        <v>817.13</v>
      </c>
      <c r="G12" s="329">
        <v>1200</v>
      </c>
      <c r="H12" s="459">
        <f t="shared" si="3"/>
        <v>0</v>
      </c>
      <c r="I12" s="459">
        <f t="shared" si="0"/>
        <v>980556</v>
      </c>
      <c r="J12" s="459">
        <f t="shared" si="1"/>
        <v>980556</v>
      </c>
    </row>
    <row r="13" spans="1:19" ht="28.5" customHeight="1">
      <c r="A13" s="395" t="s">
        <v>1208</v>
      </c>
      <c r="B13" s="398" t="s">
        <v>1221</v>
      </c>
      <c r="C13" s="395" t="s">
        <v>350</v>
      </c>
      <c r="D13" s="395">
        <v>0</v>
      </c>
      <c r="E13" s="395">
        <f>+MB!G4200</f>
        <v>1254.3299999999997</v>
      </c>
      <c r="F13" s="448">
        <f t="shared" si="2"/>
        <v>1254.3299999999997</v>
      </c>
      <c r="G13" s="395">
        <v>60</v>
      </c>
      <c r="H13" s="402">
        <f t="shared" si="3"/>
        <v>0</v>
      </c>
      <c r="I13" s="402">
        <f t="shared" si="0"/>
        <v>75259.799999999988</v>
      </c>
      <c r="J13" s="402">
        <f t="shared" si="1"/>
        <v>75259.799999999988</v>
      </c>
    </row>
    <row r="14" spans="1:19" ht="26.25" customHeight="1">
      <c r="A14" s="395" t="s">
        <v>1220</v>
      </c>
      <c r="B14" s="398" t="s">
        <v>1223</v>
      </c>
      <c r="C14" s="395" t="s">
        <v>350</v>
      </c>
      <c r="D14" s="395">
        <v>0</v>
      </c>
      <c r="E14" s="395">
        <f>+MB!G4221</f>
        <v>694.06999999999994</v>
      </c>
      <c r="F14" s="448">
        <f t="shared" si="2"/>
        <v>694.06999999999994</v>
      </c>
      <c r="G14" s="394">
        <v>2750</v>
      </c>
      <c r="H14" s="402">
        <f t="shared" si="3"/>
        <v>0</v>
      </c>
      <c r="I14" s="402">
        <f t="shared" si="0"/>
        <v>1908692.4999999998</v>
      </c>
      <c r="J14" s="402">
        <f t="shared" si="1"/>
        <v>1908692.4999999998</v>
      </c>
    </row>
    <row r="15" spans="1:19" ht="31.5">
      <c r="A15" s="395" t="s">
        <v>1222</v>
      </c>
      <c r="B15" s="398" t="s">
        <v>1225</v>
      </c>
      <c r="C15" s="395" t="s">
        <v>350</v>
      </c>
      <c r="D15" s="395">
        <v>0</v>
      </c>
      <c r="E15" s="395" t="e">
        <f>+MB!#REF!</f>
        <v>#REF!</v>
      </c>
      <c r="F15" s="448" t="e">
        <f t="shared" si="2"/>
        <v>#REF!</v>
      </c>
      <c r="G15" s="394">
        <v>2000</v>
      </c>
      <c r="H15" s="402">
        <f t="shared" si="3"/>
        <v>0</v>
      </c>
      <c r="I15" s="402" t="e">
        <f t="shared" si="0"/>
        <v>#REF!</v>
      </c>
      <c r="J15" s="402" t="e">
        <f t="shared" si="1"/>
        <v>#REF!</v>
      </c>
    </row>
    <row r="16" spans="1:19" ht="20.100000000000001" customHeight="1">
      <c r="A16" s="395" t="s">
        <v>1355</v>
      </c>
      <c r="B16" s="398" t="s">
        <v>1422</v>
      </c>
      <c r="C16" s="395" t="s">
        <v>350</v>
      </c>
      <c r="D16" s="395">
        <v>0</v>
      </c>
      <c r="E16" s="395" t="e">
        <f>+MB!#REF!</f>
        <v>#REF!</v>
      </c>
      <c r="F16" s="448" t="e">
        <f>+E16+D16</f>
        <v>#REF!</v>
      </c>
      <c r="G16" s="394">
        <v>750</v>
      </c>
      <c r="H16" s="402">
        <f>+G16*D16</f>
        <v>0</v>
      </c>
      <c r="I16" s="402" t="e">
        <f>+G16*E16</f>
        <v>#REF!</v>
      </c>
      <c r="J16" s="402" t="e">
        <f>+G16*F16</f>
        <v>#REF!</v>
      </c>
    </row>
    <row r="17" spans="1:10" ht="20.100000000000001" customHeight="1">
      <c r="A17" s="395" t="s">
        <v>1399</v>
      </c>
      <c r="B17" s="398" t="s">
        <v>1423</v>
      </c>
      <c r="C17" s="395" t="s">
        <v>356</v>
      </c>
      <c r="D17" s="395">
        <v>0</v>
      </c>
      <c r="E17" s="395" t="e">
        <f>+MB!#REF!</f>
        <v>#REF!</v>
      </c>
      <c r="F17" s="448" t="e">
        <f>+E17+D17</f>
        <v>#REF!</v>
      </c>
      <c r="G17" s="394">
        <v>160</v>
      </c>
      <c r="H17" s="402">
        <f>+G17*D17</f>
        <v>0</v>
      </c>
      <c r="I17" s="402" t="e">
        <f>+G17*E17</f>
        <v>#REF!</v>
      </c>
      <c r="J17" s="402" t="e">
        <f>+G17*F17</f>
        <v>#REF!</v>
      </c>
    </row>
    <row r="18" spans="1:10" ht="20.100000000000001" customHeight="1">
      <c r="A18" s="395" t="s">
        <v>1411</v>
      </c>
      <c r="B18" s="398" t="s">
        <v>1424</v>
      </c>
      <c r="C18" s="395" t="s">
        <v>350</v>
      </c>
      <c r="D18" s="395">
        <v>0</v>
      </c>
      <c r="E18" s="395">
        <f>+MB!G4268</f>
        <v>25.759999999999998</v>
      </c>
      <c r="F18" s="448">
        <f>+E18+D18</f>
        <v>25.759999999999998</v>
      </c>
      <c r="G18" s="394">
        <v>4500</v>
      </c>
      <c r="H18" s="402">
        <f>+G18*D18</f>
        <v>0</v>
      </c>
      <c r="I18" s="402">
        <f>+G18*E18</f>
        <v>115919.99999999999</v>
      </c>
      <c r="J18" s="402">
        <f>+G18*F18</f>
        <v>115919.99999999999</v>
      </c>
    </row>
    <row r="19" spans="1:10" ht="31.5">
      <c r="A19" s="395" t="s">
        <v>1412</v>
      </c>
      <c r="B19" s="398" t="s">
        <v>1413</v>
      </c>
      <c r="C19" s="395" t="s">
        <v>350</v>
      </c>
      <c r="D19" s="395">
        <v>0</v>
      </c>
      <c r="E19" s="395" t="e">
        <f>+MB!#REF!</f>
        <v>#REF!</v>
      </c>
      <c r="F19" s="448" t="e">
        <f>+E19+D19</f>
        <v>#REF!</v>
      </c>
      <c r="G19" s="394">
        <v>1500</v>
      </c>
      <c r="H19" s="402">
        <f>+G19*D19</f>
        <v>0</v>
      </c>
      <c r="I19" s="402" t="e">
        <f>+G19*E19</f>
        <v>#REF!</v>
      </c>
      <c r="J19" s="402" t="e">
        <f>+G19*F19</f>
        <v>#REF!</v>
      </c>
    </row>
    <row r="20" spans="1:10" ht="18" customHeight="1">
      <c r="A20" s="441"/>
      <c r="B20" s="442"/>
      <c r="C20" s="443"/>
      <c r="D20" s="443"/>
      <c r="E20" s="443"/>
      <c r="F20" s="449"/>
      <c r="G20" s="444"/>
      <c r="H20" s="402"/>
      <c r="I20" s="402"/>
      <c r="J20" s="402"/>
    </row>
    <row r="21" spans="1:10" ht="18" customHeight="1">
      <c r="A21" s="1358" t="s">
        <v>1425</v>
      </c>
      <c r="B21" s="1359"/>
      <c r="C21" s="1359"/>
      <c r="D21" s="1359"/>
      <c r="E21" s="1359"/>
      <c r="F21" s="1359"/>
      <c r="G21" s="1360"/>
      <c r="H21" s="403">
        <f>SUM(H6:H20)</f>
        <v>1095736.25</v>
      </c>
      <c r="I21" s="403" t="e">
        <f>SUM(I6:I20)</f>
        <v>#REF!</v>
      </c>
      <c r="J21" s="403" t="e">
        <f>SUM(J6:J20)</f>
        <v>#REF!</v>
      </c>
    </row>
    <row r="22" spans="1:10">
      <c r="A22" s="399"/>
      <c r="B22" s="399"/>
      <c r="C22" s="400"/>
      <c r="D22" s="400"/>
      <c r="E22" s="400"/>
      <c r="F22" s="450"/>
      <c r="G22" s="400"/>
      <c r="H22" s="399"/>
      <c r="I22" s="399"/>
      <c r="J22" s="399"/>
    </row>
    <row r="23" spans="1:10">
      <c r="A23" s="399"/>
      <c r="B23" s="399"/>
      <c r="C23" s="400"/>
      <c r="D23" s="400"/>
      <c r="E23" s="400"/>
      <c r="F23" s="450"/>
      <c r="G23" s="400"/>
      <c r="H23" s="399"/>
      <c r="I23" s="399"/>
      <c r="J23" s="399"/>
    </row>
    <row r="24" spans="1:10">
      <c r="A24" s="399"/>
      <c r="B24" s="399"/>
      <c r="C24" s="400"/>
      <c r="D24" s="400"/>
      <c r="E24" s="400"/>
      <c r="F24" s="450"/>
      <c r="G24" s="400"/>
      <c r="H24" s="399"/>
      <c r="I24" s="399"/>
      <c r="J24" s="399"/>
    </row>
  </sheetData>
  <mergeCells count="13">
    <mergeCell ref="I4:I5"/>
    <mergeCell ref="J4:J5"/>
    <mergeCell ref="A21:G21"/>
    <mergeCell ref="A1:H1"/>
    <mergeCell ref="A3:E3"/>
    <mergeCell ref="I3:J3"/>
    <mergeCell ref="A4:B4"/>
    <mergeCell ref="C4:C5"/>
    <mergeCell ref="D4:D5"/>
    <mergeCell ref="E4:E5"/>
    <mergeCell ref="F4:F5"/>
    <mergeCell ref="G4:G5"/>
    <mergeCell ref="H4:H5"/>
  </mergeCells>
  <pageMargins left="0.16" right="0.17" top="0.22" bottom="0.36" header="0.22" footer="0.15"/>
  <pageSetup paperSize="9" scale="98"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332"/>
  <sheetViews>
    <sheetView showZeros="0" view="pageBreakPreview" zoomScale="85" zoomScaleSheetLayoutView="85" workbookViewId="0">
      <pane ySplit="5" topLeftCell="A6" activePane="bottomLeft" state="frozen"/>
      <selection activeCell="H3" sqref="H3"/>
      <selection pane="bottomLeft" activeCell="L12" sqref="L12"/>
    </sheetView>
  </sheetViews>
  <sheetFormatPr defaultRowHeight="14.25"/>
  <cols>
    <col min="1" max="1" width="6.42578125" style="84" customWidth="1"/>
    <col min="2" max="2" width="31" style="84" customWidth="1"/>
    <col min="3" max="3" width="6.28515625" style="84" bestFit="1" customWidth="1"/>
    <col min="4" max="10" width="10.28515625" style="84" customWidth="1"/>
    <col min="11" max="11" width="9.5703125" style="84" bestFit="1" customWidth="1"/>
    <col min="12" max="12" width="9.5703125" style="83" bestFit="1" customWidth="1"/>
    <col min="13" max="13" width="6.28515625" style="84" bestFit="1" customWidth="1"/>
    <col min="14" max="14" width="9.140625" style="84"/>
    <col min="15" max="15" width="9.7109375" style="84" bestFit="1" customWidth="1"/>
    <col min="16" max="16384" width="9.140625" style="84"/>
  </cols>
  <sheetData>
    <row r="1" spans="1:18" ht="22.5" customHeight="1">
      <c r="A1" s="1063" t="s">
        <v>1</v>
      </c>
      <c r="B1" s="1063"/>
      <c r="C1" s="1063"/>
      <c r="D1" s="1063"/>
      <c r="E1" s="1063"/>
      <c r="F1" s="1063"/>
      <c r="G1" s="1063"/>
      <c r="H1" s="1063"/>
      <c r="I1" s="1063"/>
      <c r="J1" s="1063"/>
      <c r="K1" s="1063"/>
    </row>
    <row r="2" spans="1:18" ht="23.25" customHeight="1">
      <c r="A2" s="62" t="s">
        <v>2426</v>
      </c>
      <c r="B2" s="62"/>
      <c r="C2" s="62"/>
      <c r="D2" s="62"/>
      <c r="E2" s="62"/>
      <c r="F2" s="62"/>
      <c r="G2" s="62"/>
      <c r="H2" s="62"/>
      <c r="I2" s="62"/>
      <c r="J2" s="62"/>
      <c r="K2" s="62"/>
    </row>
    <row r="3" spans="1:18" ht="34.5" customHeight="1" thickBot="1">
      <c r="A3" s="1064" t="s">
        <v>2427</v>
      </c>
      <c r="B3" s="1064"/>
      <c r="C3" s="1064"/>
      <c r="D3" s="1064"/>
      <c r="E3" s="1064"/>
      <c r="F3" s="1064"/>
      <c r="G3" s="1064"/>
      <c r="H3" s="1064"/>
      <c r="I3" s="1064"/>
      <c r="J3" s="1064"/>
      <c r="K3" s="1346" t="s">
        <v>2554</v>
      </c>
      <c r="L3" s="1346"/>
      <c r="M3" s="1346"/>
    </row>
    <row r="4" spans="1:18" ht="18.75" customHeight="1">
      <c r="A4" s="1370" t="s">
        <v>597</v>
      </c>
      <c r="B4" s="1370" t="s">
        <v>0</v>
      </c>
      <c r="C4" s="1370" t="s">
        <v>27</v>
      </c>
      <c r="D4" s="1370" t="s">
        <v>595</v>
      </c>
      <c r="E4" s="1370"/>
      <c r="F4" s="1370"/>
      <c r="G4" s="1370"/>
      <c r="H4" s="1370"/>
      <c r="I4" s="1370"/>
      <c r="J4" s="85"/>
      <c r="K4" s="1370" t="s">
        <v>598</v>
      </c>
      <c r="L4" s="1369" t="s">
        <v>599</v>
      </c>
      <c r="M4" s="1370" t="s">
        <v>27</v>
      </c>
    </row>
    <row r="5" spans="1:18" ht="34.5" customHeight="1">
      <c r="A5" s="1370"/>
      <c r="B5" s="1370"/>
      <c r="C5" s="1370"/>
      <c r="D5" s="85" t="s">
        <v>600</v>
      </c>
      <c r="E5" s="85" t="s">
        <v>601</v>
      </c>
      <c r="F5" s="85" t="s">
        <v>602</v>
      </c>
      <c r="G5" s="85" t="s">
        <v>603</v>
      </c>
      <c r="H5" s="85" t="s">
        <v>604</v>
      </c>
      <c r="I5" s="85" t="s">
        <v>605</v>
      </c>
      <c r="J5" s="85" t="s">
        <v>606</v>
      </c>
      <c r="K5" s="1370"/>
      <c r="L5" s="1369"/>
      <c r="M5" s="1370"/>
    </row>
    <row r="6" spans="1:18" ht="22.5" customHeight="1">
      <c r="A6" s="86">
        <v>1</v>
      </c>
      <c r="B6" s="87" t="s">
        <v>298</v>
      </c>
      <c r="C6" s="88" t="s">
        <v>301</v>
      </c>
      <c r="D6" s="260">
        <v>0</v>
      </c>
      <c r="E6" s="260">
        <v>1.27</v>
      </c>
      <c r="F6" s="260">
        <v>6.7229999999999999</v>
      </c>
      <c r="G6" s="260">
        <v>0.50700000000000001</v>
      </c>
      <c r="H6" s="260">
        <v>0.79</v>
      </c>
      <c r="I6" s="260">
        <v>0</v>
      </c>
      <c r="J6" s="260">
        <v>0</v>
      </c>
      <c r="K6" s="261">
        <f t="shared" ref="K6:K13" si="0">SUM(D6:J6)</f>
        <v>9.2899999999999991</v>
      </c>
      <c r="L6" s="89">
        <f t="shared" ref="L6:L13" si="1">K6</f>
        <v>9.2899999999999991</v>
      </c>
      <c r="M6" s="260" t="s">
        <v>301</v>
      </c>
    </row>
    <row r="7" spans="1:18" ht="33.75" customHeight="1">
      <c r="A7" s="86">
        <v>2</v>
      </c>
      <c r="B7" s="90" t="s">
        <v>607</v>
      </c>
      <c r="C7" s="88" t="s">
        <v>301</v>
      </c>
      <c r="D7" s="261">
        <v>3.4140000000000001</v>
      </c>
      <c r="E7" s="261">
        <v>0</v>
      </c>
      <c r="F7" s="261">
        <v>0</v>
      </c>
      <c r="G7" s="261">
        <v>6.8170000000000002</v>
      </c>
      <c r="H7" s="261">
        <v>0</v>
      </c>
      <c r="I7" s="261">
        <v>0</v>
      </c>
      <c r="J7" s="261">
        <v>0</v>
      </c>
      <c r="K7" s="261">
        <f t="shared" si="0"/>
        <v>10.231</v>
      </c>
      <c r="L7" s="89">
        <f t="shared" si="1"/>
        <v>10.231</v>
      </c>
      <c r="M7" s="260" t="s">
        <v>301</v>
      </c>
    </row>
    <row r="8" spans="1:18" ht="22.5" customHeight="1">
      <c r="A8" s="86">
        <v>3</v>
      </c>
      <c r="B8" s="90" t="s">
        <v>338</v>
      </c>
      <c r="C8" s="88" t="s">
        <v>301</v>
      </c>
      <c r="D8" s="261">
        <v>4.6070000000000002</v>
      </c>
      <c r="E8" s="261">
        <v>0.54600000000000004</v>
      </c>
      <c r="F8" s="261">
        <v>8.4049999999999994</v>
      </c>
      <c r="G8" s="261">
        <v>2.7519999999999998</v>
      </c>
      <c r="H8" s="261">
        <v>0</v>
      </c>
      <c r="I8" s="261">
        <v>0</v>
      </c>
      <c r="J8" s="261">
        <v>0</v>
      </c>
      <c r="K8" s="261">
        <f t="shared" si="0"/>
        <v>16.309999999999999</v>
      </c>
      <c r="L8" s="89">
        <f t="shared" si="1"/>
        <v>16.309999999999999</v>
      </c>
      <c r="M8" s="260" t="s">
        <v>301</v>
      </c>
      <c r="N8" s="116"/>
    </row>
    <row r="9" spans="1:18" ht="22.5" customHeight="1">
      <c r="A9" s="86">
        <v>4</v>
      </c>
      <c r="B9" s="90" t="s">
        <v>973</v>
      </c>
      <c r="C9" s="88" t="s">
        <v>301</v>
      </c>
      <c r="D9" s="261">
        <v>0</v>
      </c>
      <c r="E9" s="261">
        <v>0</v>
      </c>
      <c r="F9" s="261">
        <v>2.97</v>
      </c>
      <c r="G9" s="261">
        <v>0</v>
      </c>
      <c r="H9" s="261">
        <v>0</v>
      </c>
      <c r="I9" s="261">
        <v>0</v>
      </c>
      <c r="J9" s="261">
        <v>0</v>
      </c>
      <c r="K9" s="261">
        <f t="shared" si="0"/>
        <v>2.97</v>
      </c>
      <c r="L9" s="89">
        <f t="shared" si="1"/>
        <v>2.97</v>
      </c>
      <c r="M9" s="260" t="s">
        <v>301</v>
      </c>
      <c r="N9" s="116"/>
    </row>
    <row r="10" spans="1:18" ht="22.5" customHeight="1">
      <c r="A10" s="86">
        <v>5</v>
      </c>
      <c r="B10" s="90" t="s">
        <v>936</v>
      </c>
      <c r="C10" s="88" t="s">
        <v>301</v>
      </c>
      <c r="D10" s="261">
        <v>6.133</v>
      </c>
      <c r="E10" s="261">
        <v>0</v>
      </c>
      <c r="F10" s="261">
        <v>0</v>
      </c>
      <c r="G10" s="261">
        <v>0</v>
      </c>
      <c r="H10" s="261">
        <v>0</v>
      </c>
      <c r="I10" s="261">
        <v>0</v>
      </c>
      <c r="J10" s="261">
        <v>0</v>
      </c>
      <c r="K10" s="261">
        <f t="shared" si="0"/>
        <v>6.133</v>
      </c>
      <c r="L10" s="89">
        <f t="shared" si="1"/>
        <v>6.133</v>
      </c>
      <c r="M10" s="260" t="s">
        <v>301</v>
      </c>
      <c r="N10" s="116"/>
    </row>
    <row r="11" spans="1:18" ht="29.25" customHeight="1">
      <c r="A11" s="86">
        <v>6</v>
      </c>
      <c r="B11" s="90" t="s">
        <v>1035</v>
      </c>
      <c r="C11" s="88" t="s">
        <v>301</v>
      </c>
      <c r="D11" s="261">
        <v>14.333</v>
      </c>
      <c r="E11" s="261">
        <v>0</v>
      </c>
      <c r="F11" s="261">
        <v>5.2530000000000001</v>
      </c>
      <c r="G11" s="261">
        <v>0</v>
      </c>
      <c r="H11" s="261">
        <v>0</v>
      </c>
      <c r="I11" s="261">
        <v>0</v>
      </c>
      <c r="J11" s="261">
        <v>0</v>
      </c>
      <c r="K11" s="261">
        <f t="shared" si="0"/>
        <v>19.585999999999999</v>
      </c>
      <c r="L11" s="89">
        <f t="shared" si="1"/>
        <v>19.585999999999999</v>
      </c>
      <c r="M11" s="260" t="s">
        <v>301</v>
      </c>
      <c r="N11" s="116"/>
    </row>
    <row r="12" spans="1:18" ht="29.25" customHeight="1">
      <c r="A12" s="864">
        <v>7</v>
      </c>
      <c r="B12" s="865" t="s">
        <v>1186</v>
      </c>
      <c r="C12" s="866" t="s">
        <v>301</v>
      </c>
      <c r="D12" s="867">
        <v>1.3160000000000001</v>
      </c>
      <c r="E12" s="867"/>
      <c r="F12" s="867"/>
      <c r="G12" s="867"/>
      <c r="H12" s="867"/>
      <c r="I12" s="867"/>
      <c r="J12" s="867"/>
      <c r="K12" s="867">
        <f t="shared" si="0"/>
        <v>1.3160000000000001</v>
      </c>
      <c r="L12" s="868">
        <f t="shared" si="1"/>
        <v>1.3160000000000001</v>
      </c>
      <c r="M12" s="868" t="s">
        <v>301</v>
      </c>
      <c r="N12" s="116"/>
    </row>
    <row r="13" spans="1:18" ht="22.5" customHeight="1">
      <c r="A13" s="864">
        <v>8</v>
      </c>
      <c r="B13" s="865" t="s">
        <v>1795</v>
      </c>
      <c r="C13" s="866" t="s">
        <v>301</v>
      </c>
      <c r="D13" s="867">
        <v>0.159</v>
      </c>
      <c r="E13" s="867">
        <v>0.24</v>
      </c>
      <c r="F13" s="867"/>
      <c r="G13" s="867">
        <v>0.20100000000000001</v>
      </c>
      <c r="H13" s="867"/>
      <c r="I13" s="867"/>
      <c r="J13" s="867"/>
      <c r="K13" s="867">
        <f t="shared" si="0"/>
        <v>0.60000000000000009</v>
      </c>
      <c r="L13" s="868">
        <f t="shared" si="1"/>
        <v>0.60000000000000009</v>
      </c>
      <c r="M13" s="868" t="s">
        <v>301</v>
      </c>
      <c r="N13" s="116"/>
      <c r="R13" s="83"/>
    </row>
    <row r="14" spans="1:18" ht="21" customHeight="1">
      <c r="A14" s="863"/>
      <c r="B14" s="869" t="s">
        <v>598</v>
      </c>
      <c r="C14" s="870" t="s">
        <v>301</v>
      </c>
      <c r="D14" s="871">
        <f t="shared" ref="D14:L14" si="2">SUM(D6:D13)</f>
        <v>29.962</v>
      </c>
      <c r="E14" s="871">
        <f t="shared" si="2"/>
        <v>2.056</v>
      </c>
      <c r="F14" s="871">
        <f t="shared" si="2"/>
        <v>23.350999999999999</v>
      </c>
      <c r="G14" s="871">
        <f t="shared" si="2"/>
        <v>10.277000000000001</v>
      </c>
      <c r="H14" s="871">
        <f t="shared" si="2"/>
        <v>0.79</v>
      </c>
      <c r="I14" s="871">
        <f t="shared" si="2"/>
        <v>0</v>
      </c>
      <c r="J14" s="871">
        <f t="shared" si="2"/>
        <v>0</v>
      </c>
      <c r="K14" s="871">
        <f t="shared" si="2"/>
        <v>66.436000000000007</v>
      </c>
      <c r="L14" s="871">
        <f t="shared" si="2"/>
        <v>66.436000000000007</v>
      </c>
      <c r="M14" s="872" t="s">
        <v>301</v>
      </c>
      <c r="P14" s="83"/>
      <c r="Q14" s="83"/>
      <c r="R14" s="83"/>
    </row>
    <row r="15" spans="1:18" ht="19.5" customHeight="1">
      <c r="A15" s="91"/>
      <c r="B15" s="92"/>
      <c r="C15" s="92"/>
      <c r="D15" s="93"/>
      <c r="E15" s="93"/>
      <c r="F15" s="93"/>
      <c r="G15" s="93"/>
      <c r="H15" s="93"/>
      <c r="I15" s="93"/>
      <c r="J15" s="93"/>
      <c r="K15" s="93"/>
    </row>
    <row r="16" spans="1:18" s="82" customFormat="1" ht="19.5" customHeight="1">
      <c r="A16" s="91"/>
      <c r="B16" s="91"/>
      <c r="C16" s="91"/>
      <c r="D16" s="91"/>
      <c r="E16" s="91"/>
      <c r="F16" s="94"/>
      <c r="G16" s="91"/>
      <c r="H16" s="91"/>
      <c r="I16" s="91"/>
      <c r="J16" s="91"/>
      <c r="K16" s="91"/>
      <c r="L16" s="83"/>
      <c r="M16" s="84"/>
    </row>
    <row r="17" spans="1:13" s="82" customFormat="1" ht="19.5" customHeight="1">
      <c r="A17" s="91"/>
      <c r="B17" s="91"/>
      <c r="C17" s="91"/>
      <c r="D17" s="94"/>
      <c r="E17" s="91"/>
      <c r="F17" s="94"/>
      <c r="G17" s="94"/>
      <c r="H17" s="91"/>
      <c r="I17" s="91"/>
      <c r="J17" s="91"/>
      <c r="K17" s="93"/>
      <c r="L17" s="83"/>
      <c r="M17" s="84"/>
    </row>
    <row r="18" spans="1:13" s="82" customFormat="1" ht="19.5" customHeight="1">
      <c r="A18" s="91"/>
      <c r="B18" s="91"/>
      <c r="C18" s="91"/>
      <c r="D18" s="91"/>
      <c r="E18" s="91"/>
      <c r="F18" s="91"/>
      <c r="G18" s="91"/>
      <c r="H18" s="91"/>
      <c r="I18" s="91"/>
      <c r="J18" s="91"/>
      <c r="K18" s="91"/>
      <c r="L18" s="83"/>
      <c r="M18" s="84"/>
    </row>
    <row r="19" spans="1:13" s="82" customFormat="1" ht="19.5" customHeight="1">
      <c r="A19" s="91"/>
      <c r="B19" s="91"/>
      <c r="C19" s="91"/>
      <c r="D19" s="91"/>
      <c r="E19" s="91"/>
      <c r="F19" s="91"/>
      <c r="G19" s="91"/>
      <c r="H19" s="91"/>
      <c r="I19" s="91"/>
      <c r="J19" s="91"/>
      <c r="K19" s="91"/>
      <c r="L19" s="83"/>
      <c r="M19" s="84"/>
    </row>
    <row r="20" spans="1:13" s="82" customFormat="1" ht="19.5" customHeight="1">
      <c r="A20" s="91"/>
      <c r="B20" s="91"/>
      <c r="C20" s="91"/>
      <c r="D20" s="91"/>
      <c r="E20" s="91"/>
      <c r="F20" s="91"/>
      <c r="G20" s="91"/>
      <c r="H20" s="91"/>
      <c r="I20" s="91"/>
      <c r="J20" s="91"/>
      <c r="K20" s="91"/>
      <c r="L20" s="83"/>
      <c r="M20" s="84"/>
    </row>
    <row r="21" spans="1:13" s="82" customFormat="1" ht="19.5" customHeight="1">
      <c r="A21" s="91"/>
      <c r="B21" s="91"/>
      <c r="C21" s="91"/>
      <c r="D21" s="91"/>
      <c r="E21" s="91"/>
      <c r="F21" s="91"/>
      <c r="G21" s="91"/>
      <c r="H21" s="91"/>
      <c r="I21" s="91"/>
      <c r="J21" s="91"/>
      <c r="K21" s="91"/>
      <c r="L21" s="83"/>
      <c r="M21" s="84"/>
    </row>
    <row r="22" spans="1:13" s="82" customFormat="1" ht="19.5" customHeight="1">
      <c r="A22" s="91"/>
      <c r="B22" s="91"/>
      <c r="C22" s="91"/>
      <c r="D22" s="91"/>
      <c r="E22" s="91"/>
      <c r="F22" s="91"/>
      <c r="G22" s="91"/>
      <c r="H22" s="91"/>
      <c r="I22" s="91"/>
      <c r="J22" s="91"/>
      <c r="K22" s="91"/>
      <c r="L22" s="83"/>
      <c r="M22" s="84"/>
    </row>
    <row r="23" spans="1:13" s="82" customFormat="1" ht="19.5" customHeight="1">
      <c r="A23" s="91"/>
      <c r="B23" s="91"/>
      <c r="C23" s="91"/>
      <c r="D23" s="91"/>
      <c r="E23" s="91"/>
      <c r="F23" s="91"/>
      <c r="G23" s="91"/>
      <c r="H23" s="91"/>
      <c r="I23" s="91"/>
      <c r="J23" s="91"/>
      <c r="K23" s="91"/>
      <c r="L23" s="83"/>
      <c r="M23" s="84"/>
    </row>
    <row r="24" spans="1:13" s="82" customFormat="1" ht="19.5" customHeight="1">
      <c r="A24" s="91"/>
      <c r="B24" s="91"/>
      <c r="C24" s="91"/>
      <c r="D24" s="91"/>
      <c r="E24" s="91"/>
      <c r="F24" s="91"/>
      <c r="G24" s="91"/>
      <c r="H24" s="91"/>
      <c r="I24" s="91"/>
      <c r="J24" s="91"/>
      <c r="K24" s="91"/>
      <c r="L24" s="83"/>
      <c r="M24" s="84"/>
    </row>
    <row r="25" spans="1:13" s="82" customFormat="1" ht="19.5" customHeight="1">
      <c r="A25" s="91"/>
      <c r="B25" s="91"/>
      <c r="C25" s="91"/>
      <c r="D25" s="91"/>
      <c r="E25" s="91"/>
      <c r="F25" s="91"/>
      <c r="G25" s="91"/>
      <c r="H25" s="91"/>
      <c r="I25" s="91"/>
      <c r="J25" s="91"/>
      <c r="K25" s="91"/>
      <c r="L25" s="83"/>
      <c r="M25" s="84"/>
    </row>
    <row r="26" spans="1:13" s="82" customFormat="1" ht="19.5" customHeight="1">
      <c r="A26" s="91"/>
      <c r="B26" s="91"/>
      <c r="C26" s="91"/>
      <c r="D26" s="91"/>
      <c r="E26" s="91"/>
      <c r="F26" s="91"/>
      <c r="G26" s="91"/>
      <c r="H26" s="91"/>
      <c r="I26" s="91"/>
      <c r="J26" s="91"/>
      <c r="K26" s="91"/>
      <c r="L26" s="83"/>
      <c r="M26" s="84"/>
    </row>
    <row r="27" spans="1:13" s="82" customFormat="1" ht="19.5" customHeight="1">
      <c r="A27" s="91"/>
      <c r="B27" s="91"/>
      <c r="C27" s="91"/>
      <c r="D27" s="91"/>
      <c r="E27" s="91"/>
      <c r="F27" s="91"/>
      <c r="G27" s="91"/>
      <c r="H27" s="91"/>
      <c r="I27" s="91"/>
      <c r="J27" s="91"/>
      <c r="K27" s="91"/>
      <c r="L27" s="83"/>
      <c r="M27" s="84"/>
    </row>
    <row r="28" spans="1:13" s="82" customFormat="1" ht="19.5" customHeight="1">
      <c r="A28" s="91"/>
      <c r="B28" s="91"/>
      <c r="C28" s="91"/>
      <c r="D28" s="91"/>
      <c r="E28" s="91"/>
      <c r="F28" s="91"/>
      <c r="G28" s="91"/>
      <c r="H28" s="91"/>
      <c r="I28" s="91"/>
      <c r="J28" s="91"/>
      <c r="K28" s="91"/>
      <c r="L28" s="83"/>
      <c r="M28" s="84"/>
    </row>
    <row r="29" spans="1:13" s="82" customFormat="1" ht="19.5" customHeight="1">
      <c r="A29" s="91"/>
      <c r="B29" s="91"/>
      <c r="C29" s="91"/>
      <c r="D29" s="91"/>
      <c r="E29" s="91"/>
      <c r="F29" s="91"/>
      <c r="G29" s="91"/>
      <c r="H29" s="91"/>
      <c r="I29" s="91"/>
      <c r="J29" s="91"/>
      <c r="K29" s="91"/>
      <c r="L29" s="83"/>
      <c r="M29" s="84"/>
    </row>
    <row r="30" spans="1:13" s="82" customFormat="1" ht="19.5" customHeight="1">
      <c r="A30" s="91"/>
      <c r="B30" s="91"/>
      <c r="C30" s="91"/>
      <c r="D30" s="91"/>
      <c r="E30" s="91"/>
      <c r="F30" s="91"/>
      <c r="G30" s="91"/>
      <c r="H30" s="91"/>
      <c r="I30" s="91"/>
      <c r="J30" s="91"/>
      <c r="K30" s="91"/>
      <c r="L30" s="83"/>
      <c r="M30" s="84"/>
    </row>
    <row r="31" spans="1:13" s="82" customFormat="1" ht="19.5" customHeight="1">
      <c r="A31" s="91"/>
      <c r="B31" s="91"/>
      <c r="C31" s="91"/>
      <c r="D31" s="91"/>
      <c r="E31" s="91"/>
      <c r="F31" s="91"/>
      <c r="G31" s="91"/>
      <c r="H31" s="91"/>
      <c r="I31" s="91"/>
      <c r="J31" s="91"/>
      <c r="K31" s="91"/>
      <c r="L31" s="83"/>
      <c r="M31" s="84"/>
    </row>
    <row r="32" spans="1:13" s="82" customFormat="1" ht="19.5" customHeight="1">
      <c r="A32" s="91"/>
      <c r="B32" s="91"/>
      <c r="C32" s="91"/>
      <c r="D32" s="91"/>
      <c r="E32" s="91"/>
      <c r="F32" s="91"/>
      <c r="G32" s="91"/>
      <c r="H32" s="91"/>
      <c r="I32" s="91"/>
      <c r="J32" s="91"/>
      <c r="K32" s="91"/>
      <c r="L32" s="83"/>
      <c r="M32" s="84"/>
    </row>
    <row r="33" spans="1:13" s="82" customFormat="1" ht="19.5" customHeight="1">
      <c r="A33" s="91"/>
      <c r="B33" s="91"/>
      <c r="C33" s="91"/>
      <c r="D33" s="91"/>
      <c r="E33" s="91"/>
      <c r="F33" s="91"/>
      <c r="G33" s="91"/>
      <c r="H33" s="91"/>
      <c r="I33" s="91"/>
      <c r="J33" s="91"/>
      <c r="K33" s="91"/>
      <c r="L33" s="83"/>
      <c r="M33" s="84"/>
    </row>
    <row r="34" spans="1:13" s="82" customFormat="1" ht="19.5" customHeight="1">
      <c r="A34" s="91"/>
      <c r="B34" s="91"/>
      <c r="C34" s="91"/>
      <c r="D34" s="91"/>
      <c r="E34" s="91"/>
      <c r="F34" s="91"/>
      <c r="G34" s="91"/>
      <c r="H34" s="91"/>
      <c r="I34" s="91"/>
      <c r="J34" s="91"/>
      <c r="K34" s="91"/>
      <c r="L34" s="83"/>
      <c r="M34" s="84"/>
    </row>
    <row r="35" spans="1:13" s="82" customFormat="1" ht="19.5" customHeight="1">
      <c r="A35" s="91"/>
      <c r="B35" s="91"/>
      <c r="C35" s="91"/>
      <c r="D35" s="91"/>
      <c r="E35" s="91"/>
      <c r="F35" s="91"/>
      <c r="G35" s="91"/>
      <c r="H35" s="91"/>
      <c r="I35" s="91"/>
      <c r="J35" s="91"/>
      <c r="K35" s="91"/>
      <c r="L35" s="83"/>
      <c r="M35" s="84"/>
    </row>
    <row r="36" spans="1:13" s="82" customFormat="1" ht="19.5" customHeight="1">
      <c r="A36" s="91"/>
      <c r="B36" s="91"/>
      <c r="C36" s="91"/>
      <c r="D36" s="91"/>
      <c r="E36" s="91"/>
      <c r="F36" s="91"/>
      <c r="G36" s="91"/>
      <c r="H36" s="91"/>
      <c r="I36" s="91"/>
      <c r="J36" s="91"/>
      <c r="K36" s="91"/>
      <c r="L36" s="83"/>
      <c r="M36" s="84"/>
    </row>
    <row r="37" spans="1:13" s="82" customFormat="1">
      <c r="A37" s="91"/>
      <c r="B37" s="91"/>
      <c r="C37" s="91"/>
      <c r="D37" s="91"/>
      <c r="E37" s="91"/>
      <c r="F37" s="91"/>
      <c r="G37" s="91"/>
      <c r="H37" s="91"/>
      <c r="I37" s="91"/>
      <c r="J37" s="91"/>
      <c r="K37" s="91"/>
      <c r="L37" s="83"/>
      <c r="M37" s="84"/>
    </row>
    <row r="38" spans="1:13" s="82" customFormat="1">
      <c r="A38" s="91"/>
      <c r="B38" s="91"/>
      <c r="C38" s="91"/>
      <c r="D38" s="91"/>
      <c r="E38" s="91"/>
      <c r="F38" s="91"/>
      <c r="G38" s="91"/>
      <c r="H38" s="91"/>
      <c r="I38" s="91"/>
      <c r="J38" s="91"/>
      <c r="K38" s="91"/>
      <c r="L38" s="83"/>
      <c r="M38" s="84"/>
    </row>
    <row r="39" spans="1:13" s="82" customFormat="1">
      <c r="A39" s="91"/>
      <c r="B39" s="91"/>
      <c r="C39" s="91"/>
      <c r="D39" s="91"/>
      <c r="E39" s="91"/>
      <c r="F39" s="91"/>
      <c r="G39" s="91"/>
      <c r="H39" s="91"/>
      <c r="I39" s="91"/>
      <c r="J39" s="91"/>
      <c r="K39" s="91"/>
      <c r="L39" s="83"/>
      <c r="M39" s="84"/>
    </row>
    <row r="40" spans="1:13" s="82" customFormat="1">
      <c r="A40" s="91"/>
      <c r="B40" s="91"/>
      <c r="C40" s="91"/>
      <c r="D40" s="91"/>
      <c r="E40" s="91"/>
      <c r="F40" s="91"/>
      <c r="G40" s="91"/>
      <c r="H40" s="91"/>
      <c r="I40" s="91"/>
      <c r="J40" s="91"/>
      <c r="K40" s="91"/>
      <c r="L40" s="83"/>
      <c r="M40" s="84"/>
    </row>
    <row r="41" spans="1:13" s="82" customFormat="1">
      <c r="A41" s="91"/>
      <c r="B41" s="91"/>
      <c r="C41" s="91"/>
      <c r="D41" s="91"/>
      <c r="E41" s="91"/>
      <c r="F41" s="91"/>
      <c r="G41" s="91"/>
      <c r="H41" s="91"/>
      <c r="I41" s="91"/>
      <c r="J41" s="91"/>
      <c r="K41" s="91"/>
      <c r="L41" s="83"/>
      <c r="M41" s="84"/>
    </row>
    <row r="42" spans="1:13" s="82" customFormat="1">
      <c r="A42" s="91"/>
      <c r="B42" s="91"/>
      <c r="C42" s="91"/>
      <c r="D42" s="91"/>
      <c r="E42" s="91"/>
      <c r="F42" s="91"/>
      <c r="G42" s="91"/>
      <c r="H42" s="91"/>
      <c r="I42" s="91"/>
      <c r="J42" s="91"/>
      <c r="K42" s="91"/>
      <c r="L42" s="83"/>
      <c r="M42" s="84"/>
    </row>
    <row r="43" spans="1:13" s="82" customFormat="1">
      <c r="A43" s="91"/>
      <c r="B43" s="91"/>
      <c r="C43" s="91"/>
      <c r="D43" s="91"/>
      <c r="E43" s="91"/>
      <c r="F43" s="91"/>
      <c r="G43" s="91"/>
      <c r="H43" s="91"/>
      <c r="I43" s="91"/>
      <c r="J43" s="91"/>
      <c r="K43" s="91"/>
      <c r="L43" s="83"/>
      <c r="M43" s="84"/>
    </row>
    <row r="44" spans="1:13" s="82" customFormat="1">
      <c r="A44" s="91"/>
      <c r="B44" s="91"/>
      <c r="C44" s="91"/>
      <c r="D44" s="91"/>
      <c r="E44" s="91"/>
      <c r="F44" s="91"/>
      <c r="G44" s="91"/>
      <c r="H44" s="91"/>
      <c r="I44" s="91"/>
      <c r="J44" s="91"/>
      <c r="K44" s="91"/>
      <c r="L44" s="83"/>
      <c r="M44" s="84"/>
    </row>
    <row r="45" spans="1:13" s="82" customFormat="1">
      <c r="A45" s="91"/>
      <c r="B45" s="91"/>
      <c r="C45" s="91"/>
      <c r="D45" s="91"/>
      <c r="E45" s="91"/>
      <c r="F45" s="91"/>
      <c r="G45" s="91"/>
      <c r="H45" s="91"/>
      <c r="I45" s="91"/>
      <c r="J45" s="91"/>
      <c r="K45" s="91"/>
      <c r="L45" s="83"/>
      <c r="M45" s="84"/>
    </row>
    <row r="46" spans="1:13" s="82" customFormat="1">
      <c r="A46" s="91"/>
      <c r="B46" s="91"/>
      <c r="C46" s="91"/>
      <c r="D46" s="91"/>
      <c r="E46" s="91"/>
      <c r="F46" s="91"/>
      <c r="G46" s="91"/>
      <c r="H46" s="91"/>
      <c r="I46" s="91"/>
      <c r="J46" s="91"/>
      <c r="K46" s="91"/>
      <c r="L46" s="83"/>
      <c r="M46" s="84"/>
    </row>
    <row r="47" spans="1:13" s="82" customFormat="1">
      <c r="A47" s="91"/>
      <c r="B47" s="91"/>
      <c r="C47" s="91"/>
      <c r="D47" s="91"/>
      <c r="E47" s="91"/>
      <c r="F47" s="91"/>
      <c r="G47" s="91"/>
      <c r="H47" s="91"/>
      <c r="I47" s="91"/>
      <c r="J47" s="91"/>
      <c r="K47" s="91"/>
      <c r="L47" s="83"/>
      <c r="M47" s="84"/>
    </row>
    <row r="48" spans="1:13" s="82" customFormat="1">
      <c r="A48" s="91"/>
      <c r="B48" s="91"/>
      <c r="C48" s="91"/>
      <c r="D48" s="91"/>
      <c r="E48" s="91"/>
      <c r="F48" s="91"/>
      <c r="G48" s="91"/>
      <c r="H48" s="91"/>
      <c r="I48" s="91"/>
      <c r="J48" s="91"/>
      <c r="K48" s="91"/>
      <c r="L48" s="83"/>
      <c r="M48" s="84"/>
    </row>
    <row r="49" spans="1:13" s="82" customFormat="1">
      <c r="A49" s="91"/>
      <c r="B49" s="91"/>
      <c r="C49" s="91"/>
      <c r="D49" s="91"/>
      <c r="E49" s="91"/>
      <c r="F49" s="91"/>
      <c r="G49" s="91"/>
      <c r="H49" s="91"/>
      <c r="I49" s="91"/>
      <c r="J49" s="91"/>
      <c r="K49" s="91"/>
      <c r="L49" s="83"/>
      <c r="M49" s="84"/>
    </row>
    <row r="50" spans="1:13" s="82" customFormat="1">
      <c r="A50" s="91"/>
      <c r="B50" s="91"/>
      <c r="C50" s="91"/>
      <c r="D50" s="91"/>
      <c r="E50" s="91"/>
      <c r="F50" s="91"/>
      <c r="G50" s="91"/>
      <c r="H50" s="91"/>
      <c r="I50" s="91"/>
      <c r="J50" s="91"/>
      <c r="K50" s="91"/>
      <c r="L50" s="83"/>
      <c r="M50" s="84"/>
    </row>
    <row r="51" spans="1:13" s="82" customFormat="1">
      <c r="A51" s="91"/>
      <c r="B51" s="91"/>
      <c r="C51" s="91"/>
      <c r="D51" s="91"/>
      <c r="E51" s="91"/>
      <c r="F51" s="91"/>
      <c r="G51" s="91"/>
      <c r="H51" s="91"/>
      <c r="I51" s="91"/>
      <c r="J51" s="91"/>
      <c r="K51" s="91"/>
      <c r="L51" s="83"/>
      <c r="M51" s="84"/>
    </row>
    <row r="52" spans="1:13" s="82" customFormat="1">
      <c r="A52" s="91"/>
      <c r="B52" s="91"/>
      <c r="C52" s="91"/>
      <c r="D52" s="91"/>
      <c r="E52" s="91"/>
      <c r="F52" s="91"/>
      <c r="G52" s="91"/>
      <c r="H52" s="91"/>
      <c r="I52" s="91"/>
      <c r="J52" s="91"/>
      <c r="K52" s="91"/>
      <c r="L52" s="83"/>
      <c r="M52" s="84"/>
    </row>
    <row r="53" spans="1:13" s="82" customFormat="1">
      <c r="A53" s="91"/>
      <c r="B53" s="91"/>
      <c r="C53" s="91"/>
      <c r="D53" s="91"/>
      <c r="E53" s="91"/>
      <c r="F53" s="91"/>
      <c r="G53" s="91"/>
      <c r="H53" s="91"/>
      <c r="I53" s="91"/>
      <c r="J53" s="91"/>
      <c r="K53" s="91"/>
      <c r="L53" s="83"/>
      <c r="M53" s="84"/>
    </row>
    <row r="54" spans="1:13" s="82" customFormat="1">
      <c r="A54" s="91"/>
      <c r="B54" s="91"/>
      <c r="C54" s="91"/>
      <c r="D54" s="91"/>
      <c r="E54" s="91"/>
      <c r="F54" s="91"/>
      <c r="G54" s="91"/>
      <c r="H54" s="91"/>
      <c r="I54" s="91"/>
      <c r="J54" s="91"/>
      <c r="K54" s="91"/>
      <c r="L54" s="83"/>
      <c r="M54" s="84"/>
    </row>
    <row r="55" spans="1:13" s="82" customFormat="1">
      <c r="A55" s="91"/>
      <c r="B55" s="91"/>
      <c r="C55" s="91"/>
      <c r="D55" s="91"/>
      <c r="E55" s="91"/>
      <c r="F55" s="91"/>
      <c r="G55" s="91"/>
      <c r="H55" s="91"/>
      <c r="I55" s="91"/>
      <c r="J55" s="91"/>
      <c r="K55" s="91"/>
      <c r="L55" s="83"/>
      <c r="M55" s="84"/>
    </row>
    <row r="56" spans="1:13" s="82" customFormat="1">
      <c r="A56" s="91"/>
      <c r="B56" s="91"/>
      <c r="C56" s="91"/>
      <c r="D56" s="91"/>
      <c r="E56" s="91"/>
      <c r="F56" s="91"/>
      <c r="G56" s="91"/>
      <c r="H56" s="91"/>
      <c r="I56" s="91"/>
      <c r="J56" s="91"/>
      <c r="K56" s="91"/>
      <c r="L56" s="83"/>
      <c r="M56" s="84"/>
    </row>
    <row r="57" spans="1:13" s="82" customFormat="1">
      <c r="A57" s="91"/>
      <c r="B57" s="91"/>
      <c r="C57" s="91"/>
      <c r="D57" s="91"/>
      <c r="E57" s="91"/>
      <c r="F57" s="91"/>
      <c r="G57" s="91"/>
      <c r="H57" s="91"/>
      <c r="I57" s="91"/>
      <c r="J57" s="91"/>
      <c r="K57" s="91"/>
      <c r="L57" s="83"/>
      <c r="M57" s="84"/>
    </row>
    <row r="58" spans="1:13" s="82" customFormat="1">
      <c r="A58" s="91"/>
      <c r="B58" s="91"/>
      <c r="C58" s="91"/>
      <c r="D58" s="91"/>
      <c r="E58" s="91"/>
      <c r="F58" s="91"/>
      <c r="G58" s="91"/>
      <c r="H58" s="91"/>
      <c r="I58" s="91"/>
      <c r="J58" s="91"/>
      <c r="K58" s="91"/>
      <c r="L58" s="83"/>
      <c r="M58" s="84"/>
    </row>
    <row r="59" spans="1:13" s="82" customFormat="1">
      <c r="A59" s="91"/>
      <c r="B59" s="91"/>
      <c r="C59" s="91"/>
      <c r="D59" s="91"/>
      <c r="E59" s="91"/>
      <c r="F59" s="91"/>
      <c r="G59" s="91"/>
      <c r="H59" s="91"/>
      <c r="I59" s="91"/>
      <c r="J59" s="91"/>
      <c r="K59" s="91"/>
      <c r="L59" s="83"/>
      <c r="M59" s="84"/>
    </row>
    <row r="60" spans="1:13" s="82" customFormat="1">
      <c r="A60" s="91"/>
      <c r="B60" s="91"/>
      <c r="C60" s="91"/>
      <c r="D60" s="91"/>
      <c r="E60" s="91"/>
      <c r="F60" s="91"/>
      <c r="G60" s="91"/>
      <c r="H60" s="91"/>
      <c r="I60" s="91"/>
      <c r="J60" s="91"/>
      <c r="K60" s="91"/>
      <c r="L60" s="83"/>
      <c r="M60" s="84"/>
    </row>
    <row r="61" spans="1:13" s="82" customFormat="1">
      <c r="A61" s="91"/>
      <c r="B61" s="91"/>
      <c r="C61" s="91"/>
      <c r="D61" s="91"/>
      <c r="E61" s="91"/>
      <c r="F61" s="91"/>
      <c r="G61" s="91"/>
      <c r="H61" s="91"/>
      <c r="I61" s="91"/>
      <c r="J61" s="91"/>
      <c r="K61" s="91"/>
      <c r="L61" s="83"/>
      <c r="M61" s="84"/>
    </row>
    <row r="62" spans="1:13" s="82" customFormat="1">
      <c r="A62" s="91"/>
      <c r="B62" s="91"/>
      <c r="C62" s="91"/>
      <c r="D62" s="91"/>
      <c r="E62" s="91"/>
      <c r="F62" s="91"/>
      <c r="G62" s="91"/>
      <c r="H62" s="91"/>
      <c r="I62" s="91"/>
      <c r="J62" s="91"/>
      <c r="K62" s="91"/>
      <c r="L62" s="83"/>
      <c r="M62" s="84"/>
    </row>
    <row r="63" spans="1:13" s="82" customFormat="1">
      <c r="A63" s="91"/>
      <c r="B63" s="91"/>
      <c r="C63" s="91"/>
      <c r="D63" s="91"/>
      <c r="E63" s="91"/>
      <c r="F63" s="91"/>
      <c r="G63" s="91"/>
      <c r="H63" s="91"/>
      <c r="I63" s="91"/>
      <c r="J63" s="91"/>
      <c r="K63" s="91"/>
      <c r="L63" s="83"/>
      <c r="M63" s="84"/>
    </row>
    <row r="64" spans="1:13" s="82" customFormat="1">
      <c r="A64" s="91"/>
      <c r="B64" s="91"/>
      <c r="C64" s="91"/>
      <c r="D64" s="91"/>
      <c r="E64" s="91"/>
      <c r="F64" s="91"/>
      <c r="G64" s="91"/>
      <c r="H64" s="91"/>
      <c r="I64" s="91"/>
      <c r="J64" s="91"/>
      <c r="K64" s="91"/>
      <c r="L64" s="83"/>
      <c r="M64" s="84"/>
    </row>
    <row r="65" spans="1:13" s="82" customFormat="1">
      <c r="A65" s="91"/>
      <c r="B65" s="91"/>
      <c r="C65" s="91"/>
      <c r="D65" s="91"/>
      <c r="E65" s="91"/>
      <c r="F65" s="91"/>
      <c r="G65" s="91"/>
      <c r="H65" s="91"/>
      <c r="I65" s="91"/>
      <c r="J65" s="91"/>
      <c r="K65" s="91"/>
      <c r="L65" s="83"/>
      <c r="M65" s="84"/>
    </row>
    <row r="66" spans="1:13" s="82" customFormat="1">
      <c r="A66" s="91"/>
      <c r="B66" s="91"/>
      <c r="C66" s="91"/>
      <c r="D66" s="91"/>
      <c r="E66" s="91"/>
      <c r="F66" s="91"/>
      <c r="G66" s="91"/>
      <c r="H66" s="91"/>
      <c r="I66" s="91"/>
      <c r="J66" s="91"/>
      <c r="K66" s="91"/>
      <c r="L66" s="83"/>
      <c r="M66" s="84"/>
    </row>
    <row r="67" spans="1:13" s="82" customFormat="1">
      <c r="A67" s="91"/>
      <c r="B67" s="91"/>
      <c r="C67" s="91"/>
      <c r="D67" s="91"/>
      <c r="E67" s="91"/>
      <c r="F67" s="91"/>
      <c r="G67" s="91"/>
      <c r="H67" s="91"/>
      <c r="I67" s="91"/>
      <c r="J67" s="91"/>
      <c r="K67" s="91"/>
      <c r="L67" s="83"/>
      <c r="M67" s="84"/>
    </row>
    <row r="68" spans="1:13" s="82" customFormat="1">
      <c r="A68" s="91"/>
      <c r="B68" s="91"/>
      <c r="C68" s="91"/>
      <c r="D68" s="91"/>
      <c r="E68" s="91"/>
      <c r="F68" s="91"/>
      <c r="G68" s="91"/>
      <c r="H68" s="91"/>
      <c r="I68" s="91"/>
      <c r="J68" s="91"/>
      <c r="K68" s="91"/>
      <c r="L68" s="83"/>
      <c r="M68" s="84"/>
    </row>
    <row r="69" spans="1:13" s="82" customFormat="1">
      <c r="A69" s="91"/>
      <c r="B69" s="91"/>
      <c r="C69" s="91"/>
      <c r="D69" s="91"/>
      <c r="E69" s="91"/>
      <c r="F69" s="91"/>
      <c r="G69" s="91"/>
      <c r="H69" s="91"/>
      <c r="I69" s="91"/>
      <c r="J69" s="91"/>
      <c r="K69" s="91"/>
      <c r="L69" s="83"/>
      <c r="M69" s="84"/>
    </row>
    <row r="70" spans="1:13" s="82" customFormat="1">
      <c r="A70" s="91"/>
      <c r="B70" s="91"/>
      <c r="C70" s="91"/>
      <c r="D70" s="91"/>
      <c r="E70" s="91"/>
      <c r="F70" s="91"/>
      <c r="G70" s="91"/>
      <c r="H70" s="91"/>
      <c r="I70" s="91"/>
      <c r="J70" s="91"/>
      <c r="K70" s="91"/>
      <c r="L70" s="83"/>
      <c r="M70" s="84"/>
    </row>
    <row r="71" spans="1:13" s="82" customFormat="1">
      <c r="A71" s="91"/>
      <c r="B71" s="91"/>
      <c r="C71" s="91"/>
      <c r="D71" s="91"/>
      <c r="E71" s="91"/>
      <c r="F71" s="91"/>
      <c r="G71" s="91"/>
      <c r="H71" s="91"/>
      <c r="I71" s="91"/>
      <c r="J71" s="91"/>
      <c r="K71" s="91"/>
      <c r="L71" s="83"/>
      <c r="M71" s="84"/>
    </row>
    <row r="72" spans="1:13" s="82" customFormat="1">
      <c r="A72" s="91"/>
      <c r="B72" s="91"/>
      <c r="C72" s="91"/>
      <c r="D72" s="91"/>
      <c r="E72" s="91"/>
      <c r="F72" s="91"/>
      <c r="G72" s="91"/>
      <c r="H72" s="91"/>
      <c r="I72" s="91"/>
      <c r="J72" s="91"/>
      <c r="K72" s="91"/>
      <c r="L72" s="83"/>
      <c r="M72" s="84"/>
    </row>
    <row r="73" spans="1:13" s="82" customFormat="1">
      <c r="A73" s="91"/>
      <c r="B73" s="91"/>
      <c r="C73" s="91"/>
      <c r="D73" s="91"/>
      <c r="E73" s="91"/>
      <c r="F73" s="91"/>
      <c r="G73" s="91"/>
      <c r="H73" s="91"/>
      <c r="I73" s="91"/>
      <c r="J73" s="91"/>
      <c r="K73" s="91"/>
      <c r="L73" s="83"/>
      <c r="M73" s="84"/>
    </row>
    <row r="74" spans="1:13" s="82" customFormat="1">
      <c r="A74" s="91"/>
      <c r="B74" s="91"/>
      <c r="C74" s="91"/>
      <c r="D74" s="91"/>
      <c r="E74" s="91"/>
      <c r="F74" s="91"/>
      <c r="G74" s="91"/>
      <c r="H74" s="91"/>
      <c r="I74" s="91"/>
      <c r="J74" s="91"/>
      <c r="K74" s="91"/>
      <c r="L74" s="83"/>
      <c r="M74" s="84"/>
    </row>
    <row r="75" spans="1:13" s="82" customFormat="1">
      <c r="A75" s="91"/>
      <c r="B75" s="91"/>
      <c r="C75" s="91"/>
      <c r="D75" s="91"/>
      <c r="E75" s="91"/>
      <c r="F75" s="91"/>
      <c r="G75" s="91"/>
      <c r="H75" s="91"/>
      <c r="I75" s="91"/>
      <c r="J75" s="91"/>
      <c r="K75" s="91"/>
      <c r="L75" s="83"/>
      <c r="M75" s="84"/>
    </row>
    <row r="76" spans="1:13" s="82" customFormat="1">
      <c r="A76" s="91"/>
      <c r="B76" s="91"/>
      <c r="C76" s="91"/>
      <c r="D76" s="91"/>
      <c r="E76" s="91"/>
      <c r="F76" s="91"/>
      <c r="G76" s="91"/>
      <c r="H76" s="91"/>
      <c r="I76" s="91"/>
      <c r="J76" s="91"/>
      <c r="K76" s="91"/>
      <c r="L76" s="83"/>
      <c r="M76" s="84"/>
    </row>
    <row r="77" spans="1:13" s="82" customFormat="1">
      <c r="A77" s="91"/>
      <c r="B77" s="91"/>
      <c r="C77" s="91"/>
      <c r="D77" s="91"/>
      <c r="E77" s="91"/>
      <c r="F77" s="91"/>
      <c r="G77" s="91"/>
      <c r="H77" s="91"/>
      <c r="I77" s="91"/>
      <c r="J77" s="91"/>
      <c r="K77" s="91"/>
      <c r="L77" s="83"/>
      <c r="M77" s="84"/>
    </row>
    <row r="78" spans="1:13" s="82" customFormat="1">
      <c r="A78" s="91"/>
      <c r="B78" s="91"/>
      <c r="C78" s="91"/>
      <c r="D78" s="91"/>
      <c r="E78" s="91"/>
      <c r="F78" s="91"/>
      <c r="G78" s="91"/>
      <c r="H78" s="91"/>
      <c r="I78" s="91"/>
      <c r="J78" s="91"/>
      <c r="K78" s="91"/>
      <c r="L78" s="83"/>
      <c r="M78" s="84"/>
    </row>
    <row r="79" spans="1:13" s="82" customFormat="1">
      <c r="A79" s="91"/>
      <c r="B79" s="91"/>
      <c r="C79" s="91"/>
      <c r="D79" s="91"/>
      <c r="E79" s="91"/>
      <c r="F79" s="91"/>
      <c r="G79" s="91"/>
      <c r="H79" s="91"/>
      <c r="I79" s="91"/>
      <c r="J79" s="91"/>
      <c r="K79" s="91"/>
      <c r="L79" s="83"/>
      <c r="M79" s="84"/>
    </row>
    <row r="80" spans="1:13" s="82" customFormat="1">
      <c r="A80" s="91"/>
      <c r="B80" s="91"/>
      <c r="C80" s="91"/>
      <c r="D80" s="91"/>
      <c r="E80" s="91"/>
      <c r="F80" s="91"/>
      <c r="G80" s="91"/>
      <c r="H80" s="91"/>
      <c r="I80" s="91"/>
      <c r="J80" s="91"/>
      <c r="K80" s="91"/>
      <c r="L80" s="83"/>
      <c r="M80" s="84"/>
    </row>
    <row r="81" spans="1:13" s="82" customFormat="1">
      <c r="A81" s="91"/>
      <c r="B81" s="91"/>
      <c r="C81" s="91"/>
      <c r="D81" s="91"/>
      <c r="E81" s="91"/>
      <c r="F81" s="91"/>
      <c r="G81" s="91"/>
      <c r="H81" s="91"/>
      <c r="I81" s="91"/>
      <c r="J81" s="91"/>
      <c r="K81" s="91"/>
      <c r="L81" s="83"/>
      <c r="M81" s="84"/>
    </row>
    <row r="82" spans="1:13" s="82" customFormat="1">
      <c r="A82" s="91"/>
      <c r="B82" s="91"/>
      <c r="C82" s="91"/>
      <c r="D82" s="91"/>
      <c r="E82" s="91"/>
      <c r="F82" s="91"/>
      <c r="G82" s="91"/>
      <c r="H82" s="91"/>
      <c r="I82" s="91"/>
      <c r="J82" s="91"/>
      <c r="K82" s="91"/>
      <c r="L82" s="83"/>
      <c r="M82" s="84"/>
    </row>
    <row r="83" spans="1:13" s="82" customFormat="1">
      <c r="A83" s="91"/>
      <c r="B83" s="91"/>
      <c r="C83" s="91"/>
      <c r="D83" s="91"/>
      <c r="E83" s="91"/>
      <c r="F83" s="91"/>
      <c r="G83" s="91"/>
      <c r="H83" s="91"/>
      <c r="I83" s="91"/>
      <c r="J83" s="91"/>
      <c r="K83" s="91"/>
      <c r="L83" s="83"/>
      <c r="M83" s="84"/>
    </row>
    <row r="84" spans="1:13" s="82" customFormat="1">
      <c r="A84" s="91"/>
      <c r="B84" s="91"/>
      <c r="C84" s="91"/>
      <c r="D84" s="91"/>
      <c r="E84" s="91"/>
      <c r="F84" s="91"/>
      <c r="G84" s="91"/>
      <c r="H84" s="91"/>
      <c r="I84" s="91"/>
      <c r="J84" s="91"/>
      <c r="K84" s="91"/>
      <c r="L84" s="83"/>
      <c r="M84" s="84"/>
    </row>
    <row r="85" spans="1:13" s="82" customFormat="1">
      <c r="A85" s="91"/>
      <c r="B85" s="91"/>
      <c r="C85" s="91"/>
      <c r="D85" s="91"/>
      <c r="E85" s="91"/>
      <c r="F85" s="91"/>
      <c r="G85" s="91"/>
      <c r="H85" s="91"/>
      <c r="I85" s="91"/>
      <c r="J85" s="91"/>
      <c r="K85" s="91"/>
      <c r="L85" s="83"/>
      <c r="M85" s="84"/>
    </row>
    <row r="86" spans="1:13" s="82" customFormat="1">
      <c r="A86" s="91"/>
      <c r="B86" s="91"/>
      <c r="C86" s="91"/>
      <c r="D86" s="91"/>
      <c r="E86" s="91"/>
      <c r="F86" s="91"/>
      <c r="G86" s="91"/>
      <c r="H86" s="91"/>
      <c r="I86" s="91"/>
      <c r="J86" s="91"/>
      <c r="K86" s="91"/>
      <c r="L86" s="83"/>
      <c r="M86" s="84"/>
    </row>
    <row r="87" spans="1:13" s="82" customFormat="1">
      <c r="A87" s="91"/>
      <c r="B87" s="91"/>
      <c r="C87" s="91"/>
      <c r="D87" s="91"/>
      <c r="E87" s="91"/>
      <c r="F87" s="91"/>
      <c r="G87" s="91"/>
      <c r="H87" s="91"/>
      <c r="I87" s="91"/>
      <c r="J87" s="91"/>
      <c r="K87" s="91"/>
      <c r="L87" s="83"/>
      <c r="M87" s="84"/>
    </row>
    <row r="88" spans="1:13" s="82" customFormat="1">
      <c r="A88" s="91"/>
      <c r="B88" s="91"/>
      <c r="C88" s="91"/>
      <c r="D88" s="91"/>
      <c r="E88" s="91"/>
      <c r="F88" s="91"/>
      <c r="G88" s="91"/>
      <c r="H88" s="91"/>
      <c r="I88" s="91"/>
      <c r="J88" s="91"/>
      <c r="K88" s="91"/>
      <c r="L88" s="83"/>
      <c r="M88" s="84"/>
    </row>
    <row r="89" spans="1:13" s="82" customFormat="1">
      <c r="A89" s="91"/>
      <c r="B89" s="91"/>
      <c r="C89" s="91"/>
      <c r="D89" s="91"/>
      <c r="E89" s="91"/>
      <c r="F89" s="91"/>
      <c r="G89" s="91"/>
      <c r="H89" s="91"/>
      <c r="I89" s="91"/>
      <c r="J89" s="91"/>
      <c r="K89" s="91"/>
      <c r="L89" s="83"/>
      <c r="M89" s="84"/>
    </row>
    <row r="90" spans="1:13" s="82" customFormat="1">
      <c r="A90" s="91"/>
      <c r="B90" s="91"/>
      <c r="C90" s="91"/>
      <c r="D90" s="91"/>
      <c r="E90" s="91"/>
      <c r="F90" s="91"/>
      <c r="G90" s="91"/>
      <c r="H90" s="91"/>
      <c r="I90" s="91"/>
      <c r="J90" s="91"/>
      <c r="K90" s="91"/>
      <c r="L90" s="83"/>
      <c r="M90" s="84"/>
    </row>
    <row r="91" spans="1:13" s="82" customFormat="1">
      <c r="A91" s="91"/>
      <c r="B91" s="91"/>
      <c r="C91" s="91"/>
      <c r="D91" s="91"/>
      <c r="E91" s="91"/>
      <c r="F91" s="91"/>
      <c r="G91" s="91"/>
      <c r="H91" s="91"/>
      <c r="I91" s="91"/>
      <c r="J91" s="91"/>
      <c r="K91" s="91"/>
      <c r="L91" s="83"/>
      <c r="M91" s="84"/>
    </row>
    <row r="92" spans="1:13" s="82" customFormat="1">
      <c r="A92" s="91"/>
      <c r="B92" s="91"/>
      <c r="C92" s="91"/>
      <c r="D92" s="91"/>
      <c r="E92" s="91"/>
      <c r="F92" s="91"/>
      <c r="G92" s="91"/>
      <c r="H92" s="91"/>
      <c r="I92" s="91"/>
      <c r="J92" s="91"/>
      <c r="K92" s="91"/>
      <c r="L92" s="83"/>
      <c r="M92" s="84"/>
    </row>
    <row r="93" spans="1:13" s="82" customFormat="1">
      <c r="A93" s="91"/>
      <c r="B93" s="91"/>
      <c r="C93" s="91"/>
      <c r="D93" s="91"/>
      <c r="E93" s="91"/>
      <c r="F93" s="91"/>
      <c r="G93" s="91"/>
      <c r="H93" s="91"/>
      <c r="I93" s="91"/>
      <c r="J93" s="91"/>
      <c r="K93" s="91"/>
      <c r="L93" s="83"/>
      <c r="M93" s="84"/>
    </row>
    <row r="94" spans="1:13" s="82" customFormat="1">
      <c r="A94" s="91"/>
      <c r="B94" s="91"/>
      <c r="C94" s="91"/>
      <c r="D94" s="91"/>
      <c r="E94" s="91"/>
      <c r="F94" s="91"/>
      <c r="G94" s="91"/>
      <c r="H94" s="91"/>
      <c r="I94" s="91"/>
      <c r="J94" s="91"/>
      <c r="K94" s="91"/>
      <c r="L94" s="83"/>
      <c r="M94" s="84"/>
    </row>
    <row r="95" spans="1:13" s="82" customFormat="1">
      <c r="A95" s="91"/>
      <c r="B95" s="91"/>
      <c r="C95" s="91"/>
      <c r="D95" s="91"/>
      <c r="E95" s="91"/>
      <c r="F95" s="91"/>
      <c r="G95" s="91"/>
      <c r="H95" s="91"/>
      <c r="I95" s="91"/>
      <c r="J95" s="91"/>
      <c r="K95" s="91"/>
      <c r="L95" s="83"/>
      <c r="M95" s="84"/>
    </row>
    <row r="96" spans="1:13" s="82" customFormat="1">
      <c r="A96" s="91"/>
      <c r="B96" s="91"/>
      <c r="C96" s="91"/>
      <c r="D96" s="91"/>
      <c r="E96" s="91"/>
      <c r="F96" s="91"/>
      <c r="G96" s="91"/>
      <c r="H96" s="91"/>
      <c r="I96" s="91"/>
      <c r="J96" s="91"/>
      <c r="K96" s="91"/>
      <c r="L96" s="83"/>
      <c r="M96" s="84"/>
    </row>
    <row r="97" spans="1:13" s="82" customFormat="1">
      <c r="A97" s="91"/>
      <c r="B97" s="91"/>
      <c r="C97" s="91"/>
      <c r="D97" s="91"/>
      <c r="E97" s="91"/>
      <c r="F97" s="91"/>
      <c r="G97" s="91"/>
      <c r="H97" s="91"/>
      <c r="I97" s="91"/>
      <c r="J97" s="91"/>
      <c r="K97" s="91"/>
      <c r="L97" s="83"/>
      <c r="M97" s="84"/>
    </row>
    <row r="98" spans="1:13" s="82" customFormat="1">
      <c r="A98" s="91"/>
      <c r="B98" s="91"/>
      <c r="C98" s="91"/>
      <c r="D98" s="91"/>
      <c r="E98" s="91"/>
      <c r="F98" s="91"/>
      <c r="G98" s="91"/>
      <c r="H98" s="91"/>
      <c r="I98" s="91"/>
      <c r="J98" s="91"/>
      <c r="K98" s="91"/>
      <c r="L98" s="83"/>
      <c r="M98" s="84"/>
    </row>
    <row r="99" spans="1:13" s="82" customFormat="1">
      <c r="A99" s="91"/>
      <c r="B99" s="91"/>
      <c r="C99" s="91"/>
      <c r="D99" s="91"/>
      <c r="E99" s="91"/>
      <c r="F99" s="91"/>
      <c r="G99" s="91"/>
      <c r="H99" s="91"/>
      <c r="I99" s="91"/>
      <c r="J99" s="91"/>
      <c r="K99" s="91"/>
      <c r="L99" s="83"/>
      <c r="M99" s="84"/>
    </row>
    <row r="100" spans="1:13" s="82" customFormat="1">
      <c r="A100" s="91"/>
      <c r="B100" s="91"/>
      <c r="C100" s="91"/>
      <c r="D100" s="91"/>
      <c r="E100" s="91"/>
      <c r="F100" s="91"/>
      <c r="G100" s="91"/>
      <c r="H100" s="91"/>
      <c r="I100" s="91"/>
      <c r="J100" s="91"/>
      <c r="K100" s="91"/>
      <c r="L100" s="83"/>
      <c r="M100" s="84"/>
    </row>
    <row r="101" spans="1:13" s="82" customFormat="1">
      <c r="A101" s="91"/>
      <c r="B101" s="91"/>
      <c r="C101" s="91"/>
      <c r="D101" s="91"/>
      <c r="E101" s="91"/>
      <c r="F101" s="91"/>
      <c r="G101" s="91"/>
      <c r="H101" s="91"/>
      <c r="I101" s="91"/>
      <c r="J101" s="91"/>
      <c r="K101" s="91"/>
      <c r="L101" s="83"/>
      <c r="M101" s="84"/>
    </row>
    <row r="102" spans="1:13" s="82" customFormat="1">
      <c r="A102" s="91"/>
      <c r="B102" s="91"/>
      <c r="C102" s="91"/>
      <c r="D102" s="91"/>
      <c r="E102" s="91"/>
      <c r="F102" s="91"/>
      <c r="G102" s="91"/>
      <c r="H102" s="91"/>
      <c r="I102" s="91"/>
      <c r="J102" s="91"/>
      <c r="K102" s="91"/>
      <c r="L102" s="83"/>
      <c r="M102" s="84"/>
    </row>
    <row r="103" spans="1:13" s="82" customFormat="1">
      <c r="A103" s="91"/>
      <c r="B103" s="91"/>
      <c r="C103" s="91"/>
      <c r="D103" s="91"/>
      <c r="E103" s="91"/>
      <c r="F103" s="91"/>
      <c r="G103" s="91"/>
      <c r="H103" s="91"/>
      <c r="I103" s="91"/>
      <c r="J103" s="91"/>
      <c r="K103" s="91"/>
      <c r="L103" s="83"/>
      <c r="M103" s="84"/>
    </row>
    <row r="104" spans="1:13" s="82" customFormat="1">
      <c r="A104" s="91"/>
      <c r="B104" s="91"/>
      <c r="C104" s="91"/>
      <c r="D104" s="91"/>
      <c r="E104" s="91"/>
      <c r="F104" s="91"/>
      <c r="G104" s="91"/>
      <c r="H104" s="91"/>
      <c r="I104" s="91"/>
      <c r="J104" s="91"/>
      <c r="K104" s="91"/>
      <c r="L104" s="83"/>
      <c r="M104" s="84"/>
    </row>
    <row r="105" spans="1:13" s="82" customFormat="1">
      <c r="A105" s="91"/>
      <c r="B105" s="91"/>
      <c r="C105" s="91"/>
      <c r="D105" s="91"/>
      <c r="E105" s="91"/>
      <c r="F105" s="91"/>
      <c r="G105" s="91"/>
      <c r="H105" s="91"/>
      <c r="I105" s="91"/>
      <c r="J105" s="91"/>
      <c r="K105" s="91"/>
      <c r="L105" s="83"/>
      <c r="M105" s="84"/>
    </row>
    <row r="106" spans="1:13" s="82" customFormat="1">
      <c r="A106" s="91"/>
      <c r="B106" s="91"/>
      <c r="C106" s="91"/>
      <c r="D106" s="91"/>
      <c r="E106" s="91"/>
      <c r="F106" s="91"/>
      <c r="G106" s="91"/>
      <c r="H106" s="91"/>
      <c r="I106" s="91"/>
      <c r="J106" s="91"/>
      <c r="K106" s="91"/>
      <c r="L106" s="83"/>
      <c r="M106" s="84"/>
    </row>
    <row r="107" spans="1:13" s="82" customFormat="1">
      <c r="A107" s="91"/>
      <c r="B107" s="91"/>
      <c r="C107" s="91"/>
      <c r="D107" s="91"/>
      <c r="E107" s="91"/>
      <c r="F107" s="91"/>
      <c r="G107" s="91"/>
      <c r="H107" s="91"/>
      <c r="I107" s="91"/>
      <c r="J107" s="91"/>
      <c r="K107" s="91"/>
      <c r="L107" s="83"/>
      <c r="M107" s="84"/>
    </row>
    <row r="108" spans="1:13" s="82" customFormat="1">
      <c r="A108" s="91"/>
      <c r="B108" s="91"/>
      <c r="C108" s="91"/>
      <c r="D108" s="91"/>
      <c r="E108" s="91"/>
      <c r="F108" s="91"/>
      <c r="G108" s="91"/>
      <c r="H108" s="91"/>
      <c r="I108" s="91"/>
      <c r="J108" s="91"/>
      <c r="K108" s="91"/>
      <c r="L108" s="83"/>
      <c r="M108" s="84"/>
    </row>
    <row r="109" spans="1:13" s="82" customFormat="1">
      <c r="A109" s="91"/>
      <c r="B109" s="91"/>
      <c r="C109" s="91"/>
      <c r="D109" s="91"/>
      <c r="E109" s="91"/>
      <c r="F109" s="91"/>
      <c r="G109" s="91"/>
      <c r="H109" s="91"/>
      <c r="I109" s="91"/>
      <c r="J109" s="91"/>
      <c r="K109" s="91"/>
      <c r="L109" s="83"/>
      <c r="M109" s="84"/>
    </row>
    <row r="110" spans="1:13" s="82" customFormat="1">
      <c r="A110" s="91"/>
      <c r="B110" s="91"/>
      <c r="C110" s="91"/>
      <c r="D110" s="91"/>
      <c r="E110" s="91"/>
      <c r="F110" s="91"/>
      <c r="G110" s="91"/>
      <c r="H110" s="91"/>
      <c r="I110" s="91"/>
      <c r="J110" s="91"/>
      <c r="K110" s="91"/>
      <c r="L110" s="83"/>
      <c r="M110" s="84"/>
    </row>
    <row r="111" spans="1:13" s="82" customFormat="1">
      <c r="A111" s="91"/>
      <c r="B111" s="91"/>
      <c r="C111" s="91"/>
      <c r="D111" s="91"/>
      <c r="E111" s="91"/>
      <c r="F111" s="91"/>
      <c r="G111" s="91"/>
      <c r="H111" s="91"/>
      <c r="I111" s="91"/>
      <c r="J111" s="91"/>
      <c r="K111" s="91"/>
      <c r="L111" s="83"/>
      <c r="M111" s="84"/>
    </row>
    <row r="112" spans="1:13" s="82" customFormat="1">
      <c r="A112" s="91"/>
      <c r="B112" s="91"/>
      <c r="C112" s="91"/>
      <c r="D112" s="91"/>
      <c r="E112" s="91"/>
      <c r="F112" s="91"/>
      <c r="G112" s="91"/>
      <c r="H112" s="91"/>
      <c r="I112" s="91"/>
      <c r="J112" s="91"/>
      <c r="K112" s="91"/>
      <c r="L112" s="83"/>
      <c r="M112" s="84"/>
    </row>
    <row r="113" spans="1:13" s="82" customFormat="1">
      <c r="A113" s="91"/>
      <c r="B113" s="91"/>
      <c r="C113" s="91"/>
      <c r="D113" s="91"/>
      <c r="E113" s="91"/>
      <c r="F113" s="91"/>
      <c r="G113" s="91"/>
      <c r="H113" s="91"/>
      <c r="I113" s="91"/>
      <c r="J113" s="91"/>
      <c r="K113" s="91"/>
      <c r="L113" s="83"/>
      <c r="M113" s="84"/>
    </row>
    <row r="114" spans="1:13" s="82" customFormat="1">
      <c r="A114" s="91"/>
      <c r="B114" s="91"/>
      <c r="C114" s="91"/>
      <c r="D114" s="91"/>
      <c r="E114" s="91"/>
      <c r="F114" s="91"/>
      <c r="G114" s="91"/>
      <c r="H114" s="91"/>
      <c r="I114" s="91"/>
      <c r="J114" s="91"/>
      <c r="K114" s="91"/>
      <c r="L114" s="83"/>
      <c r="M114" s="84"/>
    </row>
    <row r="115" spans="1:13" s="82" customFormat="1">
      <c r="A115" s="91"/>
      <c r="B115" s="91"/>
      <c r="C115" s="91"/>
      <c r="D115" s="91"/>
      <c r="E115" s="91"/>
      <c r="F115" s="91"/>
      <c r="G115" s="91"/>
      <c r="H115" s="91"/>
      <c r="I115" s="91"/>
      <c r="J115" s="91"/>
      <c r="K115" s="91"/>
      <c r="L115" s="83"/>
      <c r="M115" s="84"/>
    </row>
    <row r="116" spans="1:13" s="82" customFormat="1">
      <c r="A116" s="91"/>
      <c r="B116" s="91"/>
      <c r="C116" s="91"/>
      <c r="D116" s="91"/>
      <c r="E116" s="91"/>
      <c r="F116" s="91"/>
      <c r="G116" s="91"/>
      <c r="H116" s="91"/>
      <c r="I116" s="91"/>
      <c r="J116" s="91"/>
      <c r="K116" s="91"/>
      <c r="L116" s="83"/>
      <c r="M116" s="84"/>
    </row>
    <row r="117" spans="1:13" s="82" customFormat="1">
      <c r="A117" s="91"/>
      <c r="B117" s="91"/>
      <c r="C117" s="91"/>
      <c r="D117" s="91"/>
      <c r="E117" s="91"/>
      <c r="F117" s="91"/>
      <c r="G117" s="91"/>
      <c r="H117" s="91"/>
      <c r="I117" s="91"/>
      <c r="J117" s="91"/>
      <c r="K117" s="91"/>
      <c r="L117" s="83"/>
      <c r="M117" s="84"/>
    </row>
    <row r="118" spans="1:13" s="82" customFormat="1">
      <c r="A118" s="91"/>
      <c r="B118" s="91"/>
      <c r="C118" s="91"/>
      <c r="D118" s="91"/>
      <c r="E118" s="91"/>
      <c r="F118" s="91"/>
      <c r="G118" s="91"/>
      <c r="H118" s="91"/>
      <c r="I118" s="91"/>
      <c r="J118" s="91"/>
      <c r="K118" s="91"/>
      <c r="L118" s="83"/>
      <c r="M118" s="84"/>
    </row>
    <row r="119" spans="1:13" s="82" customFormat="1">
      <c r="A119" s="91"/>
      <c r="B119" s="91"/>
      <c r="C119" s="91"/>
      <c r="D119" s="91"/>
      <c r="E119" s="91"/>
      <c r="F119" s="91"/>
      <c r="G119" s="91"/>
      <c r="H119" s="91"/>
      <c r="I119" s="91"/>
      <c r="J119" s="91"/>
      <c r="K119" s="91"/>
      <c r="L119" s="83"/>
      <c r="M119" s="84"/>
    </row>
    <row r="120" spans="1:13" s="82" customFormat="1">
      <c r="A120" s="91"/>
      <c r="B120" s="91"/>
      <c r="C120" s="91"/>
      <c r="D120" s="91"/>
      <c r="E120" s="91"/>
      <c r="F120" s="91"/>
      <c r="G120" s="91"/>
      <c r="H120" s="91"/>
      <c r="I120" s="91"/>
      <c r="J120" s="91"/>
      <c r="K120" s="91"/>
      <c r="L120" s="83"/>
      <c r="M120" s="84"/>
    </row>
    <row r="121" spans="1:13" s="82" customFormat="1">
      <c r="A121" s="91"/>
      <c r="B121" s="91"/>
      <c r="C121" s="91"/>
      <c r="D121" s="91"/>
      <c r="E121" s="91"/>
      <c r="F121" s="91"/>
      <c r="G121" s="91"/>
      <c r="H121" s="91"/>
      <c r="I121" s="91"/>
      <c r="J121" s="91"/>
      <c r="K121" s="91"/>
      <c r="L121" s="83"/>
      <c r="M121" s="84"/>
    </row>
    <row r="122" spans="1:13" s="82" customFormat="1">
      <c r="A122" s="91"/>
      <c r="B122" s="91"/>
      <c r="C122" s="91"/>
      <c r="D122" s="91"/>
      <c r="E122" s="91"/>
      <c r="F122" s="91"/>
      <c r="G122" s="91"/>
      <c r="H122" s="91"/>
      <c r="I122" s="91"/>
      <c r="J122" s="91"/>
      <c r="K122" s="91"/>
      <c r="L122" s="83"/>
      <c r="M122" s="84"/>
    </row>
    <row r="123" spans="1:13" s="82" customFormat="1">
      <c r="A123" s="91"/>
      <c r="B123" s="91"/>
      <c r="C123" s="91"/>
      <c r="D123" s="91"/>
      <c r="E123" s="91"/>
      <c r="F123" s="91"/>
      <c r="G123" s="91"/>
      <c r="H123" s="91"/>
      <c r="I123" s="91"/>
      <c r="J123" s="91"/>
      <c r="K123" s="91"/>
      <c r="L123" s="83"/>
      <c r="M123" s="84"/>
    </row>
    <row r="124" spans="1:13" s="82" customFormat="1">
      <c r="A124" s="91"/>
      <c r="B124" s="91"/>
      <c r="C124" s="91"/>
      <c r="D124" s="91"/>
      <c r="E124" s="91"/>
      <c r="F124" s="91"/>
      <c r="G124" s="91"/>
      <c r="H124" s="91"/>
      <c r="I124" s="91"/>
      <c r="J124" s="91"/>
      <c r="K124" s="91"/>
      <c r="L124" s="83"/>
      <c r="M124" s="84"/>
    </row>
    <row r="125" spans="1:13" s="82" customFormat="1">
      <c r="A125" s="91"/>
      <c r="B125" s="91"/>
      <c r="C125" s="91"/>
      <c r="D125" s="91"/>
      <c r="E125" s="91"/>
      <c r="F125" s="91"/>
      <c r="G125" s="91"/>
      <c r="H125" s="91"/>
      <c r="I125" s="91"/>
      <c r="J125" s="91"/>
      <c r="K125" s="91"/>
      <c r="L125" s="83"/>
      <c r="M125" s="84"/>
    </row>
    <row r="126" spans="1:13" s="82" customFormat="1">
      <c r="A126" s="91"/>
      <c r="B126" s="91"/>
      <c r="C126" s="91"/>
      <c r="D126" s="91"/>
      <c r="E126" s="91"/>
      <c r="F126" s="91"/>
      <c r="G126" s="91"/>
      <c r="H126" s="91"/>
      <c r="I126" s="91"/>
      <c r="J126" s="91"/>
      <c r="K126" s="91"/>
      <c r="L126" s="83"/>
      <c r="M126" s="84"/>
    </row>
    <row r="127" spans="1:13" s="82" customFormat="1">
      <c r="A127" s="91"/>
      <c r="B127" s="91"/>
      <c r="C127" s="91"/>
      <c r="D127" s="91"/>
      <c r="E127" s="91"/>
      <c r="F127" s="91"/>
      <c r="G127" s="91"/>
      <c r="H127" s="91"/>
      <c r="I127" s="91"/>
      <c r="J127" s="91"/>
      <c r="K127" s="91"/>
      <c r="L127" s="83"/>
      <c r="M127" s="84"/>
    </row>
    <row r="128" spans="1:13" s="82" customFormat="1">
      <c r="A128" s="91"/>
      <c r="B128" s="91"/>
      <c r="C128" s="91"/>
      <c r="D128" s="91"/>
      <c r="E128" s="91"/>
      <c r="F128" s="91"/>
      <c r="G128" s="91"/>
      <c r="H128" s="91"/>
      <c r="I128" s="91"/>
      <c r="J128" s="91"/>
      <c r="K128" s="91"/>
      <c r="L128" s="83"/>
      <c r="M128" s="84"/>
    </row>
    <row r="129" spans="1:13" s="82" customFormat="1">
      <c r="A129" s="91"/>
      <c r="B129" s="91"/>
      <c r="C129" s="91"/>
      <c r="D129" s="91"/>
      <c r="E129" s="91"/>
      <c r="F129" s="91"/>
      <c r="G129" s="91"/>
      <c r="H129" s="91"/>
      <c r="I129" s="91"/>
      <c r="J129" s="91"/>
      <c r="K129" s="91"/>
      <c r="L129" s="83"/>
      <c r="M129" s="84"/>
    </row>
    <row r="130" spans="1:13" s="82" customFormat="1">
      <c r="A130" s="91"/>
      <c r="B130" s="91"/>
      <c r="C130" s="91"/>
      <c r="D130" s="91"/>
      <c r="E130" s="91"/>
      <c r="F130" s="91"/>
      <c r="G130" s="91"/>
      <c r="H130" s="91"/>
      <c r="I130" s="91"/>
      <c r="J130" s="91"/>
      <c r="K130" s="91"/>
      <c r="L130" s="83"/>
      <c r="M130" s="84"/>
    </row>
    <row r="131" spans="1:13" s="82" customFormat="1">
      <c r="A131" s="91"/>
      <c r="B131" s="91"/>
      <c r="C131" s="91"/>
      <c r="D131" s="91"/>
      <c r="E131" s="91"/>
      <c r="F131" s="91"/>
      <c r="G131" s="91"/>
      <c r="H131" s="91"/>
      <c r="I131" s="91"/>
      <c r="J131" s="91"/>
      <c r="K131" s="91"/>
      <c r="L131" s="83"/>
      <c r="M131" s="84"/>
    </row>
    <row r="132" spans="1:13" s="82" customFormat="1">
      <c r="A132" s="91"/>
      <c r="B132" s="91"/>
      <c r="C132" s="91"/>
      <c r="D132" s="91"/>
      <c r="E132" s="91"/>
      <c r="F132" s="91"/>
      <c r="G132" s="91"/>
      <c r="H132" s="91"/>
      <c r="I132" s="91"/>
      <c r="J132" s="91"/>
      <c r="K132" s="91"/>
      <c r="L132" s="83"/>
      <c r="M132" s="84"/>
    </row>
    <row r="133" spans="1:13" s="82" customFormat="1">
      <c r="A133" s="91"/>
      <c r="B133" s="91"/>
      <c r="C133" s="91"/>
      <c r="D133" s="91"/>
      <c r="E133" s="91"/>
      <c r="F133" s="91"/>
      <c r="G133" s="91"/>
      <c r="H133" s="91"/>
      <c r="I133" s="91"/>
      <c r="J133" s="91"/>
      <c r="K133" s="91"/>
      <c r="L133" s="83"/>
      <c r="M133" s="84"/>
    </row>
    <row r="134" spans="1:13" s="82" customFormat="1">
      <c r="A134" s="91"/>
      <c r="B134" s="91"/>
      <c r="C134" s="91"/>
      <c r="D134" s="91"/>
      <c r="E134" s="91"/>
      <c r="F134" s="91"/>
      <c r="G134" s="91"/>
      <c r="H134" s="91"/>
      <c r="I134" s="91"/>
      <c r="J134" s="91"/>
      <c r="K134" s="91"/>
      <c r="L134" s="83"/>
      <c r="M134" s="84"/>
    </row>
    <row r="135" spans="1:13" s="82" customFormat="1">
      <c r="A135" s="91"/>
      <c r="B135" s="91"/>
      <c r="C135" s="91"/>
      <c r="D135" s="91"/>
      <c r="E135" s="91"/>
      <c r="F135" s="91"/>
      <c r="G135" s="91"/>
      <c r="H135" s="91"/>
      <c r="I135" s="91"/>
      <c r="J135" s="91"/>
      <c r="K135" s="91"/>
      <c r="L135" s="83"/>
      <c r="M135" s="84"/>
    </row>
    <row r="136" spans="1:13" s="82" customFormat="1">
      <c r="A136" s="91"/>
      <c r="B136" s="91"/>
      <c r="C136" s="91"/>
      <c r="D136" s="91"/>
      <c r="E136" s="91"/>
      <c r="F136" s="91"/>
      <c r="G136" s="91"/>
      <c r="H136" s="91"/>
      <c r="I136" s="91"/>
      <c r="J136" s="91"/>
      <c r="K136" s="91"/>
      <c r="L136" s="83"/>
      <c r="M136" s="84"/>
    </row>
    <row r="137" spans="1:13" s="82" customFormat="1">
      <c r="A137" s="91"/>
      <c r="B137" s="91"/>
      <c r="C137" s="91"/>
      <c r="D137" s="91"/>
      <c r="E137" s="91"/>
      <c r="F137" s="91"/>
      <c r="G137" s="91"/>
      <c r="H137" s="91"/>
      <c r="I137" s="91"/>
      <c r="J137" s="91"/>
      <c r="K137" s="91"/>
      <c r="L137" s="83"/>
      <c r="M137" s="84"/>
    </row>
    <row r="138" spans="1:13" s="82" customFormat="1">
      <c r="A138" s="91"/>
      <c r="B138" s="91"/>
      <c r="C138" s="91"/>
      <c r="D138" s="91"/>
      <c r="E138" s="91"/>
      <c r="F138" s="91"/>
      <c r="G138" s="91"/>
      <c r="H138" s="91"/>
      <c r="I138" s="91"/>
      <c r="J138" s="91"/>
      <c r="K138" s="91"/>
      <c r="L138" s="83"/>
      <c r="M138" s="84"/>
    </row>
    <row r="139" spans="1:13" s="82" customFormat="1">
      <c r="A139" s="91"/>
      <c r="B139" s="91"/>
      <c r="C139" s="91"/>
      <c r="D139" s="91"/>
      <c r="E139" s="91"/>
      <c r="F139" s="91"/>
      <c r="G139" s="91"/>
      <c r="H139" s="91"/>
      <c r="I139" s="91"/>
      <c r="J139" s="91"/>
      <c r="K139" s="91"/>
      <c r="L139" s="83"/>
      <c r="M139" s="84"/>
    </row>
    <row r="140" spans="1:13" s="82" customFormat="1">
      <c r="A140" s="91"/>
      <c r="B140" s="91"/>
      <c r="C140" s="91"/>
      <c r="D140" s="91"/>
      <c r="E140" s="91"/>
      <c r="F140" s="91"/>
      <c r="G140" s="91"/>
      <c r="H140" s="91"/>
      <c r="I140" s="91"/>
      <c r="J140" s="91"/>
      <c r="K140" s="91"/>
      <c r="L140" s="83"/>
      <c r="M140" s="84"/>
    </row>
    <row r="141" spans="1:13" s="82" customFormat="1">
      <c r="A141" s="91"/>
      <c r="B141" s="91"/>
      <c r="C141" s="91"/>
      <c r="D141" s="91"/>
      <c r="E141" s="91"/>
      <c r="F141" s="91"/>
      <c r="G141" s="91"/>
      <c r="H141" s="91"/>
      <c r="I141" s="91"/>
      <c r="J141" s="91"/>
      <c r="K141" s="91"/>
      <c r="L141" s="83"/>
      <c r="M141" s="84"/>
    </row>
    <row r="142" spans="1:13" s="82" customFormat="1">
      <c r="A142" s="91"/>
      <c r="B142" s="91"/>
      <c r="C142" s="91"/>
      <c r="D142" s="91"/>
      <c r="E142" s="91"/>
      <c r="F142" s="91"/>
      <c r="G142" s="91"/>
      <c r="H142" s="91"/>
      <c r="I142" s="91"/>
      <c r="J142" s="91"/>
      <c r="K142" s="91"/>
      <c r="L142" s="83"/>
      <c r="M142" s="84"/>
    </row>
    <row r="143" spans="1:13" s="82" customFormat="1">
      <c r="A143" s="91"/>
      <c r="B143" s="91"/>
      <c r="C143" s="91"/>
      <c r="D143" s="91"/>
      <c r="E143" s="91"/>
      <c r="F143" s="91"/>
      <c r="G143" s="91"/>
      <c r="H143" s="91"/>
      <c r="I143" s="91"/>
      <c r="J143" s="91"/>
      <c r="K143" s="91"/>
      <c r="L143" s="83"/>
      <c r="M143" s="84"/>
    </row>
    <row r="144" spans="1:13" s="82" customFormat="1">
      <c r="A144" s="91"/>
      <c r="B144" s="91"/>
      <c r="C144" s="91"/>
      <c r="D144" s="91"/>
      <c r="E144" s="91"/>
      <c r="F144" s="91"/>
      <c r="G144" s="91"/>
      <c r="H144" s="91"/>
      <c r="I144" s="91"/>
      <c r="J144" s="91"/>
      <c r="K144" s="91"/>
      <c r="L144" s="83"/>
      <c r="M144" s="84"/>
    </row>
    <row r="145" spans="1:13" s="82" customFormat="1">
      <c r="A145" s="91"/>
      <c r="B145" s="91"/>
      <c r="C145" s="91"/>
      <c r="D145" s="91"/>
      <c r="E145" s="91"/>
      <c r="F145" s="91"/>
      <c r="G145" s="91"/>
      <c r="H145" s="91"/>
      <c r="I145" s="91"/>
      <c r="J145" s="91"/>
      <c r="K145" s="91"/>
      <c r="L145" s="83"/>
      <c r="M145" s="84"/>
    </row>
    <row r="146" spans="1:13" s="82" customFormat="1">
      <c r="A146" s="91"/>
      <c r="B146" s="91"/>
      <c r="C146" s="91"/>
      <c r="D146" s="91"/>
      <c r="E146" s="91"/>
      <c r="F146" s="91"/>
      <c r="G146" s="91"/>
      <c r="H146" s="91"/>
      <c r="I146" s="91"/>
      <c r="J146" s="91"/>
      <c r="K146" s="91"/>
      <c r="L146" s="83"/>
      <c r="M146" s="84"/>
    </row>
    <row r="147" spans="1:13" s="82" customFormat="1">
      <c r="A147" s="91"/>
      <c r="B147" s="91"/>
      <c r="C147" s="91"/>
      <c r="D147" s="91"/>
      <c r="E147" s="91"/>
      <c r="F147" s="91"/>
      <c r="G147" s="91"/>
      <c r="H147" s="91"/>
      <c r="I147" s="91"/>
      <c r="J147" s="91"/>
      <c r="K147" s="91"/>
      <c r="L147" s="83"/>
      <c r="M147" s="84"/>
    </row>
    <row r="148" spans="1:13" s="82" customFormat="1">
      <c r="A148" s="91"/>
      <c r="B148" s="91"/>
      <c r="C148" s="91"/>
      <c r="D148" s="91"/>
      <c r="E148" s="91"/>
      <c r="F148" s="91"/>
      <c r="G148" s="91"/>
      <c r="H148" s="91"/>
      <c r="I148" s="91"/>
      <c r="J148" s="91"/>
      <c r="K148" s="91"/>
      <c r="L148" s="83"/>
      <c r="M148" s="84"/>
    </row>
    <row r="149" spans="1:13" s="82" customFormat="1">
      <c r="A149" s="91"/>
      <c r="B149" s="91"/>
      <c r="C149" s="91"/>
      <c r="D149" s="91"/>
      <c r="E149" s="91"/>
      <c r="F149" s="91"/>
      <c r="G149" s="91"/>
      <c r="H149" s="91"/>
      <c r="I149" s="91"/>
      <c r="J149" s="91"/>
      <c r="K149" s="91"/>
      <c r="L149" s="83"/>
      <c r="M149" s="84"/>
    </row>
    <row r="150" spans="1:13" s="82" customFormat="1">
      <c r="A150" s="91"/>
      <c r="B150" s="91"/>
      <c r="C150" s="91"/>
      <c r="D150" s="91"/>
      <c r="E150" s="91"/>
      <c r="F150" s="91"/>
      <c r="G150" s="91"/>
      <c r="H150" s="91"/>
      <c r="I150" s="91"/>
      <c r="J150" s="91"/>
      <c r="K150" s="91"/>
      <c r="L150" s="83"/>
      <c r="M150" s="84"/>
    </row>
    <row r="151" spans="1:13" s="82" customFormat="1">
      <c r="A151" s="91"/>
      <c r="B151" s="91"/>
      <c r="C151" s="91"/>
      <c r="D151" s="91"/>
      <c r="E151" s="91"/>
      <c r="F151" s="91"/>
      <c r="G151" s="91"/>
      <c r="H151" s="91"/>
      <c r="I151" s="91"/>
      <c r="J151" s="91"/>
      <c r="K151" s="91"/>
      <c r="L151" s="83"/>
      <c r="M151" s="84"/>
    </row>
    <row r="152" spans="1:13" s="82" customFormat="1">
      <c r="A152" s="91"/>
      <c r="B152" s="91"/>
      <c r="C152" s="91"/>
      <c r="D152" s="91"/>
      <c r="E152" s="91"/>
      <c r="F152" s="91"/>
      <c r="G152" s="91"/>
      <c r="H152" s="91"/>
      <c r="I152" s="91"/>
      <c r="J152" s="91"/>
      <c r="K152" s="91"/>
      <c r="L152" s="83"/>
      <c r="M152" s="84"/>
    </row>
    <row r="153" spans="1:13" s="82" customFormat="1">
      <c r="A153" s="91"/>
      <c r="B153" s="91"/>
      <c r="C153" s="91"/>
      <c r="D153" s="91"/>
      <c r="E153" s="91"/>
      <c r="F153" s="91"/>
      <c r="G153" s="91"/>
      <c r="H153" s="91"/>
      <c r="I153" s="91"/>
      <c r="J153" s="91"/>
      <c r="K153" s="91"/>
      <c r="L153" s="83"/>
      <c r="M153" s="84"/>
    </row>
    <row r="154" spans="1:13" s="82" customFormat="1">
      <c r="A154" s="91"/>
      <c r="B154" s="91"/>
      <c r="C154" s="91"/>
      <c r="D154" s="91"/>
      <c r="E154" s="91"/>
      <c r="F154" s="91"/>
      <c r="G154" s="91"/>
      <c r="H154" s="91"/>
      <c r="I154" s="91"/>
      <c r="J154" s="91"/>
      <c r="K154" s="91"/>
      <c r="L154" s="83"/>
      <c r="M154" s="84"/>
    </row>
    <row r="155" spans="1:13" s="82" customFormat="1">
      <c r="A155" s="91"/>
      <c r="B155" s="91"/>
      <c r="C155" s="91"/>
      <c r="D155" s="91"/>
      <c r="E155" s="91"/>
      <c r="F155" s="91"/>
      <c r="G155" s="91"/>
      <c r="H155" s="91"/>
      <c r="I155" s="91"/>
      <c r="J155" s="91"/>
      <c r="K155" s="91"/>
      <c r="L155" s="83"/>
      <c r="M155" s="84"/>
    </row>
    <row r="156" spans="1:13" s="82" customFormat="1">
      <c r="A156" s="91"/>
      <c r="B156" s="91"/>
      <c r="C156" s="91"/>
      <c r="D156" s="91"/>
      <c r="E156" s="91"/>
      <c r="F156" s="91"/>
      <c r="G156" s="91"/>
      <c r="H156" s="91"/>
      <c r="I156" s="91"/>
      <c r="J156" s="91"/>
      <c r="K156" s="91"/>
      <c r="L156" s="83"/>
      <c r="M156" s="84"/>
    </row>
    <row r="157" spans="1:13" s="82" customFormat="1">
      <c r="A157" s="91"/>
      <c r="B157" s="91"/>
      <c r="C157" s="91"/>
      <c r="D157" s="91"/>
      <c r="E157" s="91"/>
      <c r="F157" s="91"/>
      <c r="G157" s="91"/>
      <c r="H157" s="91"/>
      <c r="I157" s="91"/>
      <c r="J157" s="91"/>
      <c r="K157" s="91"/>
      <c r="L157" s="83"/>
      <c r="M157" s="84"/>
    </row>
    <row r="158" spans="1:13" s="82" customFormat="1">
      <c r="A158" s="91"/>
      <c r="B158" s="91"/>
      <c r="C158" s="91"/>
      <c r="D158" s="91"/>
      <c r="E158" s="91"/>
      <c r="F158" s="91"/>
      <c r="G158" s="91"/>
      <c r="H158" s="91"/>
      <c r="I158" s="91"/>
      <c r="J158" s="91"/>
      <c r="K158" s="91"/>
      <c r="L158" s="83"/>
      <c r="M158" s="84"/>
    </row>
    <row r="159" spans="1:13" s="82" customFormat="1">
      <c r="A159" s="91"/>
      <c r="B159" s="91"/>
      <c r="C159" s="91"/>
      <c r="D159" s="91"/>
      <c r="E159" s="91"/>
      <c r="F159" s="91"/>
      <c r="G159" s="91"/>
      <c r="H159" s="91"/>
      <c r="I159" s="91"/>
      <c r="J159" s="91"/>
      <c r="K159" s="91"/>
      <c r="L159" s="83"/>
      <c r="M159" s="84"/>
    </row>
    <row r="160" spans="1:13" s="82" customFormat="1">
      <c r="A160" s="91"/>
      <c r="B160" s="91"/>
      <c r="C160" s="91"/>
      <c r="D160" s="91"/>
      <c r="E160" s="91"/>
      <c r="F160" s="91"/>
      <c r="G160" s="91"/>
      <c r="H160" s="91"/>
      <c r="I160" s="91"/>
      <c r="J160" s="91"/>
      <c r="K160" s="91"/>
      <c r="L160" s="83"/>
      <c r="M160" s="84"/>
    </row>
    <row r="161" spans="1:13" s="82" customFormat="1">
      <c r="A161" s="91"/>
      <c r="B161" s="91"/>
      <c r="C161" s="91"/>
      <c r="D161" s="91"/>
      <c r="E161" s="91"/>
      <c r="F161" s="91"/>
      <c r="G161" s="91"/>
      <c r="H161" s="91"/>
      <c r="I161" s="91"/>
      <c r="J161" s="91"/>
      <c r="K161" s="91"/>
      <c r="L161" s="83"/>
      <c r="M161" s="84"/>
    </row>
    <row r="162" spans="1:13" s="82" customFormat="1">
      <c r="A162" s="91"/>
      <c r="B162" s="91"/>
      <c r="C162" s="91"/>
      <c r="D162" s="91"/>
      <c r="E162" s="91"/>
      <c r="F162" s="91"/>
      <c r="G162" s="91"/>
      <c r="H162" s="91"/>
      <c r="I162" s="91"/>
      <c r="J162" s="91"/>
      <c r="K162" s="91"/>
      <c r="L162" s="83"/>
      <c r="M162" s="84"/>
    </row>
    <row r="163" spans="1:13" s="82" customFormat="1">
      <c r="A163" s="91"/>
      <c r="B163" s="91"/>
      <c r="C163" s="91"/>
      <c r="D163" s="91"/>
      <c r="E163" s="91"/>
      <c r="F163" s="91"/>
      <c r="G163" s="91"/>
      <c r="H163" s="91"/>
      <c r="I163" s="91"/>
      <c r="J163" s="91"/>
      <c r="K163" s="91"/>
      <c r="L163" s="83"/>
      <c r="M163" s="84"/>
    </row>
    <row r="164" spans="1:13" s="82" customFormat="1">
      <c r="A164" s="91"/>
      <c r="B164" s="91"/>
      <c r="C164" s="91"/>
      <c r="D164" s="91"/>
      <c r="E164" s="91"/>
      <c r="F164" s="91"/>
      <c r="G164" s="91"/>
      <c r="H164" s="91"/>
      <c r="I164" s="91"/>
      <c r="J164" s="91"/>
      <c r="K164" s="91"/>
      <c r="L164" s="83"/>
      <c r="M164" s="84"/>
    </row>
    <row r="165" spans="1:13" s="82" customFormat="1">
      <c r="A165" s="91"/>
      <c r="B165" s="91"/>
      <c r="C165" s="91"/>
      <c r="D165" s="91"/>
      <c r="E165" s="91"/>
      <c r="F165" s="91"/>
      <c r="G165" s="91"/>
      <c r="H165" s="91"/>
      <c r="I165" s="91"/>
      <c r="J165" s="91"/>
      <c r="K165" s="91"/>
      <c r="L165" s="83"/>
      <c r="M165" s="84"/>
    </row>
    <row r="166" spans="1:13" s="82" customFormat="1">
      <c r="A166" s="91"/>
      <c r="B166" s="91"/>
      <c r="C166" s="91"/>
      <c r="D166" s="91"/>
      <c r="E166" s="91"/>
      <c r="F166" s="91"/>
      <c r="G166" s="91"/>
      <c r="H166" s="91"/>
      <c r="I166" s="91"/>
      <c r="J166" s="91"/>
      <c r="K166" s="91"/>
      <c r="L166" s="83"/>
      <c r="M166" s="84"/>
    </row>
    <row r="167" spans="1:13" s="82" customFormat="1">
      <c r="A167" s="91"/>
      <c r="B167" s="91"/>
      <c r="C167" s="91"/>
      <c r="D167" s="91"/>
      <c r="E167" s="91"/>
      <c r="F167" s="91"/>
      <c r="G167" s="91"/>
      <c r="H167" s="91"/>
      <c r="I167" s="91"/>
      <c r="J167" s="91"/>
      <c r="K167" s="91"/>
      <c r="L167" s="83"/>
      <c r="M167" s="84"/>
    </row>
    <row r="168" spans="1:13" s="82" customFormat="1">
      <c r="A168" s="91"/>
      <c r="B168" s="91"/>
      <c r="C168" s="91"/>
      <c r="D168" s="91"/>
      <c r="E168" s="91"/>
      <c r="F168" s="91"/>
      <c r="G168" s="91"/>
      <c r="H168" s="91"/>
      <c r="I168" s="91"/>
      <c r="J168" s="91"/>
      <c r="K168" s="91"/>
      <c r="L168" s="83"/>
      <c r="M168" s="84"/>
    </row>
    <row r="169" spans="1:13" s="82" customFormat="1">
      <c r="A169" s="91"/>
      <c r="B169" s="91"/>
      <c r="C169" s="91"/>
      <c r="D169" s="91"/>
      <c r="E169" s="91"/>
      <c r="F169" s="91"/>
      <c r="G169" s="91"/>
      <c r="H169" s="91"/>
      <c r="I169" s="91"/>
      <c r="J169" s="91"/>
      <c r="K169" s="91"/>
      <c r="L169" s="83"/>
      <c r="M169" s="84"/>
    </row>
    <row r="170" spans="1:13" s="82" customFormat="1">
      <c r="A170" s="91"/>
      <c r="B170" s="91"/>
      <c r="C170" s="91"/>
      <c r="D170" s="91"/>
      <c r="E170" s="91"/>
      <c r="F170" s="91"/>
      <c r="G170" s="91"/>
      <c r="H170" s="91"/>
      <c r="I170" s="91"/>
      <c r="J170" s="91"/>
      <c r="K170" s="91"/>
      <c r="L170" s="83"/>
      <c r="M170" s="84"/>
    </row>
    <row r="171" spans="1:13" s="82" customFormat="1">
      <c r="A171" s="91"/>
      <c r="B171" s="91"/>
      <c r="C171" s="91"/>
      <c r="D171" s="91"/>
      <c r="E171" s="91"/>
      <c r="F171" s="91"/>
      <c r="G171" s="91"/>
      <c r="H171" s="91"/>
      <c r="I171" s="91"/>
      <c r="J171" s="91"/>
      <c r="K171" s="91"/>
      <c r="L171" s="83"/>
      <c r="M171" s="84"/>
    </row>
    <row r="172" spans="1:13" s="82" customFormat="1">
      <c r="A172" s="91"/>
      <c r="B172" s="91"/>
      <c r="C172" s="91"/>
      <c r="D172" s="91"/>
      <c r="E172" s="91"/>
      <c r="F172" s="91"/>
      <c r="G172" s="91"/>
      <c r="H172" s="91"/>
      <c r="I172" s="91"/>
      <c r="J172" s="91"/>
      <c r="K172" s="91"/>
      <c r="L172" s="83"/>
      <c r="M172" s="84"/>
    </row>
    <row r="173" spans="1:13" s="82" customFormat="1">
      <c r="A173" s="91"/>
      <c r="B173" s="91"/>
      <c r="C173" s="91"/>
      <c r="D173" s="91"/>
      <c r="E173" s="91"/>
      <c r="F173" s="91"/>
      <c r="G173" s="91"/>
      <c r="H173" s="91"/>
      <c r="I173" s="91"/>
      <c r="J173" s="91"/>
      <c r="K173" s="91"/>
      <c r="L173" s="83"/>
      <c r="M173" s="84"/>
    </row>
    <row r="174" spans="1:13" s="82" customFormat="1">
      <c r="A174" s="91"/>
      <c r="B174" s="91"/>
      <c r="C174" s="91"/>
      <c r="D174" s="91"/>
      <c r="E174" s="91"/>
      <c r="F174" s="91"/>
      <c r="G174" s="91"/>
      <c r="H174" s="91"/>
      <c r="I174" s="91"/>
      <c r="J174" s="91"/>
      <c r="K174" s="91"/>
      <c r="L174" s="83"/>
      <c r="M174" s="84"/>
    </row>
    <row r="175" spans="1:13" s="82" customFormat="1">
      <c r="A175" s="91"/>
      <c r="B175" s="91"/>
      <c r="C175" s="91"/>
      <c r="D175" s="91"/>
      <c r="E175" s="91"/>
      <c r="F175" s="91"/>
      <c r="G175" s="91"/>
      <c r="H175" s="91"/>
      <c r="I175" s="91"/>
      <c r="J175" s="91"/>
      <c r="K175" s="91"/>
      <c r="L175" s="83"/>
      <c r="M175" s="84"/>
    </row>
    <row r="176" spans="1:13" s="82" customFormat="1">
      <c r="A176" s="91"/>
      <c r="B176" s="91"/>
      <c r="C176" s="91"/>
      <c r="D176" s="91"/>
      <c r="E176" s="91"/>
      <c r="F176" s="91"/>
      <c r="G176" s="91"/>
      <c r="H176" s="91"/>
      <c r="I176" s="91"/>
      <c r="J176" s="91"/>
      <c r="K176" s="91"/>
      <c r="L176" s="83"/>
      <c r="M176" s="84"/>
    </row>
    <row r="177" spans="1:13" s="82" customFormat="1">
      <c r="A177" s="91"/>
      <c r="B177" s="91"/>
      <c r="C177" s="91"/>
      <c r="D177" s="91"/>
      <c r="E177" s="91"/>
      <c r="F177" s="91"/>
      <c r="G177" s="91"/>
      <c r="H177" s="91"/>
      <c r="I177" s="91"/>
      <c r="J177" s="91"/>
      <c r="K177" s="91"/>
      <c r="L177" s="83"/>
      <c r="M177" s="84"/>
    </row>
    <row r="178" spans="1:13" s="82" customFormat="1">
      <c r="A178" s="91"/>
      <c r="B178" s="91"/>
      <c r="C178" s="91"/>
      <c r="D178" s="91"/>
      <c r="E178" s="91"/>
      <c r="F178" s="91"/>
      <c r="G178" s="91"/>
      <c r="H178" s="91"/>
      <c r="I178" s="91"/>
      <c r="J178" s="91"/>
      <c r="K178" s="91"/>
      <c r="L178" s="83"/>
      <c r="M178" s="84"/>
    </row>
    <row r="179" spans="1:13" s="82" customFormat="1">
      <c r="A179" s="91"/>
      <c r="B179" s="91"/>
      <c r="C179" s="91"/>
      <c r="D179" s="91"/>
      <c r="E179" s="91"/>
      <c r="F179" s="91"/>
      <c r="G179" s="91"/>
      <c r="H179" s="91"/>
      <c r="I179" s="91"/>
      <c r="J179" s="91"/>
      <c r="K179" s="91"/>
      <c r="L179" s="83"/>
      <c r="M179" s="84"/>
    </row>
    <row r="180" spans="1:13" s="82" customFormat="1">
      <c r="A180" s="91"/>
      <c r="B180" s="91"/>
      <c r="C180" s="91"/>
      <c r="D180" s="91"/>
      <c r="E180" s="91"/>
      <c r="F180" s="91"/>
      <c r="G180" s="91"/>
      <c r="H180" s="91"/>
      <c r="I180" s="91"/>
      <c r="J180" s="91"/>
      <c r="K180" s="91"/>
      <c r="L180" s="83"/>
      <c r="M180" s="84"/>
    </row>
    <row r="181" spans="1:13" s="82" customFormat="1">
      <c r="A181" s="91"/>
      <c r="B181" s="91"/>
      <c r="C181" s="91"/>
      <c r="D181" s="91"/>
      <c r="E181" s="91"/>
      <c r="F181" s="91"/>
      <c r="G181" s="91"/>
      <c r="H181" s="91"/>
      <c r="I181" s="91"/>
      <c r="J181" s="91"/>
      <c r="K181" s="91"/>
      <c r="L181" s="83"/>
      <c r="M181" s="84"/>
    </row>
    <row r="182" spans="1:13" s="82" customFormat="1">
      <c r="A182" s="91"/>
      <c r="B182" s="91"/>
      <c r="C182" s="91"/>
      <c r="D182" s="91"/>
      <c r="E182" s="91"/>
      <c r="F182" s="91"/>
      <c r="G182" s="91"/>
      <c r="H182" s="91"/>
      <c r="I182" s="91"/>
      <c r="J182" s="91"/>
      <c r="K182" s="91"/>
      <c r="L182" s="83"/>
      <c r="M182" s="84"/>
    </row>
    <row r="183" spans="1:13" s="82" customFormat="1">
      <c r="A183" s="91"/>
      <c r="B183" s="91"/>
      <c r="C183" s="91"/>
      <c r="D183" s="91"/>
      <c r="E183" s="91"/>
      <c r="F183" s="91"/>
      <c r="G183" s="91"/>
      <c r="H183" s="91"/>
      <c r="I183" s="91"/>
      <c r="J183" s="91"/>
      <c r="K183" s="91"/>
      <c r="L183" s="83"/>
      <c r="M183" s="84"/>
    </row>
    <row r="184" spans="1:13" s="82" customFormat="1">
      <c r="A184" s="91"/>
      <c r="B184" s="91"/>
      <c r="C184" s="91"/>
      <c r="D184" s="91"/>
      <c r="E184" s="91"/>
      <c r="F184" s="91"/>
      <c r="G184" s="91"/>
      <c r="H184" s="91"/>
      <c r="I184" s="91"/>
      <c r="J184" s="91"/>
      <c r="K184" s="91"/>
      <c r="L184" s="83"/>
      <c r="M184" s="84"/>
    </row>
    <row r="185" spans="1:13" s="82" customFormat="1">
      <c r="A185" s="91"/>
      <c r="B185" s="91"/>
      <c r="C185" s="91"/>
      <c r="D185" s="91"/>
      <c r="E185" s="91"/>
      <c r="F185" s="91"/>
      <c r="G185" s="91"/>
      <c r="H185" s="91"/>
      <c r="I185" s="91"/>
      <c r="J185" s="91"/>
      <c r="K185" s="91"/>
      <c r="L185" s="83"/>
      <c r="M185" s="84"/>
    </row>
    <row r="186" spans="1:13" s="82" customFormat="1">
      <c r="A186" s="91"/>
      <c r="B186" s="91"/>
      <c r="C186" s="91"/>
      <c r="D186" s="91"/>
      <c r="E186" s="91"/>
      <c r="F186" s="91"/>
      <c r="G186" s="91"/>
      <c r="H186" s="91"/>
      <c r="I186" s="91"/>
      <c r="J186" s="91"/>
      <c r="K186" s="91"/>
      <c r="L186" s="83"/>
      <c r="M186" s="84"/>
    </row>
    <row r="187" spans="1:13" s="82" customFormat="1">
      <c r="A187" s="91"/>
      <c r="B187" s="91"/>
      <c r="C187" s="91"/>
      <c r="D187" s="91"/>
      <c r="E187" s="91"/>
      <c r="F187" s="91"/>
      <c r="G187" s="91"/>
      <c r="H187" s="91"/>
      <c r="I187" s="91"/>
      <c r="J187" s="91"/>
      <c r="K187" s="91"/>
      <c r="L187" s="83"/>
      <c r="M187" s="84"/>
    </row>
    <row r="188" spans="1:13" s="82" customFormat="1">
      <c r="A188" s="91"/>
      <c r="B188" s="91"/>
      <c r="C188" s="91"/>
      <c r="D188" s="91"/>
      <c r="E188" s="91"/>
      <c r="F188" s="91"/>
      <c r="G188" s="91"/>
      <c r="H188" s="91"/>
      <c r="I188" s="91"/>
      <c r="J188" s="91"/>
      <c r="K188" s="91"/>
      <c r="L188" s="83"/>
      <c r="M188" s="84"/>
    </row>
    <row r="189" spans="1:13" s="82" customFormat="1">
      <c r="A189" s="91"/>
      <c r="B189" s="91"/>
      <c r="C189" s="91"/>
      <c r="D189" s="91"/>
      <c r="E189" s="91"/>
      <c r="F189" s="91"/>
      <c r="G189" s="91"/>
      <c r="H189" s="91"/>
      <c r="I189" s="91"/>
      <c r="J189" s="91"/>
      <c r="K189" s="91"/>
      <c r="L189" s="83"/>
      <c r="M189" s="84"/>
    </row>
    <row r="190" spans="1:13" s="82" customFormat="1">
      <c r="A190" s="91"/>
      <c r="B190" s="91"/>
      <c r="C190" s="91"/>
      <c r="D190" s="91"/>
      <c r="E190" s="91"/>
      <c r="F190" s="91"/>
      <c r="G190" s="91"/>
      <c r="H190" s="91"/>
      <c r="I190" s="91"/>
      <c r="J190" s="91"/>
      <c r="K190" s="91"/>
      <c r="L190" s="83"/>
      <c r="M190" s="84"/>
    </row>
    <row r="191" spans="1:13" s="82" customFormat="1">
      <c r="A191" s="91"/>
      <c r="B191" s="91"/>
      <c r="C191" s="91"/>
      <c r="D191" s="91"/>
      <c r="E191" s="91"/>
      <c r="F191" s="91"/>
      <c r="G191" s="91"/>
      <c r="H191" s="91"/>
      <c r="I191" s="91"/>
      <c r="J191" s="91"/>
      <c r="K191" s="91"/>
      <c r="L191" s="83"/>
      <c r="M191" s="84"/>
    </row>
    <row r="192" spans="1:13" s="82" customFormat="1">
      <c r="A192" s="91"/>
      <c r="B192" s="91"/>
      <c r="C192" s="91"/>
      <c r="D192" s="91"/>
      <c r="E192" s="91"/>
      <c r="F192" s="91"/>
      <c r="G192" s="91"/>
      <c r="H192" s="91"/>
      <c r="I192" s="91"/>
      <c r="J192" s="91"/>
      <c r="K192" s="91"/>
      <c r="L192" s="83"/>
      <c r="M192" s="84"/>
    </row>
    <row r="193" spans="1:13" s="82" customFormat="1">
      <c r="A193" s="91"/>
      <c r="B193" s="91"/>
      <c r="C193" s="91"/>
      <c r="D193" s="91"/>
      <c r="E193" s="91"/>
      <c r="F193" s="91"/>
      <c r="G193" s="91"/>
      <c r="H193" s="91"/>
      <c r="I193" s="91"/>
      <c r="J193" s="91"/>
      <c r="K193" s="91"/>
      <c r="L193" s="83"/>
      <c r="M193" s="84"/>
    </row>
    <row r="194" spans="1:13" s="82" customFormat="1">
      <c r="A194" s="91"/>
      <c r="B194" s="91"/>
      <c r="C194" s="91"/>
      <c r="D194" s="91"/>
      <c r="E194" s="91"/>
      <c r="F194" s="91"/>
      <c r="G194" s="91"/>
      <c r="H194" s="91"/>
      <c r="I194" s="91"/>
      <c r="J194" s="91"/>
      <c r="K194" s="91"/>
      <c r="L194" s="83"/>
      <c r="M194" s="84"/>
    </row>
    <row r="195" spans="1:13" s="82" customFormat="1">
      <c r="A195" s="91"/>
      <c r="B195" s="91"/>
      <c r="C195" s="91"/>
      <c r="D195" s="91"/>
      <c r="E195" s="91"/>
      <c r="F195" s="91"/>
      <c r="G195" s="91"/>
      <c r="H195" s="91"/>
      <c r="I195" s="91"/>
      <c r="J195" s="91"/>
      <c r="K195" s="91"/>
      <c r="L195" s="83"/>
      <c r="M195" s="84"/>
    </row>
    <row r="196" spans="1:13" s="82" customFormat="1">
      <c r="A196" s="91"/>
      <c r="B196" s="91"/>
      <c r="C196" s="91"/>
      <c r="D196" s="91"/>
      <c r="E196" s="91"/>
      <c r="F196" s="91"/>
      <c r="G196" s="91"/>
      <c r="H196" s="91"/>
      <c r="I196" s="91"/>
      <c r="J196" s="91"/>
      <c r="K196" s="91"/>
      <c r="L196" s="83"/>
      <c r="M196" s="84"/>
    </row>
    <row r="197" spans="1:13" s="82" customFormat="1">
      <c r="A197" s="91"/>
      <c r="B197" s="91"/>
      <c r="C197" s="91"/>
      <c r="D197" s="91"/>
      <c r="E197" s="91"/>
      <c r="F197" s="91"/>
      <c r="G197" s="91"/>
      <c r="H197" s="91"/>
      <c r="I197" s="91"/>
      <c r="J197" s="91"/>
      <c r="K197" s="91"/>
      <c r="L197" s="83"/>
      <c r="M197" s="84"/>
    </row>
    <row r="198" spans="1:13" s="82" customFormat="1">
      <c r="A198" s="91"/>
      <c r="B198" s="91"/>
      <c r="C198" s="91"/>
      <c r="D198" s="91"/>
      <c r="E198" s="91"/>
      <c r="F198" s="91"/>
      <c r="G198" s="91"/>
      <c r="H198" s="91"/>
      <c r="I198" s="91"/>
      <c r="J198" s="91"/>
      <c r="K198" s="91"/>
      <c r="L198" s="83"/>
      <c r="M198" s="84"/>
    </row>
    <row r="199" spans="1:13" s="82" customFormat="1">
      <c r="A199" s="91"/>
      <c r="B199" s="91"/>
      <c r="C199" s="91"/>
      <c r="D199" s="91"/>
      <c r="E199" s="91"/>
      <c r="F199" s="91"/>
      <c r="G199" s="91"/>
      <c r="H199" s="91"/>
      <c r="I199" s="91"/>
      <c r="J199" s="91"/>
      <c r="K199" s="91"/>
      <c r="L199" s="83"/>
      <c r="M199" s="84"/>
    </row>
    <row r="200" spans="1:13" s="82" customFormat="1">
      <c r="A200" s="91"/>
      <c r="B200" s="91"/>
      <c r="C200" s="91"/>
      <c r="D200" s="91"/>
      <c r="E200" s="91"/>
      <c r="F200" s="91"/>
      <c r="G200" s="91"/>
      <c r="H200" s="91"/>
      <c r="I200" s="91"/>
      <c r="J200" s="91"/>
      <c r="K200" s="91"/>
      <c r="L200" s="83"/>
      <c r="M200" s="84"/>
    </row>
    <row r="201" spans="1:13" s="82" customFormat="1">
      <c r="A201" s="91"/>
      <c r="B201" s="91"/>
      <c r="C201" s="91"/>
      <c r="D201" s="91"/>
      <c r="E201" s="91"/>
      <c r="F201" s="91"/>
      <c r="G201" s="91"/>
      <c r="H201" s="91"/>
      <c r="I201" s="91"/>
      <c r="J201" s="91"/>
      <c r="K201" s="91"/>
      <c r="L201" s="83"/>
      <c r="M201" s="84"/>
    </row>
    <row r="202" spans="1:13" s="82" customFormat="1">
      <c r="A202" s="91"/>
      <c r="B202" s="91"/>
      <c r="C202" s="91"/>
      <c r="D202" s="91"/>
      <c r="E202" s="91"/>
      <c r="F202" s="91"/>
      <c r="G202" s="91"/>
      <c r="H202" s="91"/>
      <c r="I202" s="91"/>
      <c r="J202" s="91"/>
      <c r="K202" s="91"/>
      <c r="L202" s="83"/>
      <c r="M202" s="84"/>
    </row>
    <row r="203" spans="1:13" s="82" customFormat="1">
      <c r="A203" s="91"/>
      <c r="B203" s="91"/>
      <c r="C203" s="91"/>
      <c r="D203" s="91"/>
      <c r="E203" s="91"/>
      <c r="F203" s="91"/>
      <c r="G203" s="91"/>
      <c r="H203" s="91"/>
      <c r="I203" s="91"/>
      <c r="J203" s="91"/>
      <c r="K203" s="91"/>
      <c r="L203" s="83"/>
      <c r="M203" s="84"/>
    </row>
    <row r="204" spans="1:13" s="82" customFormat="1">
      <c r="A204" s="91"/>
      <c r="B204" s="91"/>
      <c r="C204" s="91"/>
      <c r="D204" s="91"/>
      <c r="E204" s="91"/>
      <c r="F204" s="91"/>
      <c r="G204" s="91"/>
      <c r="H204" s="91"/>
      <c r="I204" s="91"/>
      <c r="J204" s="91"/>
      <c r="K204" s="91"/>
      <c r="L204" s="83"/>
      <c r="M204" s="84"/>
    </row>
    <row r="205" spans="1:13" s="82" customFormat="1">
      <c r="A205" s="91"/>
      <c r="B205" s="91"/>
      <c r="C205" s="91"/>
      <c r="D205" s="91"/>
      <c r="E205" s="91"/>
      <c r="F205" s="91"/>
      <c r="G205" s="91"/>
      <c r="H205" s="91"/>
      <c r="I205" s="91"/>
      <c r="J205" s="91"/>
      <c r="K205" s="91"/>
      <c r="L205" s="83"/>
      <c r="M205" s="84"/>
    </row>
    <row r="206" spans="1:13" s="82" customFormat="1">
      <c r="A206" s="91"/>
      <c r="B206" s="91"/>
      <c r="C206" s="91"/>
      <c r="D206" s="91"/>
      <c r="E206" s="91"/>
      <c r="F206" s="91"/>
      <c r="G206" s="91"/>
      <c r="H206" s="91"/>
      <c r="I206" s="91"/>
      <c r="J206" s="91"/>
      <c r="K206" s="91"/>
      <c r="L206" s="83"/>
      <c r="M206" s="84"/>
    </row>
    <row r="207" spans="1:13" s="82" customFormat="1">
      <c r="A207" s="91"/>
      <c r="B207" s="91"/>
      <c r="C207" s="91"/>
      <c r="D207" s="91"/>
      <c r="E207" s="91"/>
      <c r="F207" s="91"/>
      <c r="G207" s="91"/>
      <c r="H207" s="91"/>
      <c r="I207" s="91"/>
      <c r="J207" s="91"/>
      <c r="K207" s="91"/>
      <c r="L207" s="83"/>
      <c r="M207" s="84"/>
    </row>
    <row r="208" spans="1:13" s="82" customFormat="1">
      <c r="A208" s="91"/>
      <c r="B208" s="91"/>
      <c r="C208" s="91"/>
      <c r="D208" s="91"/>
      <c r="E208" s="91"/>
      <c r="F208" s="91"/>
      <c r="G208" s="91"/>
      <c r="H208" s="91"/>
      <c r="I208" s="91"/>
      <c r="J208" s="91"/>
      <c r="K208" s="91"/>
      <c r="L208" s="83"/>
      <c r="M208" s="84"/>
    </row>
    <row r="209" spans="1:13" s="82" customFormat="1">
      <c r="A209" s="91"/>
      <c r="B209" s="91"/>
      <c r="C209" s="91"/>
      <c r="D209" s="91"/>
      <c r="E209" s="91"/>
      <c r="F209" s="91"/>
      <c r="G209" s="91"/>
      <c r="H209" s="91"/>
      <c r="I209" s="91"/>
      <c r="J209" s="91"/>
      <c r="K209" s="91"/>
      <c r="L209" s="83"/>
      <c r="M209" s="84"/>
    </row>
    <row r="210" spans="1:13" s="82" customFormat="1">
      <c r="A210" s="91"/>
      <c r="B210" s="91"/>
      <c r="C210" s="91"/>
      <c r="D210" s="91"/>
      <c r="E210" s="91"/>
      <c r="F210" s="91"/>
      <c r="G210" s="91"/>
      <c r="H210" s="91"/>
      <c r="I210" s="91"/>
      <c r="J210" s="91"/>
      <c r="K210" s="91"/>
      <c r="L210" s="83"/>
      <c r="M210" s="84"/>
    </row>
    <row r="211" spans="1:13" s="82" customFormat="1">
      <c r="A211" s="91"/>
      <c r="B211" s="91"/>
      <c r="C211" s="91"/>
      <c r="D211" s="91"/>
      <c r="E211" s="91"/>
      <c r="F211" s="91"/>
      <c r="G211" s="91"/>
      <c r="H211" s="91"/>
      <c r="I211" s="91"/>
      <c r="J211" s="91"/>
      <c r="K211" s="91"/>
      <c r="L211" s="83"/>
      <c r="M211" s="84"/>
    </row>
    <row r="212" spans="1:13" s="82" customFormat="1">
      <c r="A212" s="91"/>
      <c r="B212" s="91"/>
      <c r="C212" s="91"/>
      <c r="D212" s="91"/>
      <c r="E212" s="91"/>
      <c r="F212" s="91"/>
      <c r="G212" s="91"/>
      <c r="H212" s="91"/>
      <c r="I212" s="91"/>
      <c r="J212" s="91"/>
      <c r="K212" s="91"/>
      <c r="L212" s="83"/>
      <c r="M212" s="84"/>
    </row>
    <row r="213" spans="1:13" s="82" customFormat="1">
      <c r="A213" s="91"/>
      <c r="B213" s="91"/>
      <c r="C213" s="91"/>
      <c r="D213" s="91"/>
      <c r="E213" s="91"/>
      <c r="F213" s="91"/>
      <c r="G213" s="91"/>
      <c r="H213" s="91"/>
      <c r="I213" s="91"/>
      <c r="J213" s="91"/>
      <c r="K213" s="91"/>
      <c r="L213" s="83"/>
      <c r="M213" s="84"/>
    </row>
    <row r="214" spans="1:13" s="82" customFormat="1">
      <c r="A214" s="91"/>
      <c r="B214" s="91"/>
      <c r="C214" s="91"/>
      <c r="D214" s="91"/>
      <c r="E214" s="91"/>
      <c r="F214" s="91"/>
      <c r="G214" s="91"/>
      <c r="H214" s="91"/>
      <c r="I214" s="91"/>
      <c r="J214" s="91"/>
      <c r="K214" s="91"/>
      <c r="L214" s="83"/>
      <c r="M214" s="84"/>
    </row>
    <row r="215" spans="1:13" s="82" customFormat="1">
      <c r="A215" s="91"/>
      <c r="B215" s="91"/>
      <c r="C215" s="91"/>
      <c r="D215" s="91"/>
      <c r="E215" s="91"/>
      <c r="F215" s="91"/>
      <c r="G215" s="91"/>
      <c r="H215" s="91"/>
      <c r="I215" s="91"/>
      <c r="J215" s="91"/>
      <c r="K215" s="91"/>
      <c r="L215" s="83"/>
      <c r="M215" s="84"/>
    </row>
    <row r="216" spans="1:13" s="82" customFormat="1">
      <c r="A216" s="91"/>
      <c r="B216" s="91"/>
      <c r="C216" s="91"/>
      <c r="D216" s="91"/>
      <c r="E216" s="91"/>
      <c r="F216" s="91"/>
      <c r="G216" s="91"/>
      <c r="H216" s="91"/>
      <c r="I216" s="91"/>
      <c r="J216" s="91"/>
      <c r="K216" s="91"/>
      <c r="L216" s="83"/>
      <c r="M216" s="84"/>
    </row>
    <row r="217" spans="1:13" s="82" customFormat="1">
      <c r="A217" s="91"/>
      <c r="B217" s="91"/>
      <c r="C217" s="91"/>
      <c r="D217" s="91"/>
      <c r="E217" s="91"/>
      <c r="F217" s="91"/>
      <c r="G217" s="91"/>
      <c r="H217" s="91"/>
      <c r="I217" s="91"/>
      <c r="J217" s="91"/>
      <c r="K217" s="91"/>
      <c r="L217" s="83"/>
      <c r="M217" s="84"/>
    </row>
    <row r="218" spans="1:13" s="82" customFormat="1">
      <c r="A218" s="91"/>
      <c r="B218" s="91"/>
      <c r="C218" s="91"/>
      <c r="D218" s="91"/>
      <c r="E218" s="91"/>
      <c r="F218" s="91"/>
      <c r="G218" s="91"/>
      <c r="H218" s="91"/>
      <c r="I218" s="91"/>
      <c r="J218" s="91"/>
      <c r="K218" s="91"/>
      <c r="L218" s="83"/>
      <c r="M218" s="84"/>
    </row>
    <row r="219" spans="1:13" s="82" customFormat="1">
      <c r="A219" s="91"/>
      <c r="B219" s="91"/>
      <c r="C219" s="91"/>
      <c r="D219" s="91"/>
      <c r="E219" s="91"/>
      <c r="F219" s="91"/>
      <c r="G219" s="91"/>
      <c r="H219" s="91"/>
      <c r="I219" s="91"/>
      <c r="J219" s="91"/>
      <c r="K219" s="91"/>
      <c r="L219" s="83"/>
      <c r="M219" s="84"/>
    </row>
    <row r="220" spans="1:13" s="82" customFormat="1">
      <c r="A220" s="91"/>
      <c r="B220" s="91"/>
      <c r="C220" s="91"/>
      <c r="D220" s="91"/>
      <c r="E220" s="91"/>
      <c r="F220" s="91"/>
      <c r="G220" s="91"/>
      <c r="H220" s="91"/>
      <c r="I220" s="91"/>
      <c r="J220" s="91"/>
      <c r="K220" s="91"/>
      <c r="L220" s="83"/>
      <c r="M220" s="84"/>
    </row>
    <row r="221" spans="1:13" s="82" customFormat="1">
      <c r="A221" s="91"/>
      <c r="B221" s="91"/>
      <c r="C221" s="91"/>
      <c r="D221" s="91"/>
      <c r="E221" s="91"/>
      <c r="F221" s="91"/>
      <c r="G221" s="91"/>
      <c r="H221" s="91"/>
      <c r="I221" s="91"/>
      <c r="J221" s="91"/>
      <c r="K221" s="91"/>
      <c r="L221" s="83"/>
      <c r="M221" s="84"/>
    </row>
    <row r="222" spans="1:13" s="82" customFormat="1">
      <c r="A222" s="91"/>
      <c r="B222" s="91"/>
      <c r="C222" s="91"/>
      <c r="D222" s="91"/>
      <c r="E222" s="91"/>
      <c r="F222" s="91"/>
      <c r="G222" s="91"/>
      <c r="H222" s="91"/>
      <c r="I222" s="91"/>
      <c r="J222" s="91"/>
      <c r="K222" s="91"/>
      <c r="L222" s="83"/>
      <c r="M222" s="84"/>
    </row>
    <row r="223" spans="1:13" s="82" customFormat="1">
      <c r="A223" s="91"/>
      <c r="B223" s="91"/>
      <c r="C223" s="91"/>
      <c r="D223" s="91"/>
      <c r="E223" s="91"/>
      <c r="F223" s="91"/>
      <c r="G223" s="91"/>
      <c r="H223" s="91"/>
      <c r="I223" s="91"/>
      <c r="J223" s="91"/>
      <c r="K223" s="91"/>
      <c r="L223" s="83"/>
      <c r="M223" s="84"/>
    </row>
    <row r="224" spans="1:13" s="82" customFormat="1">
      <c r="A224" s="91"/>
      <c r="B224" s="91"/>
      <c r="C224" s="91"/>
      <c r="D224" s="91"/>
      <c r="E224" s="91"/>
      <c r="F224" s="91"/>
      <c r="G224" s="91"/>
      <c r="H224" s="91"/>
      <c r="I224" s="91"/>
      <c r="J224" s="91"/>
      <c r="K224" s="91"/>
      <c r="L224" s="83"/>
      <c r="M224" s="84"/>
    </row>
    <row r="225" spans="1:13" s="82" customFormat="1">
      <c r="A225" s="91"/>
      <c r="B225" s="91"/>
      <c r="C225" s="91"/>
      <c r="D225" s="91"/>
      <c r="E225" s="91"/>
      <c r="F225" s="91"/>
      <c r="G225" s="91"/>
      <c r="H225" s="91"/>
      <c r="I225" s="91"/>
      <c r="J225" s="91"/>
      <c r="K225" s="91"/>
      <c r="L225" s="83"/>
      <c r="M225" s="84"/>
    </row>
    <row r="226" spans="1:13" s="82" customFormat="1">
      <c r="A226" s="91"/>
      <c r="B226" s="91"/>
      <c r="C226" s="91"/>
      <c r="D226" s="91"/>
      <c r="E226" s="91"/>
      <c r="F226" s="91"/>
      <c r="G226" s="91"/>
      <c r="H226" s="91"/>
      <c r="I226" s="91"/>
      <c r="J226" s="91"/>
      <c r="K226" s="91"/>
      <c r="L226" s="83"/>
      <c r="M226" s="84"/>
    </row>
    <row r="227" spans="1:13" s="82" customFormat="1">
      <c r="A227" s="91"/>
      <c r="B227" s="91"/>
      <c r="C227" s="91"/>
      <c r="D227" s="91"/>
      <c r="E227" s="91"/>
      <c r="F227" s="91"/>
      <c r="G227" s="91"/>
      <c r="H227" s="91"/>
      <c r="I227" s="91"/>
      <c r="J227" s="91"/>
      <c r="K227" s="91"/>
      <c r="L227" s="83"/>
      <c r="M227" s="84"/>
    </row>
    <row r="228" spans="1:13" s="82" customFormat="1">
      <c r="A228" s="91"/>
      <c r="B228" s="91"/>
      <c r="C228" s="91"/>
      <c r="D228" s="91"/>
      <c r="E228" s="91"/>
      <c r="F228" s="91"/>
      <c r="G228" s="91"/>
      <c r="H228" s="91"/>
      <c r="I228" s="91"/>
      <c r="J228" s="91"/>
      <c r="K228" s="91"/>
      <c r="L228" s="83"/>
      <c r="M228" s="84"/>
    </row>
    <row r="229" spans="1:13" s="82" customFormat="1">
      <c r="A229" s="91"/>
      <c r="B229" s="91"/>
      <c r="C229" s="91"/>
      <c r="D229" s="91"/>
      <c r="E229" s="91"/>
      <c r="F229" s="91"/>
      <c r="G229" s="91"/>
      <c r="H229" s="91"/>
      <c r="I229" s="91"/>
      <c r="J229" s="91"/>
      <c r="K229" s="91"/>
      <c r="L229" s="83"/>
      <c r="M229" s="84"/>
    </row>
    <row r="230" spans="1:13" s="82" customFormat="1">
      <c r="A230" s="91"/>
      <c r="B230" s="91"/>
      <c r="C230" s="91"/>
      <c r="D230" s="91"/>
      <c r="E230" s="91"/>
      <c r="F230" s="91"/>
      <c r="G230" s="91"/>
      <c r="H230" s="91"/>
      <c r="I230" s="91"/>
      <c r="J230" s="91"/>
      <c r="K230" s="91"/>
      <c r="L230" s="83"/>
      <c r="M230" s="84"/>
    </row>
    <row r="231" spans="1:13" s="82" customFormat="1">
      <c r="A231" s="91"/>
      <c r="B231" s="91"/>
      <c r="C231" s="91"/>
      <c r="D231" s="91"/>
      <c r="E231" s="91"/>
      <c r="F231" s="91"/>
      <c r="G231" s="91"/>
      <c r="H231" s="91"/>
      <c r="I231" s="91"/>
      <c r="J231" s="91"/>
      <c r="K231" s="91"/>
      <c r="L231" s="83"/>
      <c r="M231" s="84"/>
    </row>
    <row r="232" spans="1:13" s="82" customFormat="1">
      <c r="A232" s="91"/>
      <c r="B232" s="91"/>
      <c r="C232" s="91"/>
      <c r="D232" s="91"/>
      <c r="E232" s="91"/>
      <c r="F232" s="91"/>
      <c r="G232" s="91"/>
      <c r="H232" s="91"/>
      <c r="I232" s="91"/>
      <c r="J232" s="91"/>
      <c r="K232" s="91"/>
      <c r="L232" s="83"/>
      <c r="M232" s="84"/>
    </row>
    <row r="233" spans="1:13" s="82" customFormat="1">
      <c r="A233" s="91"/>
      <c r="B233" s="91"/>
      <c r="C233" s="91"/>
      <c r="D233" s="91"/>
      <c r="E233" s="91"/>
      <c r="F233" s="91"/>
      <c r="G233" s="91"/>
      <c r="H233" s="91"/>
      <c r="I233" s="91"/>
      <c r="J233" s="91"/>
      <c r="K233" s="91"/>
      <c r="L233" s="83"/>
      <c r="M233" s="84"/>
    </row>
    <row r="234" spans="1:13" s="82" customFormat="1">
      <c r="A234" s="91"/>
      <c r="B234" s="91"/>
      <c r="C234" s="91"/>
      <c r="D234" s="91"/>
      <c r="E234" s="91"/>
      <c r="F234" s="91"/>
      <c r="G234" s="91"/>
      <c r="H234" s="91"/>
      <c r="I234" s="91"/>
      <c r="J234" s="91"/>
      <c r="K234" s="91"/>
      <c r="L234" s="83"/>
      <c r="M234" s="84"/>
    </row>
    <row r="235" spans="1:13" s="82" customFormat="1">
      <c r="A235" s="91"/>
      <c r="B235" s="91"/>
      <c r="C235" s="91"/>
      <c r="D235" s="91"/>
      <c r="E235" s="91"/>
      <c r="F235" s="91"/>
      <c r="G235" s="91"/>
      <c r="H235" s="91"/>
      <c r="I235" s="91"/>
      <c r="J235" s="91"/>
      <c r="K235" s="91"/>
      <c r="L235" s="83"/>
      <c r="M235" s="84"/>
    </row>
    <row r="236" spans="1:13" s="82" customFormat="1">
      <c r="A236" s="91"/>
      <c r="B236" s="91"/>
      <c r="C236" s="91"/>
      <c r="D236" s="91"/>
      <c r="E236" s="91"/>
      <c r="F236" s="91"/>
      <c r="G236" s="91"/>
      <c r="H236" s="91"/>
      <c r="I236" s="91"/>
      <c r="J236" s="91"/>
      <c r="K236" s="91"/>
      <c r="L236" s="83"/>
      <c r="M236" s="84"/>
    </row>
    <row r="237" spans="1:13" s="82" customFormat="1">
      <c r="A237" s="91"/>
      <c r="B237" s="91"/>
      <c r="C237" s="91"/>
      <c r="D237" s="91"/>
      <c r="E237" s="91"/>
      <c r="F237" s="91"/>
      <c r="G237" s="91"/>
      <c r="H237" s="91"/>
      <c r="I237" s="91"/>
      <c r="J237" s="91"/>
      <c r="K237" s="91"/>
      <c r="L237" s="83"/>
      <c r="M237" s="84"/>
    </row>
    <row r="238" spans="1:13" s="82" customFormat="1">
      <c r="A238" s="91"/>
      <c r="B238" s="91"/>
      <c r="C238" s="91"/>
      <c r="D238" s="91"/>
      <c r="E238" s="91"/>
      <c r="F238" s="91"/>
      <c r="G238" s="91"/>
      <c r="H238" s="91"/>
      <c r="I238" s="91"/>
      <c r="J238" s="91"/>
      <c r="K238" s="91"/>
      <c r="L238" s="83"/>
      <c r="M238" s="84"/>
    </row>
    <row r="239" spans="1:13" s="82" customFormat="1">
      <c r="A239" s="91"/>
      <c r="B239" s="91"/>
      <c r="C239" s="91"/>
      <c r="D239" s="91"/>
      <c r="E239" s="91"/>
      <c r="F239" s="91"/>
      <c r="G239" s="91"/>
      <c r="H239" s="91"/>
      <c r="I239" s="91"/>
      <c r="J239" s="91"/>
      <c r="K239" s="91"/>
      <c r="L239" s="83"/>
      <c r="M239" s="84"/>
    </row>
    <row r="240" spans="1:13" s="82" customFormat="1">
      <c r="A240" s="91"/>
      <c r="B240" s="91"/>
      <c r="C240" s="91"/>
      <c r="D240" s="91"/>
      <c r="E240" s="91"/>
      <c r="F240" s="91"/>
      <c r="G240" s="91"/>
      <c r="H240" s="91"/>
      <c r="I240" s="91"/>
      <c r="J240" s="91"/>
      <c r="K240" s="91"/>
      <c r="L240" s="83"/>
      <c r="M240" s="84"/>
    </row>
    <row r="241" spans="1:13" s="82" customFormat="1">
      <c r="A241" s="91"/>
      <c r="B241" s="91"/>
      <c r="C241" s="91"/>
      <c r="D241" s="91"/>
      <c r="E241" s="91"/>
      <c r="F241" s="91"/>
      <c r="G241" s="91"/>
      <c r="H241" s="91"/>
      <c r="I241" s="91"/>
      <c r="J241" s="91"/>
      <c r="K241" s="91"/>
      <c r="L241" s="83"/>
      <c r="M241" s="84"/>
    </row>
    <row r="242" spans="1:13" s="82" customFormat="1">
      <c r="A242" s="91"/>
      <c r="B242" s="91"/>
      <c r="C242" s="91"/>
      <c r="D242" s="91"/>
      <c r="E242" s="91"/>
      <c r="F242" s="91"/>
      <c r="G242" s="91"/>
      <c r="H242" s="91"/>
      <c r="I242" s="91"/>
      <c r="J242" s="91"/>
      <c r="K242" s="91"/>
      <c r="L242" s="83"/>
      <c r="M242" s="84"/>
    </row>
    <row r="243" spans="1:13" s="82" customFormat="1">
      <c r="A243" s="91"/>
      <c r="B243" s="91"/>
      <c r="C243" s="91"/>
      <c r="D243" s="91"/>
      <c r="E243" s="91"/>
      <c r="F243" s="91"/>
      <c r="G243" s="91"/>
      <c r="H243" s="91"/>
      <c r="I243" s="91"/>
      <c r="J243" s="91"/>
      <c r="K243" s="91"/>
      <c r="L243" s="83"/>
      <c r="M243" s="84"/>
    </row>
    <row r="244" spans="1:13" s="82" customFormat="1">
      <c r="A244" s="91"/>
      <c r="B244" s="91"/>
      <c r="C244" s="91"/>
      <c r="D244" s="91"/>
      <c r="E244" s="91"/>
      <c r="F244" s="91"/>
      <c r="G244" s="91"/>
      <c r="H244" s="91"/>
      <c r="I244" s="91"/>
      <c r="J244" s="91"/>
      <c r="K244" s="91"/>
      <c r="L244" s="83"/>
      <c r="M244" s="84"/>
    </row>
    <row r="245" spans="1:13" s="82" customFormat="1">
      <c r="A245" s="91"/>
      <c r="B245" s="91"/>
      <c r="C245" s="91"/>
      <c r="D245" s="91"/>
      <c r="E245" s="91"/>
      <c r="F245" s="91"/>
      <c r="G245" s="91"/>
      <c r="H245" s="91"/>
      <c r="I245" s="91"/>
      <c r="J245" s="91"/>
      <c r="K245" s="91"/>
      <c r="L245" s="83"/>
      <c r="M245" s="84"/>
    </row>
    <row r="246" spans="1:13" s="82" customFormat="1">
      <c r="A246" s="91"/>
      <c r="B246" s="91"/>
      <c r="C246" s="91"/>
      <c r="D246" s="91"/>
      <c r="E246" s="91"/>
      <c r="F246" s="91"/>
      <c r="G246" s="91"/>
      <c r="H246" s="91"/>
      <c r="I246" s="91"/>
      <c r="J246" s="91"/>
      <c r="K246" s="91"/>
      <c r="L246" s="83"/>
      <c r="M246" s="84"/>
    </row>
    <row r="247" spans="1:13" s="82" customFormat="1">
      <c r="A247" s="91"/>
      <c r="B247" s="91"/>
      <c r="C247" s="91"/>
      <c r="D247" s="91"/>
      <c r="E247" s="91"/>
      <c r="F247" s="91"/>
      <c r="G247" s="91"/>
      <c r="H247" s="91"/>
      <c r="I247" s="91"/>
      <c r="J247" s="91"/>
      <c r="K247" s="91"/>
      <c r="L247" s="83"/>
      <c r="M247" s="84"/>
    </row>
    <row r="248" spans="1:13" s="82" customFormat="1">
      <c r="A248" s="91"/>
      <c r="B248" s="91"/>
      <c r="C248" s="91"/>
      <c r="D248" s="91"/>
      <c r="E248" s="91"/>
      <c r="F248" s="91"/>
      <c r="G248" s="91"/>
      <c r="H248" s="91"/>
      <c r="I248" s="91"/>
      <c r="J248" s="91"/>
      <c r="K248" s="91"/>
      <c r="L248" s="83"/>
      <c r="M248" s="84"/>
    </row>
    <row r="249" spans="1:13" s="82" customFormat="1">
      <c r="A249" s="91"/>
      <c r="B249" s="91"/>
      <c r="C249" s="91"/>
      <c r="D249" s="91"/>
      <c r="E249" s="91"/>
      <c r="F249" s="91"/>
      <c r="G249" s="91"/>
      <c r="H249" s="91"/>
      <c r="I249" s="91"/>
      <c r="J249" s="91"/>
      <c r="K249" s="91"/>
      <c r="L249" s="83"/>
      <c r="M249" s="84"/>
    </row>
    <row r="250" spans="1:13" s="82" customFormat="1">
      <c r="A250" s="91"/>
      <c r="B250" s="91"/>
      <c r="C250" s="91"/>
      <c r="D250" s="91"/>
      <c r="E250" s="91"/>
      <c r="F250" s="91"/>
      <c r="G250" s="91"/>
      <c r="H250" s="91"/>
      <c r="I250" s="91"/>
      <c r="J250" s="91"/>
      <c r="K250" s="91"/>
      <c r="L250" s="83"/>
      <c r="M250" s="84"/>
    </row>
    <row r="251" spans="1:13" s="82" customFormat="1">
      <c r="A251" s="91"/>
      <c r="B251" s="91"/>
      <c r="C251" s="91"/>
      <c r="D251" s="91"/>
      <c r="E251" s="91"/>
      <c r="F251" s="91"/>
      <c r="G251" s="91"/>
      <c r="H251" s="91"/>
      <c r="I251" s="91"/>
      <c r="J251" s="91"/>
      <c r="K251" s="91"/>
      <c r="L251" s="83"/>
      <c r="M251" s="84"/>
    </row>
    <row r="252" spans="1:13" s="82" customFormat="1">
      <c r="A252" s="91"/>
      <c r="B252" s="91"/>
      <c r="C252" s="91"/>
      <c r="D252" s="91"/>
      <c r="E252" s="91"/>
      <c r="F252" s="91"/>
      <c r="G252" s="91"/>
      <c r="H252" s="91"/>
      <c r="I252" s="91"/>
      <c r="J252" s="91"/>
      <c r="K252" s="91"/>
      <c r="L252" s="83"/>
      <c r="M252" s="84"/>
    </row>
    <row r="253" spans="1:13" s="82" customFormat="1">
      <c r="A253" s="91"/>
      <c r="B253" s="91"/>
      <c r="C253" s="91"/>
      <c r="D253" s="91"/>
      <c r="E253" s="91"/>
      <c r="F253" s="91"/>
      <c r="G253" s="91"/>
      <c r="H253" s="91"/>
      <c r="I253" s="91"/>
      <c r="J253" s="91"/>
      <c r="K253" s="91"/>
      <c r="L253" s="83"/>
      <c r="M253" s="84"/>
    </row>
    <row r="254" spans="1:13" s="82" customFormat="1">
      <c r="A254" s="91"/>
      <c r="B254" s="91"/>
      <c r="C254" s="91"/>
      <c r="D254" s="91"/>
      <c r="E254" s="91"/>
      <c r="F254" s="91"/>
      <c r="G254" s="91"/>
      <c r="H254" s="91"/>
      <c r="I254" s="91"/>
      <c r="J254" s="91"/>
      <c r="K254" s="91"/>
      <c r="L254" s="83"/>
      <c r="M254" s="84"/>
    </row>
    <row r="255" spans="1:13" s="82" customFormat="1">
      <c r="A255" s="91"/>
      <c r="B255" s="91"/>
      <c r="C255" s="91"/>
      <c r="D255" s="91"/>
      <c r="E255" s="91"/>
      <c r="F255" s="91"/>
      <c r="G255" s="91"/>
      <c r="H255" s="91"/>
      <c r="I255" s="91"/>
      <c r="J255" s="91"/>
      <c r="K255" s="91"/>
      <c r="L255" s="83"/>
      <c r="M255" s="84"/>
    </row>
    <row r="256" spans="1:13" s="82" customFormat="1">
      <c r="A256" s="91"/>
      <c r="B256" s="91"/>
      <c r="C256" s="91"/>
      <c r="D256" s="91"/>
      <c r="E256" s="91"/>
      <c r="F256" s="91"/>
      <c r="G256" s="91"/>
      <c r="H256" s="91"/>
      <c r="I256" s="91"/>
      <c r="J256" s="91"/>
      <c r="K256" s="91"/>
      <c r="L256" s="83"/>
      <c r="M256" s="84"/>
    </row>
    <row r="257" spans="1:13" s="82" customFormat="1">
      <c r="A257" s="91"/>
      <c r="B257" s="91"/>
      <c r="C257" s="91"/>
      <c r="D257" s="91"/>
      <c r="E257" s="91"/>
      <c r="F257" s="91"/>
      <c r="G257" s="91"/>
      <c r="H257" s="91"/>
      <c r="I257" s="91"/>
      <c r="J257" s="91"/>
      <c r="K257" s="91"/>
      <c r="L257" s="83"/>
      <c r="M257" s="84"/>
    </row>
    <row r="258" spans="1:13" s="82" customFormat="1">
      <c r="A258" s="91"/>
      <c r="B258" s="91"/>
      <c r="C258" s="91"/>
      <c r="D258" s="91"/>
      <c r="E258" s="91"/>
      <c r="F258" s="91"/>
      <c r="G258" s="91"/>
      <c r="H258" s="91"/>
      <c r="I258" s="91"/>
      <c r="J258" s="91"/>
      <c r="K258" s="91"/>
      <c r="L258" s="83"/>
      <c r="M258" s="84"/>
    </row>
    <row r="259" spans="1:13" s="82" customFormat="1">
      <c r="A259" s="91"/>
      <c r="B259" s="91"/>
      <c r="C259" s="91"/>
      <c r="D259" s="91"/>
      <c r="E259" s="91"/>
      <c r="F259" s="91"/>
      <c r="G259" s="91"/>
      <c r="H259" s="91"/>
      <c r="I259" s="91"/>
      <c r="J259" s="91"/>
      <c r="K259" s="91"/>
      <c r="L259" s="83"/>
      <c r="M259" s="84"/>
    </row>
    <row r="260" spans="1:13" s="82" customFormat="1">
      <c r="A260" s="91"/>
      <c r="B260" s="91"/>
      <c r="C260" s="91"/>
      <c r="D260" s="91"/>
      <c r="E260" s="91"/>
      <c r="F260" s="91"/>
      <c r="G260" s="91"/>
      <c r="H260" s="91"/>
      <c r="I260" s="91"/>
      <c r="J260" s="91"/>
      <c r="K260" s="91"/>
      <c r="L260" s="83"/>
      <c r="M260" s="84"/>
    </row>
    <row r="261" spans="1:13" s="82" customFormat="1">
      <c r="A261" s="91"/>
      <c r="B261" s="91"/>
      <c r="C261" s="91"/>
      <c r="D261" s="91"/>
      <c r="E261" s="91"/>
      <c r="F261" s="91"/>
      <c r="G261" s="91"/>
      <c r="H261" s="91"/>
      <c r="I261" s="91"/>
      <c r="J261" s="91"/>
      <c r="K261" s="91"/>
      <c r="L261" s="83"/>
      <c r="M261" s="84"/>
    </row>
    <row r="262" spans="1:13" s="82" customFormat="1">
      <c r="A262" s="91"/>
      <c r="B262" s="91"/>
      <c r="C262" s="91"/>
      <c r="D262" s="91"/>
      <c r="E262" s="91"/>
      <c r="F262" s="91"/>
      <c r="G262" s="91"/>
      <c r="H262" s="91"/>
      <c r="I262" s="91"/>
      <c r="J262" s="91"/>
      <c r="K262" s="91"/>
      <c r="L262" s="83"/>
      <c r="M262" s="84"/>
    </row>
    <row r="263" spans="1:13" s="82" customFormat="1">
      <c r="A263" s="91"/>
      <c r="B263" s="91"/>
      <c r="C263" s="91"/>
      <c r="D263" s="91"/>
      <c r="E263" s="91"/>
      <c r="F263" s="91"/>
      <c r="G263" s="91"/>
      <c r="H263" s="91"/>
      <c r="I263" s="91"/>
      <c r="J263" s="91"/>
      <c r="K263" s="91"/>
      <c r="L263" s="83"/>
      <c r="M263" s="84"/>
    </row>
    <row r="264" spans="1:13" s="82" customFormat="1">
      <c r="A264" s="91"/>
      <c r="B264" s="91"/>
      <c r="C264" s="91"/>
      <c r="D264" s="91"/>
      <c r="E264" s="91"/>
      <c r="F264" s="91"/>
      <c r="G264" s="91"/>
      <c r="H264" s="91"/>
      <c r="I264" s="91"/>
      <c r="J264" s="91"/>
      <c r="K264" s="91"/>
      <c r="L264" s="83"/>
      <c r="M264" s="84"/>
    </row>
    <row r="265" spans="1:13" s="82" customFormat="1">
      <c r="A265" s="91"/>
      <c r="B265" s="91"/>
      <c r="C265" s="91"/>
      <c r="D265" s="91"/>
      <c r="E265" s="91"/>
      <c r="F265" s="91"/>
      <c r="G265" s="91"/>
      <c r="H265" s="91"/>
      <c r="I265" s="91"/>
      <c r="J265" s="91"/>
      <c r="K265" s="91"/>
      <c r="L265" s="83"/>
      <c r="M265" s="84"/>
    </row>
    <row r="266" spans="1:13" s="82" customFormat="1">
      <c r="A266" s="91"/>
      <c r="B266" s="91"/>
      <c r="C266" s="91"/>
      <c r="D266" s="91"/>
      <c r="E266" s="91"/>
      <c r="F266" s="91"/>
      <c r="G266" s="91"/>
      <c r="H266" s="91"/>
      <c r="I266" s="91"/>
      <c r="J266" s="91"/>
      <c r="K266" s="91"/>
      <c r="L266" s="83"/>
      <c r="M266" s="84"/>
    </row>
    <row r="267" spans="1:13" s="82" customFormat="1">
      <c r="A267" s="91"/>
      <c r="B267" s="91"/>
      <c r="C267" s="91"/>
      <c r="D267" s="91"/>
      <c r="E267" s="91"/>
      <c r="F267" s="91"/>
      <c r="G267" s="91"/>
      <c r="H267" s="91"/>
      <c r="I267" s="91"/>
      <c r="J267" s="91"/>
      <c r="K267" s="91"/>
      <c r="L267" s="83"/>
      <c r="M267" s="84"/>
    </row>
    <row r="268" spans="1:13" s="82" customFormat="1">
      <c r="A268" s="91"/>
      <c r="B268" s="91"/>
      <c r="C268" s="91"/>
      <c r="D268" s="91"/>
      <c r="E268" s="91"/>
      <c r="F268" s="91"/>
      <c r="G268" s="91"/>
      <c r="H268" s="91"/>
      <c r="I268" s="91"/>
      <c r="J268" s="91"/>
      <c r="K268" s="91"/>
      <c r="L268" s="83"/>
      <c r="M268" s="84"/>
    </row>
    <row r="269" spans="1:13" s="82" customFormat="1">
      <c r="A269" s="91"/>
      <c r="B269" s="91"/>
      <c r="C269" s="91"/>
      <c r="D269" s="91"/>
      <c r="E269" s="91"/>
      <c r="F269" s="91"/>
      <c r="G269" s="91"/>
      <c r="H269" s="91"/>
      <c r="I269" s="91"/>
      <c r="J269" s="91"/>
      <c r="K269" s="91"/>
      <c r="L269" s="83"/>
      <c r="M269" s="84"/>
    </row>
    <row r="270" spans="1:13" s="82" customFormat="1">
      <c r="A270" s="91"/>
      <c r="B270" s="91"/>
      <c r="C270" s="91"/>
      <c r="D270" s="91"/>
      <c r="E270" s="91"/>
      <c r="F270" s="91"/>
      <c r="G270" s="91"/>
      <c r="H270" s="91"/>
      <c r="I270" s="91"/>
      <c r="J270" s="91"/>
      <c r="K270" s="91"/>
      <c r="L270" s="83"/>
      <c r="M270" s="84"/>
    </row>
    <row r="271" spans="1:13" s="82" customFormat="1">
      <c r="A271" s="91"/>
      <c r="B271" s="91"/>
      <c r="C271" s="91"/>
      <c r="D271" s="91"/>
      <c r="E271" s="91"/>
      <c r="F271" s="91"/>
      <c r="G271" s="91"/>
      <c r="H271" s="91"/>
      <c r="I271" s="91"/>
      <c r="J271" s="91"/>
      <c r="K271" s="91"/>
      <c r="L271" s="83"/>
      <c r="M271" s="84"/>
    </row>
    <row r="272" spans="1:13" s="82" customFormat="1">
      <c r="A272" s="91"/>
      <c r="B272" s="91"/>
      <c r="C272" s="91"/>
      <c r="D272" s="91"/>
      <c r="E272" s="91"/>
      <c r="F272" s="91"/>
      <c r="G272" s="91"/>
      <c r="H272" s="91"/>
      <c r="I272" s="91"/>
      <c r="J272" s="91"/>
      <c r="K272" s="91"/>
      <c r="L272" s="83"/>
      <c r="M272" s="84"/>
    </row>
    <row r="273" spans="1:13" s="82" customFormat="1">
      <c r="A273" s="91"/>
      <c r="B273" s="91"/>
      <c r="C273" s="91"/>
      <c r="D273" s="91"/>
      <c r="E273" s="91"/>
      <c r="F273" s="91"/>
      <c r="G273" s="91"/>
      <c r="H273" s="91"/>
      <c r="I273" s="91"/>
      <c r="J273" s="91"/>
      <c r="K273" s="91"/>
      <c r="L273" s="83"/>
      <c r="M273" s="84"/>
    </row>
    <row r="274" spans="1:13" s="82" customFormat="1">
      <c r="A274" s="91"/>
      <c r="B274" s="91"/>
      <c r="C274" s="91"/>
      <c r="D274" s="91"/>
      <c r="E274" s="91"/>
      <c r="F274" s="91"/>
      <c r="G274" s="91"/>
      <c r="H274" s="91"/>
      <c r="I274" s="91"/>
      <c r="J274" s="91"/>
      <c r="K274" s="91"/>
      <c r="L274" s="83"/>
      <c r="M274" s="84"/>
    </row>
    <row r="275" spans="1:13" s="82" customFormat="1">
      <c r="A275" s="91"/>
      <c r="B275" s="91"/>
      <c r="C275" s="91"/>
      <c r="D275" s="91"/>
      <c r="E275" s="91"/>
      <c r="F275" s="91"/>
      <c r="G275" s="91"/>
      <c r="H275" s="91"/>
      <c r="I275" s="91"/>
      <c r="J275" s="91"/>
      <c r="K275" s="91"/>
      <c r="L275" s="83"/>
      <c r="M275" s="84"/>
    </row>
    <row r="276" spans="1:13" s="82" customFormat="1">
      <c r="A276" s="91"/>
      <c r="B276" s="91"/>
      <c r="C276" s="91"/>
      <c r="D276" s="91"/>
      <c r="E276" s="91"/>
      <c r="F276" s="91"/>
      <c r="G276" s="91"/>
      <c r="H276" s="91"/>
      <c r="I276" s="91"/>
      <c r="J276" s="91"/>
      <c r="K276" s="91"/>
      <c r="L276" s="83"/>
      <c r="M276" s="84"/>
    </row>
    <row r="277" spans="1:13" s="82" customFormat="1">
      <c r="A277" s="91"/>
      <c r="B277" s="91"/>
      <c r="C277" s="91"/>
      <c r="D277" s="91"/>
      <c r="E277" s="91"/>
      <c r="F277" s="91"/>
      <c r="G277" s="91"/>
      <c r="H277" s="91"/>
      <c r="I277" s="91"/>
      <c r="J277" s="91"/>
      <c r="K277" s="91"/>
      <c r="L277" s="83"/>
      <c r="M277" s="84"/>
    </row>
    <row r="278" spans="1:13" s="82" customFormat="1">
      <c r="A278" s="91"/>
      <c r="B278" s="91"/>
      <c r="C278" s="91"/>
      <c r="D278" s="91"/>
      <c r="E278" s="91"/>
      <c r="F278" s="91"/>
      <c r="G278" s="91"/>
      <c r="H278" s="91"/>
      <c r="I278" s="91"/>
      <c r="J278" s="91"/>
      <c r="K278" s="91"/>
      <c r="L278" s="83"/>
      <c r="M278" s="84"/>
    </row>
    <row r="279" spans="1:13" s="82" customFormat="1">
      <c r="A279" s="91"/>
      <c r="B279" s="91"/>
      <c r="C279" s="91"/>
      <c r="D279" s="91"/>
      <c r="E279" s="91"/>
      <c r="F279" s="91"/>
      <c r="G279" s="91"/>
      <c r="H279" s="91"/>
      <c r="I279" s="91"/>
      <c r="J279" s="91"/>
      <c r="K279" s="91"/>
      <c r="L279" s="83"/>
      <c r="M279" s="84"/>
    </row>
    <row r="280" spans="1:13" s="82" customFormat="1">
      <c r="A280" s="91"/>
      <c r="B280" s="91"/>
      <c r="C280" s="91"/>
      <c r="D280" s="91"/>
      <c r="E280" s="91"/>
      <c r="F280" s="91"/>
      <c r="G280" s="91"/>
      <c r="H280" s="91"/>
      <c r="I280" s="91"/>
      <c r="J280" s="91"/>
      <c r="K280" s="91"/>
      <c r="L280" s="83"/>
      <c r="M280" s="84"/>
    </row>
    <row r="281" spans="1:13" s="82" customFormat="1">
      <c r="A281" s="91"/>
      <c r="B281" s="91"/>
      <c r="C281" s="91"/>
      <c r="D281" s="91"/>
      <c r="E281" s="91"/>
      <c r="F281" s="91"/>
      <c r="G281" s="91"/>
      <c r="H281" s="91"/>
      <c r="I281" s="91"/>
      <c r="J281" s="91"/>
      <c r="K281" s="91"/>
      <c r="L281" s="83"/>
      <c r="M281" s="84"/>
    </row>
    <row r="282" spans="1:13" s="82" customFormat="1">
      <c r="A282" s="91"/>
      <c r="B282" s="91"/>
      <c r="C282" s="91"/>
      <c r="D282" s="91"/>
      <c r="E282" s="91"/>
      <c r="F282" s="91"/>
      <c r="G282" s="91"/>
      <c r="H282" s="91"/>
      <c r="I282" s="91"/>
      <c r="J282" s="91"/>
      <c r="K282" s="91"/>
      <c r="L282" s="83"/>
      <c r="M282" s="84"/>
    </row>
    <row r="283" spans="1:13" s="82" customFormat="1">
      <c r="A283" s="91"/>
      <c r="B283" s="91"/>
      <c r="C283" s="91"/>
      <c r="D283" s="91"/>
      <c r="E283" s="91"/>
      <c r="F283" s="91"/>
      <c r="G283" s="91"/>
      <c r="H283" s="91"/>
      <c r="I283" s="91"/>
      <c r="J283" s="91"/>
      <c r="K283" s="91"/>
      <c r="L283" s="83"/>
      <c r="M283" s="84"/>
    </row>
    <row r="284" spans="1:13" s="82" customFormat="1">
      <c r="A284" s="91"/>
      <c r="B284" s="91"/>
      <c r="C284" s="91"/>
      <c r="D284" s="91"/>
      <c r="E284" s="91"/>
      <c r="F284" s="91"/>
      <c r="G284" s="91"/>
      <c r="H284" s="91"/>
      <c r="I284" s="91"/>
      <c r="J284" s="91"/>
      <c r="K284" s="91"/>
      <c r="L284" s="83"/>
      <c r="M284" s="84"/>
    </row>
    <row r="285" spans="1:13" s="82" customFormat="1">
      <c r="A285" s="91"/>
      <c r="B285" s="91"/>
      <c r="C285" s="91"/>
      <c r="D285" s="91"/>
      <c r="E285" s="91"/>
      <c r="F285" s="91"/>
      <c r="G285" s="91"/>
      <c r="H285" s="91"/>
      <c r="I285" s="91"/>
      <c r="J285" s="91"/>
      <c r="K285" s="91"/>
      <c r="L285" s="83"/>
      <c r="M285" s="84"/>
    </row>
    <row r="286" spans="1:13" s="82" customFormat="1">
      <c r="A286" s="91"/>
      <c r="B286" s="91"/>
      <c r="C286" s="91"/>
      <c r="D286" s="91"/>
      <c r="E286" s="91"/>
      <c r="F286" s="91"/>
      <c r="G286" s="91"/>
      <c r="H286" s="91"/>
      <c r="I286" s="91"/>
      <c r="J286" s="91"/>
      <c r="K286" s="91"/>
      <c r="L286" s="83"/>
      <c r="M286" s="84"/>
    </row>
    <row r="287" spans="1:13" s="82" customFormat="1">
      <c r="A287" s="91"/>
      <c r="B287" s="91"/>
      <c r="C287" s="91"/>
      <c r="D287" s="91"/>
      <c r="E287" s="91"/>
      <c r="F287" s="91"/>
      <c r="G287" s="91"/>
      <c r="H287" s="91"/>
      <c r="I287" s="91"/>
      <c r="J287" s="91"/>
      <c r="K287" s="91"/>
      <c r="L287" s="83"/>
      <c r="M287" s="84"/>
    </row>
    <row r="288" spans="1:13" s="82" customFormat="1">
      <c r="A288" s="91"/>
      <c r="B288" s="91"/>
      <c r="C288" s="91"/>
      <c r="D288" s="91"/>
      <c r="E288" s="91"/>
      <c r="F288" s="91"/>
      <c r="G288" s="91"/>
      <c r="H288" s="91"/>
      <c r="I288" s="91"/>
      <c r="J288" s="91"/>
      <c r="K288" s="91"/>
      <c r="L288" s="83"/>
      <c r="M288" s="84"/>
    </row>
    <row r="289" spans="1:13" s="82" customFormat="1">
      <c r="A289" s="91"/>
      <c r="B289" s="91"/>
      <c r="C289" s="91"/>
      <c r="D289" s="91"/>
      <c r="E289" s="91"/>
      <c r="F289" s="91"/>
      <c r="G289" s="91"/>
      <c r="H289" s="91"/>
      <c r="I289" s="91"/>
      <c r="J289" s="91"/>
      <c r="K289" s="91"/>
      <c r="L289" s="83"/>
      <c r="M289" s="84"/>
    </row>
    <row r="290" spans="1:13" s="82" customFormat="1">
      <c r="A290" s="91"/>
      <c r="B290" s="91"/>
      <c r="C290" s="91"/>
      <c r="D290" s="91"/>
      <c r="E290" s="91"/>
      <c r="F290" s="91"/>
      <c r="G290" s="91"/>
      <c r="H290" s="91"/>
      <c r="I290" s="91"/>
      <c r="J290" s="91"/>
      <c r="K290" s="91"/>
      <c r="L290" s="83"/>
      <c r="M290" s="84"/>
    </row>
    <row r="291" spans="1:13" s="82" customFormat="1">
      <c r="A291" s="91"/>
      <c r="B291" s="91"/>
      <c r="C291" s="91"/>
      <c r="D291" s="91"/>
      <c r="E291" s="91"/>
      <c r="F291" s="91"/>
      <c r="G291" s="91"/>
      <c r="H291" s="91"/>
      <c r="I291" s="91"/>
      <c r="J291" s="91"/>
      <c r="K291" s="91"/>
      <c r="L291" s="83"/>
      <c r="M291" s="84"/>
    </row>
    <row r="292" spans="1:13" s="82" customFormat="1">
      <c r="A292" s="91"/>
      <c r="B292" s="91"/>
      <c r="C292" s="91"/>
      <c r="D292" s="91"/>
      <c r="E292" s="91"/>
      <c r="F292" s="91"/>
      <c r="G292" s="91"/>
      <c r="H292" s="91"/>
      <c r="I292" s="91"/>
      <c r="J292" s="91"/>
      <c r="K292" s="91"/>
      <c r="L292" s="83"/>
      <c r="M292" s="84"/>
    </row>
    <row r="293" spans="1:13" s="82" customFormat="1">
      <c r="A293" s="91"/>
      <c r="B293" s="91"/>
      <c r="C293" s="91"/>
      <c r="D293" s="91"/>
      <c r="E293" s="91"/>
      <c r="F293" s="91"/>
      <c r="G293" s="91"/>
      <c r="H293" s="91"/>
      <c r="I293" s="91"/>
      <c r="J293" s="91"/>
      <c r="K293" s="91"/>
      <c r="L293" s="83"/>
      <c r="M293" s="84"/>
    </row>
    <row r="294" spans="1:13" s="82" customFormat="1">
      <c r="A294" s="91"/>
      <c r="B294" s="91"/>
      <c r="C294" s="91"/>
      <c r="D294" s="91"/>
      <c r="E294" s="91"/>
      <c r="F294" s="91"/>
      <c r="G294" s="91"/>
      <c r="H294" s="91"/>
      <c r="I294" s="91"/>
      <c r="J294" s="91"/>
      <c r="K294" s="91"/>
      <c r="L294" s="83"/>
      <c r="M294" s="84"/>
    </row>
    <row r="295" spans="1:13" s="82" customFormat="1">
      <c r="A295" s="91"/>
      <c r="B295" s="91"/>
      <c r="C295" s="91"/>
      <c r="D295" s="91"/>
      <c r="E295" s="91"/>
      <c r="F295" s="91"/>
      <c r="G295" s="91"/>
      <c r="H295" s="91"/>
      <c r="I295" s="91"/>
      <c r="J295" s="91"/>
      <c r="K295" s="91"/>
      <c r="L295" s="83"/>
      <c r="M295" s="84"/>
    </row>
    <row r="296" spans="1:13" s="82" customFormat="1">
      <c r="A296" s="91"/>
      <c r="B296" s="91"/>
      <c r="C296" s="91"/>
      <c r="D296" s="91"/>
      <c r="E296" s="91"/>
      <c r="F296" s="91"/>
      <c r="G296" s="91"/>
      <c r="H296" s="91"/>
      <c r="I296" s="91"/>
      <c r="J296" s="91"/>
      <c r="K296" s="91"/>
      <c r="L296" s="83"/>
      <c r="M296" s="84"/>
    </row>
    <row r="297" spans="1:13" s="82" customFormat="1">
      <c r="A297" s="91"/>
      <c r="B297" s="91"/>
      <c r="C297" s="91"/>
      <c r="D297" s="91"/>
      <c r="E297" s="91"/>
      <c r="F297" s="91"/>
      <c r="G297" s="91"/>
      <c r="H297" s="91"/>
      <c r="I297" s="91"/>
      <c r="J297" s="91"/>
      <c r="K297" s="91"/>
      <c r="L297" s="83"/>
      <c r="M297" s="84"/>
    </row>
    <row r="298" spans="1:13" s="82" customFormat="1">
      <c r="A298" s="91"/>
      <c r="B298" s="91"/>
      <c r="C298" s="91"/>
      <c r="D298" s="91"/>
      <c r="E298" s="91"/>
      <c r="F298" s="91"/>
      <c r="G298" s="91"/>
      <c r="H298" s="91"/>
      <c r="I298" s="91"/>
      <c r="J298" s="91"/>
      <c r="K298" s="91"/>
      <c r="L298" s="83"/>
      <c r="M298" s="84"/>
    </row>
    <row r="299" spans="1:13" s="82" customFormat="1">
      <c r="A299" s="91"/>
      <c r="B299" s="91"/>
      <c r="C299" s="91"/>
      <c r="D299" s="91"/>
      <c r="E299" s="91"/>
      <c r="F299" s="91"/>
      <c r="G299" s="91"/>
      <c r="H299" s="91"/>
      <c r="I299" s="91"/>
      <c r="J299" s="91"/>
      <c r="K299" s="91"/>
      <c r="L299" s="83"/>
      <c r="M299" s="84"/>
    </row>
    <row r="300" spans="1:13" s="82" customFormat="1">
      <c r="A300" s="91"/>
      <c r="B300" s="91"/>
      <c r="C300" s="91"/>
      <c r="D300" s="91"/>
      <c r="E300" s="91"/>
      <c r="F300" s="91"/>
      <c r="G300" s="91"/>
      <c r="H300" s="91"/>
      <c r="I300" s="91"/>
      <c r="J300" s="91"/>
      <c r="K300" s="91"/>
      <c r="L300" s="83"/>
      <c r="M300" s="84"/>
    </row>
    <row r="301" spans="1:13" s="82" customFormat="1">
      <c r="A301" s="91"/>
      <c r="B301" s="91"/>
      <c r="C301" s="91"/>
      <c r="D301" s="91"/>
      <c r="E301" s="91"/>
      <c r="F301" s="91"/>
      <c r="G301" s="91"/>
      <c r="H301" s="91"/>
      <c r="I301" s="91"/>
      <c r="J301" s="91"/>
      <c r="K301" s="91"/>
      <c r="L301" s="83"/>
      <c r="M301" s="84"/>
    </row>
    <row r="302" spans="1:13" s="82" customFormat="1">
      <c r="A302" s="91"/>
      <c r="B302" s="91"/>
      <c r="C302" s="91"/>
      <c r="D302" s="91"/>
      <c r="E302" s="91"/>
      <c r="F302" s="91"/>
      <c r="G302" s="91"/>
      <c r="H302" s="91"/>
      <c r="I302" s="91"/>
      <c r="J302" s="91"/>
      <c r="K302" s="91"/>
      <c r="L302" s="83"/>
      <c r="M302" s="84"/>
    </row>
    <row r="303" spans="1:13" s="82" customFormat="1">
      <c r="A303" s="91"/>
      <c r="B303" s="91"/>
      <c r="C303" s="91"/>
      <c r="D303" s="91"/>
      <c r="E303" s="91"/>
      <c r="F303" s="91"/>
      <c r="G303" s="91"/>
      <c r="H303" s="91"/>
      <c r="I303" s="91"/>
      <c r="J303" s="91"/>
      <c r="K303" s="91"/>
      <c r="L303" s="83"/>
      <c r="M303" s="84"/>
    </row>
    <row r="304" spans="1:13" s="82" customFormat="1">
      <c r="A304" s="91"/>
      <c r="B304" s="91"/>
      <c r="C304" s="91"/>
      <c r="D304" s="91"/>
      <c r="E304" s="91"/>
      <c r="F304" s="91"/>
      <c r="G304" s="91"/>
      <c r="H304" s="91"/>
      <c r="I304" s="91"/>
      <c r="J304" s="91"/>
      <c r="K304" s="91"/>
      <c r="L304" s="83"/>
      <c r="M304" s="84"/>
    </row>
    <row r="305" spans="1:13" s="82" customFormat="1">
      <c r="A305" s="91"/>
      <c r="B305" s="91"/>
      <c r="C305" s="91"/>
      <c r="D305" s="91"/>
      <c r="E305" s="91"/>
      <c r="F305" s="91"/>
      <c r="G305" s="91"/>
      <c r="H305" s="91"/>
      <c r="I305" s="91"/>
      <c r="J305" s="91"/>
      <c r="K305" s="91"/>
      <c r="L305" s="83"/>
      <c r="M305" s="84"/>
    </row>
    <row r="306" spans="1:13" s="82" customFormat="1">
      <c r="A306" s="91"/>
      <c r="B306" s="91"/>
      <c r="C306" s="91"/>
      <c r="D306" s="91"/>
      <c r="E306" s="91"/>
      <c r="F306" s="91"/>
      <c r="G306" s="91"/>
      <c r="H306" s="91"/>
      <c r="I306" s="91"/>
      <c r="J306" s="91"/>
      <c r="K306" s="91"/>
      <c r="L306" s="83"/>
      <c r="M306" s="84"/>
    </row>
    <row r="307" spans="1:13" s="82" customFormat="1">
      <c r="A307" s="91"/>
      <c r="B307" s="91"/>
      <c r="C307" s="91"/>
      <c r="D307" s="91"/>
      <c r="E307" s="91"/>
      <c r="F307" s="91"/>
      <c r="G307" s="91"/>
      <c r="H307" s="91"/>
      <c r="I307" s="91"/>
      <c r="J307" s="91"/>
      <c r="K307" s="91"/>
      <c r="L307" s="83"/>
      <c r="M307" s="84"/>
    </row>
    <row r="308" spans="1:13" s="82" customFormat="1">
      <c r="A308" s="91"/>
      <c r="B308" s="91"/>
      <c r="C308" s="91"/>
      <c r="D308" s="91"/>
      <c r="E308" s="91"/>
      <c r="F308" s="91"/>
      <c r="G308" s="91"/>
      <c r="H308" s="91"/>
      <c r="I308" s="91"/>
      <c r="J308" s="91"/>
      <c r="K308" s="91"/>
      <c r="L308" s="83"/>
      <c r="M308" s="84"/>
    </row>
    <row r="309" spans="1:13" s="82" customFormat="1">
      <c r="A309" s="91"/>
      <c r="B309" s="91"/>
      <c r="C309" s="91"/>
      <c r="D309" s="91"/>
      <c r="E309" s="91"/>
      <c r="F309" s="91"/>
      <c r="G309" s="91"/>
      <c r="H309" s="91"/>
      <c r="I309" s="91"/>
      <c r="J309" s="91"/>
      <c r="K309" s="91"/>
      <c r="L309" s="83"/>
      <c r="M309" s="84"/>
    </row>
    <row r="310" spans="1:13" s="82" customFormat="1">
      <c r="A310" s="91"/>
      <c r="B310" s="91"/>
      <c r="C310" s="91"/>
      <c r="D310" s="91"/>
      <c r="E310" s="91"/>
      <c r="F310" s="91"/>
      <c r="G310" s="91"/>
      <c r="H310" s="91"/>
      <c r="I310" s="91"/>
      <c r="J310" s="91"/>
      <c r="K310" s="91"/>
      <c r="L310" s="83"/>
      <c r="M310" s="84"/>
    </row>
    <row r="311" spans="1:13" s="82" customFormat="1">
      <c r="A311" s="91"/>
      <c r="B311" s="91"/>
      <c r="C311" s="91"/>
      <c r="D311" s="91"/>
      <c r="E311" s="91"/>
      <c r="F311" s="91"/>
      <c r="G311" s="91"/>
      <c r="H311" s="91"/>
      <c r="I311" s="91"/>
      <c r="J311" s="91"/>
      <c r="K311" s="91"/>
      <c r="L311" s="83"/>
      <c r="M311" s="84"/>
    </row>
    <row r="312" spans="1:13" s="82" customFormat="1">
      <c r="A312" s="91"/>
      <c r="B312" s="91"/>
      <c r="C312" s="91"/>
      <c r="D312" s="91"/>
      <c r="E312" s="91"/>
      <c r="F312" s="91"/>
      <c r="G312" s="91"/>
      <c r="H312" s="91"/>
      <c r="I312" s="91"/>
      <c r="J312" s="91"/>
      <c r="K312" s="91"/>
      <c r="L312" s="83"/>
      <c r="M312" s="84"/>
    </row>
    <row r="313" spans="1:13" s="82" customFormat="1">
      <c r="A313" s="91"/>
      <c r="B313" s="91"/>
      <c r="C313" s="91"/>
      <c r="D313" s="91"/>
      <c r="E313" s="91"/>
      <c r="F313" s="91"/>
      <c r="G313" s="91"/>
      <c r="H313" s="91"/>
      <c r="I313" s="91"/>
      <c r="J313" s="91"/>
      <c r="K313" s="91"/>
      <c r="L313" s="83"/>
      <c r="M313" s="84"/>
    </row>
    <row r="314" spans="1:13" s="82" customFormat="1">
      <c r="A314" s="91"/>
      <c r="B314" s="91"/>
      <c r="C314" s="91"/>
      <c r="D314" s="91"/>
      <c r="E314" s="91"/>
      <c r="F314" s="91"/>
      <c r="G314" s="91"/>
      <c r="H314" s="91"/>
      <c r="I314" s="91"/>
      <c r="J314" s="91"/>
      <c r="K314" s="91"/>
      <c r="L314" s="83"/>
      <c r="M314" s="84"/>
    </row>
    <row r="315" spans="1:13" s="82" customFormat="1">
      <c r="A315" s="91"/>
      <c r="B315" s="91"/>
      <c r="C315" s="91"/>
      <c r="D315" s="91"/>
      <c r="E315" s="91"/>
      <c r="F315" s="91"/>
      <c r="G315" s="91"/>
      <c r="H315" s="91"/>
      <c r="I315" s="91"/>
      <c r="J315" s="91"/>
      <c r="K315" s="91"/>
      <c r="L315" s="83"/>
      <c r="M315" s="84"/>
    </row>
    <row r="316" spans="1:13" s="82" customFormat="1">
      <c r="A316" s="91"/>
      <c r="B316" s="91"/>
      <c r="C316" s="91"/>
      <c r="D316" s="91"/>
      <c r="E316" s="91"/>
      <c r="F316" s="91"/>
      <c r="G316" s="91"/>
      <c r="H316" s="91"/>
      <c r="I316" s="91"/>
      <c r="J316" s="91"/>
      <c r="K316" s="91"/>
      <c r="L316" s="83"/>
      <c r="M316" s="84"/>
    </row>
    <row r="317" spans="1:13" s="82" customFormat="1">
      <c r="A317" s="91"/>
      <c r="B317" s="91"/>
      <c r="C317" s="91"/>
      <c r="D317" s="91"/>
      <c r="E317" s="91"/>
      <c r="F317" s="91"/>
      <c r="G317" s="91"/>
      <c r="H317" s="91"/>
      <c r="I317" s="91"/>
      <c r="J317" s="91"/>
      <c r="K317" s="91"/>
      <c r="L317" s="83"/>
      <c r="M317" s="84"/>
    </row>
    <row r="318" spans="1:13" s="82" customFormat="1">
      <c r="A318" s="91"/>
      <c r="B318" s="91"/>
      <c r="C318" s="91"/>
      <c r="D318" s="91"/>
      <c r="E318" s="91"/>
      <c r="F318" s="91"/>
      <c r="G318" s="91"/>
      <c r="H318" s="91"/>
      <c r="I318" s="91"/>
      <c r="J318" s="91"/>
      <c r="K318" s="91"/>
      <c r="L318" s="83"/>
      <c r="M318" s="84"/>
    </row>
    <row r="319" spans="1:13" s="82" customFormat="1">
      <c r="A319" s="91"/>
      <c r="B319" s="91"/>
      <c r="C319" s="91"/>
      <c r="D319" s="91"/>
      <c r="E319" s="91"/>
      <c r="F319" s="91"/>
      <c r="G319" s="91"/>
      <c r="H319" s="91"/>
      <c r="I319" s="91"/>
      <c r="J319" s="91"/>
      <c r="K319" s="91"/>
      <c r="L319" s="83"/>
      <c r="M319" s="84"/>
    </row>
    <row r="320" spans="1:13" s="82" customFormat="1">
      <c r="A320" s="91"/>
      <c r="B320" s="91"/>
      <c r="C320" s="91"/>
      <c r="D320" s="91"/>
      <c r="E320" s="91"/>
      <c r="F320" s="91"/>
      <c r="G320" s="91"/>
      <c r="H320" s="91"/>
      <c r="I320" s="91"/>
      <c r="J320" s="91"/>
      <c r="K320" s="91"/>
      <c r="L320" s="83"/>
      <c r="M320" s="84"/>
    </row>
    <row r="321" spans="1:13" s="82" customFormat="1">
      <c r="A321" s="91"/>
      <c r="B321" s="91"/>
      <c r="C321" s="91"/>
      <c r="D321" s="91"/>
      <c r="E321" s="91"/>
      <c r="F321" s="91"/>
      <c r="G321" s="91"/>
      <c r="H321" s="91"/>
      <c r="I321" s="91"/>
      <c r="J321" s="91"/>
      <c r="K321" s="91"/>
      <c r="L321" s="83"/>
      <c r="M321" s="84"/>
    </row>
    <row r="322" spans="1:13" s="82" customFormat="1">
      <c r="A322" s="91"/>
      <c r="B322" s="91"/>
      <c r="C322" s="91"/>
      <c r="D322" s="91"/>
      <c r="E322" s="91"/>
      <c r="F322" s="91"/>
      <c r="G322" s="91"/>
      <c r="H322" s="91"/>
      <c r="I322" s="91"/>
      <c r="J322" s="91"/>
      <c r="K322" s="91"/>
      <c r="L322" s="83"/>
      <c r="M322" s="84"/>
    </row>
    <row r="323" spans="1:13" s="82" customFormat="1">
      <c r="A323" s="91"/>
      <c r="B323" s="91"/>
      <c r="C323" s="91"/>
      <c r="D323" s="91"/>
      <c r="E323" s="91"/>
      <c r="F323" s="91"/>
      <c r="G323" s="91"/>
      <c r="H323" s="91"/>
      <c r="I323" s="91"/>
      <c r="J323" s="91"/>
      <c r="K323" s="91"/>
      <c r="L323" s="83"/>
      <c r="M323" s="84"/>
    </row>
    <row r="324" spans="1:13" s="82" customFormat="1">
      <c r="A324" s="91"/>
      <c r="B324" s="91"/>
      <c r="C324" s="91"/>
      <c r="D324" s="91"/>
      <c r="E324" s="91"/>
      <c r="F324" s="91"/>
      <c r="G324" s="91"/>
      <c r="H324" s="91"/>
      <c r="I324" s="91"/>
      <c r="J324" s="91"/>
      <c r="K324" s="91"/>
      <c r="L324" s="83"/>
      <c r="M324" s="84"/>
    </row>
    <row r="325" spans="1:13" s="82" customFormat="1">
      <c r="A325" s="91"/>
      <c r="B325" s="91"/>
      <c r="C325" s="91"/>
      <c r="D325" s="91"/>
      <c r="E325" s="91"/>
      <c r="F325" s="91"/>
      <c r="G325" s="91"/>
      <c r="H325" s="91"/>
      <c r="I325" s="91"/>
      <c r="J325" s="91"/>
      <c r="K325" s="91"/>
      <c r="L325" s="83"/>
      <c r="M325" s="84"/>
    </row>
    <row r="326" spans="1:13" s="82" customFormat="1">
      <c r="A326" s="91"/>
      <c r="B326" s="91"/>
      <c r="C326" s="91"/>
      <c r="D326" s="91"/>
      <c r="E326" s="91"/>
      <c r="F326" s="91"/>
      <c r="G326" s="91"/>
      <c r="H326" s="91"/>
      <c r="I326" s="91"/>
      <c r="J326" s="91"/>
      <c r="K326" s="91"/>
      <c r="L326" s="83"/>
      <c r="M326" s="84"/>
    </row>
    <row r="327" spans="1:13" s="82" customFormat="1">
      <c r="A327" s="91"/>
      <c r="B327" s="91"/>
      <c r="C327" s="91"/>
      <c r="D327" s="91"/>
      <c r="E327" s="91"/>
      <c r="F327" s="91"/>
      <c r="G327" s="91"/>
      <c r="H327" s="91"/>
      <c r="I327" s="91"/>
      <c r="J327" s="91"/>
      <c r="K327" s="91"/>
      <c r="L327" s="83"/>
      <c r="M327" s="84"/>
    </row>
    <row r="328" spans="1:13" s="82" customFormat="1">
      <c r="A328" s="91"/>
      <c r="B328" s="91"/>
      <c r="C328" s="91"/>
      <c r="D328" s="91"/>
      <c r="E328" s="91"/>
      <c r="F328" s="91"/>
      <c r="G328" s="91"/>
      <c r="H328" s="91"/>
      <c r="I328" s="91"/>
      <c r="J328" s="91"/>
      <c r="K328" s="91"/>
      <c r="L328" s="83"/>
      <c r="M328" s="84"/>
    </row>
    <row r="329" spans="1:13" s="82" customFormat="1">
      <c r="A329" s="91"/>
      <c r="B329" s="91"/>
      <c r="C329" s="91"/>
      <c r="D329" s="91"/>
      <c r="E329" s="91"/>
      <c r="F329" s="91"/>
      <c r="G329" s="91"/>
      <c r="H329" s="91"/>
      <c r="I329" s="91"/>
      <c r="J329" s="91"/>
      <c r="K329" s="91"/>
      <c r="L329" s="83"/>
      <c r="M329" s="84"/>
    </row>
    <row r="330" spans="1:13" s="82" customFormat="1">
      <c r="A330" s="91"/>
      <c r="B330" s="91"/>
      <c r="C330" s="91"/>
      <c r="D330" s="91"/>
      <c r="E330" s="91"/>
      <c r="F330" s="91"/>
      <c r="G330" s="91"/>
      <c r="H330" s="91"/>
      <c r="I330" s="91"/>
      <c r="J330" s="91"/>
      <c r="K330" s="91"/>
      <c r="L330" s="83"/>
      <c r="M330" s="84"/>
    </row>
    <row r="331" spans="1:13" s="82" customFormat="1">
      <c r="A331" s="91"/>
      <c r="B331" s="91"/>
      <c r="C331" s="91"/>
      <c r="D331" s="91"/>
      <c r="E331" s="91"/>
      <c r="F331" s="91"/>
      <c r="G331" s="91"/>
      <c r="H331" s="91"/>
      <c r="I331" s="91"/>
      <c r="J331" s="91"/>
      <c r="K331" s="91"/>
      <c r="L331" s="83"/>
      <c r="M331" s="84"/>
    </row>
    <row r="332" spans="1:13" s="82" customFormat="1">
      <c r="A332" s="91"/>
      <c r="B332" s="91"/>
      <c r="C332" s="91"/>
      <c r="D332" s="91"/>
      <c r="E332" s="91"/>
      <c r="F332" s="91"/>
      <c r="G332" s="91"/>
      <c r="H332" s="91"/>
      <c r="I332" s="91"/>
      <c r="J332" s="91"/>
      <c r="K332" s="91"/>
      <c r="L332" s="83"/>
      <c r="M332" s="84"/>
    </row>
  </sheetData>
  <mergeCells count="8">
    <mergeCell ref="K3:M3"/>
    <mergeCell ref="L4:L5"/>
    <mergeCell ref="M4:M5"/>
    <mergeCell ref="A4:A5"/>
    <mergeCell ref="B4:B5"/>
    <mergeCell ref="C4:C5"/>
    <mergeCell ref="D4:I4"/>
    <mergeCell ref="K4:K5"/>
  </mergeCells>
  <printOptions horizontalCentered="1"/>
  <pageMargins left="0.23622047244094491" right="0.23622047244094491" top="0.23622047244094491" bottom="0.51181102362204722" header="0" footer="0"/>
  <pageSetup scale="90" orientation="landscape" r:id="rId1"/>
  <headerFooter alignWithMargins="0">
    <oddFooter>&amp;LSign - DKBPL&amp;RSign - LFPL</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Z4519"/>
  <sheetViews>
    <sheetView showZeros="0" view="pageBreakPreview" topLeftCell="A3641" zoomScale="115" zoomScaleNormal="100" zoomScaleSheetLayoutView="115" workbookViewId="0">
      <selection activeCell="I3652" sqref="I3652"/>
    </sheetView>
  </sheetViews>
  <sheetFormatPr defaultColWidth="9" defaultRowHeight="18" customHeight="1"/>
  <cols>
    <col min="1" max="1" width="14.28515625" style="65" customWidth="1"/>
    <col min="2" max="2" width="40.5703125" style="65" customWidth="1"/>
    <col min="3" max="3" width="6.5703125" style="360" bestFit="1" customWidth="1"/>
    <col min="4" max="4" width="12.42578125" style="361" customWidth="1"/>
    <col min="5" max="5" width="8.28515625" style="361" bestFit="1" customWidth="1"/>
    <col min="6" max="6" width="9.5703125" style="361" bestFit="1" customWidth="1"/>
    <col min="7" max="7" width="12.5703125" style="361" bestFit="1" customWidth="1"/>
    <col min="8" max="8" width="9.42578125" style="65" bestFit="1" customWidth="1"/>
    <col min="9" max="9" width="8.140625" style="1226" customWidth="1"/>
    <col min="10" max="10" width="11.140625" style="65" bestFit="1" customWidth="1"/>
    <col min="11" max="11" width="9" style="65"/>
    <col min="12" max="12" width="10.85546875" style="65" customWidth="1"/>
    <col min="13" max="16384" width="9" style="65"/>
  </cols>
  <sheetData>
    <row r="1" spans="1:130" ht="18" customHeight="1">
      <c r="A1" s="1063" t="s">
        <v>1</v>
      </c>
      <c r="B1" s="1063"/>
      <c r="C1" s="1063"/>
      <c r="D1" s="1063"/>
      <c r="E1" s="1063"/>
      <c r="F1" s="1063"/>
      <c r="G1" s="1063"/>
      <c r="H1" s="1063"/>
    </row>
    <row r="2" spans="1:130" s="219" customFormat="1" ht="18" customHeight="1">
      <c r="A2" s="62" t="s">
        <v>2426</v>
      </c>
      <c r="B2" s="62"/>
      <c r="C2" s="498"/>
      <c r="D2" s="62"/>
      <c r="E2" s="62"/>
      <c r="F2" s="62"/>
      <c r="G2" s="62"/>
      <c r="H2" s="62"/>
      <c r="I2" s="1134"/>
      <c r="J2" s="65"/>
      <c r="K2" s="65"/>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row>
    <row r="3" spans="1:130" ht="18" customHeight="1" thickBot="1">
      <c r="A3" s="1064" t="s">
        <v>2524</v>
      </c>
      <c r="B3" s="1064"/>
      <c r="C3" s="1064"/>
      <c r="D3" s="1064"/>
      <c r="E3" s="1064"/>
      <c r="F3" s="1065" t="s">
        <v>1760</v>
      </c>
      <c r="G3" s="1065"/>
      <c r="H3" s="62"/>
    </row>
    <row r="4" spans="1:130" ht="37.5" customHeight="1" thickBot="1">
      <c r="A4" s="920" t="s">
        <v>2</v>
      </c>
      <c r="B4" s="920" t="s">
        <v>0</v>
      </c>
      <c r="C4" s="921" t="s">
        <v>3</v>
      </c>
      <c r="D4" s="922" t="s">
        <v>4</v>
      </c>
      <c r="E4" s="922" t="s">
        <v>5</v>
      </c>
      <c r="F4" s="922" t="s">
        <v>6</v>
      </c>
      <c r="G4" s="922" t="s">
        <v>7</v>
      </c>
      <c r="H4" s="923" t="s">
        <v>297</v>
      </c>
    </row>
    <row r="5" spans="1:130" ht="18" customHeight="1">
      <c r="A5" s="924">
        <v>1.1000000000000001</v>
      </c>
      <c r="B5" s="925" t="s">
        <v>1226</v>
      </c>
      <c r="C5" s="926"/>
      <c r="D5" s="927"/>
      <c r="E5" s="927"/>
      <c r="F5" s="927"/>
      <c r="G5" s="927"/>
      <c r="H5" s="928"/>
    </row>
    <row r="6" spans="1:130" ht="18" customHeight="1">
      <c r="A6" s="354" t="s">
        <v>1804</v>
      </c>
      <c r="B6" s="63" t="s">
        <v>1796</v>
      </c>
      <c r="C6" s="435">
        <v>42</v>
      </c>
      <c r="D6" s="67">
        <f>1.8+0.15</f>
        <v>1.95</v>
      </c>
      <c r="E6" s="67">
        <f>1.8+0.15</f>
        <v>1.95</v>
      </c>
      <c r="F6" s="67">
        <v>2.0950000000000002</v>
      </c>
      <c r="G6" s="67">
        <f>IF(C6&lt;&gt;0,ROUND(PRODUCT(D6:F6)*C6,2)," ")</f>
        <v>334.58</v>
      </c>
      <c r="H6" s="929"/>
    </row>
    <row r="7" spans="1:130" ht="18" customHeight="1">
      <c r="A7" s="354" t="s">
        <v>1804</v>
      </c>
      <c r="B7" s="63" t="s">
        <v>1797</v>
      </c>
      <c r="C7" s="435">
        <v>40</v>
      </c>
      <c r="D7" s="67">
        <f>2.1+0.15</f>
        <v>2.25</v>
      </c>
      <c r="E7" s="67">
        <f>2.1+0.15</f>
        <v>2.25</v>
      </c>
      <c r="F7" s="67">
        <v>2.0950000000000002</v>
      </c>
      <c r="G7" s="67">
        <f t="shared" ref="G7:G13" si="0">IF(C7&lt;&gt;0,ROUND(PRODUCT(D7:F7)*C7,2)," ")</f>
        <v>424.24</v>
      </c>
      <c r="H7" s="929"/>
    </row>
    <row r="8" spans="1:130" ht="18" customHeight="1">
      <c r="A8" s="354" t="s">
        <v>1804</v>
      </c>
      <c r="B8" s="63" t="s">
        <v>1798</v>
      </c>
      <c r="C8" s="435">
        <v>18</v>
      </c>
      <c r="D8" s="67">
        <f>2.4+0.15</f>
        <v>2.5499999999999998</v>
      </c>
      <c r="E8" s="67">
        <f>2.4+0.15</f>
        <v>2.5499999999999998</v>
      </c>
      <c r="F8" s="67">
        <v>2.0950000000000002</v>
      </c>
      <c r="G8" s="67">
        <f t="shared" si="0"/>
        <v>245.21</v>
      </c>
      <c r="H8" s="929"/>
    </row>
    <row r="9" spans="1:130" ht="18" customHeight="1">
      <c r="A9" s="354" t="s">
        <v>1804</v>
      </c>
      <c r="B9" s="63" t="s">
        <v>1799</v>
      </c>
      <c r="C9" s="435">
        <v>4</v>
      </c>
      <c r="D9" s="67">
        <f>2.7+0.15</f>
        <v>2.85</v>
      </c>
      <c r="E9" s="67">
        <f>2.7+0.15</f>
        <v>2.85</v>
      </c>
      <c r="F9" s="67">
        <v>2.0950000000000002</v>
      </c>
      <c r="G9" s="67">
        <f t="shared" si="0"/>
        <v>68.069999999999993</v>
      </c>
      <c r="H9" s="929"/>
    </row>
    <row r="10" spans="1:130" ht="18" customHeight="1">
      <c r="A10" s="354" t="s">
        <v>1804</v>
      </c>
      <c r="B10" s="63" t="s">
        <v>1800</v>
      </c>
      <c r="C10" s="435">
        <v>4</v>
      </c>
      <c r="D10" s="67">
        <f>3.25+0.15</f>
        <v>3.4</v>
      </c>
      <c r="E10" s="67">
        <f>2.25+0.15</f>
        <v>2.4</v>
      </c>
      <c r="F10" s="67">
        <v>2.0950000000000002</v>
      </c>
      <c r="G10" s="67">
        <f t="shared" si="0"/>
        <v>68.38</v>
      </c>
      <c r="H10" s="929"/>
    </row>
    <row r="11" spans="1:130" ht="18" customHeight="1">
      <c r="A11" s="354" t="s">
        <v>1804</v>
      </c>
      <c r="B11" s="63" t="s">
        <v>1801</v>
      </c>
      <c r="C11" s="435">
        <v>10</v>
      </c>
      <c r="D11" s="67">
        <f>4.8+0.15</f>
        <v>4.95</v>
      </c>
      <c r="E11" s="67">
        <f>2.4+0.15</f>
        <v>2.5499999999999998</v>
      </c>
      <c r="F11" s="67">
        <v>2.0950000000000002</v>
      </c>
      <c r="G11" s="67">
        <f t="shared" si="0"/>
        <v>264.44</v>
      </c>
      <c r="H11" s="929"/>
    </row>
    <row r="12" spans="1:130" ht="18" customHeight="1">
      <c r="A12" s="354" t="s">
        <v>1804</v>
      </c>
      <c r="B12" s="63" t="s">
        <v>1802</v>
      </c>
      <c r="C12" s="435">
        <v>2</v>
      </c>
      <c r="D12" s="67">
        <f>4.5+0.15</f>
        <v>4.6500000000000004</v>
      </c>
      <c r="E12" s="67">
        <f>2.7+0.15</f>
        <v>2.85</v>
      </c>
      <c r="F12" s="67">
        <v>2.0950000000000002</v>
      </c>
      <c r="G12" s="67">
        <f t="shared" si="0"/>
        <v>55.53</v>
      </c>
      <c r="H12" s="929"/>
    </row>
    <row r="13" spans="1:130" ht="18" customHeight="1">
      <c r="A13" s="354" t="s">
        <v>1804</v>
      </c>
      <c r="B13" s="582" t="s">
        <v>1803</v>
      </c>
      <c r="C13" s="610">
        <v>1</v>
      </c>
      <c r="D13" s="611">
        <v>90</v>
      </c>
      <c r="E13" s="612"/>
      <c r="F13" s="612"/>
      <c r="G13" s="613">
        <f t="shared" si="0"/>
        <v>90</v>
      </c>
      <c r="H13" s="929"/>
    </row>
    <row r="14" spans="1:130" ht="19.5" customHeight="1">
      <c r="A14" s="354" t="s">
        <v>1868</v>
      </c>
      <c r="B14" s="64" t="s">
        <v>1811</v>
      </c>
      <c r="C14" s="475"/>
      <c r="D14" s="68"/>
      <c r="E14" s="68"/>
      <c r="F14" s="68"/>
      <c r="G14" s="67"/>
      <c r="H14" s="929"/>
    </row>
    <row r="15" spans="1:130" ht="19.5" customHeight="1">
      <c r="A15" s="354" t="s">
        <v>1868</v>
      </c>
      <c r="B15" s="63" t="s">
        <v>1812</v>
      </c>
      <c r="C15" s="475">
        <v>1</v>
      </c>
      <c r="D15" s="68">
        <v>11.5</v>
      </c>
      <c r="E15" s="68">
        <f>0.23+0.075+0.075</f>
        <v>0.38</v>
      </c>
      <c r="F15" s="68">
        <f>0.075--0.95</f>
        <v>1.0249999999999999</v>
      </c>
      <c r="G15" s="67">
        <f>IF(C15&lt;&gt;0,ROUND(PRODUCT(D15:F15)*C15,2)," ")</f>
        <v>4.4800000000000004</v>
      </c>
      <c r="H15" s="929"/>
    </row>
    <row r="16" spans="1:130" s="78" customFormat="1" ht="19.5" customHeight="1">
      <c r="A16" s="354" t="s">
        <v>1868</v>
      </c>
      <c r="B16" s="356" t="s">
        <v>1813</v>
      </c>
      <c r="C16" s="620">
        <v>2</v>
      </c>
      <c r="D16" s="77">
        <v>9.6229999999999993</v>
      </c>
      <c r="E16" s="68">
        <f t="shared" ref="E16:E67" si="1">0.23+0.075+0.075</f>
        <v>0.38</v>
      </c>
      <c r="F16" s="68">
        <f t="shared" ref="F16:F67" si="2">0.375+0.075</f>
        <v>0.45</v>
      </c>
      <c r="G16" s="67">
        <f t="shared" ref="G16:G79" si="3">IF(C16&lt;&gt;0,ROUND(PRODUCT(D16:F16)*C16,2)," ")</f>
        <v>3.29</v>
      </c>
      <c r="H16" s="930"/>
      <c r="I16" s="1227"/>
    </row>
    <row r="17" spans="1:9" s="78" customFormat="1" ht="19.5" customHeight="1">
      <c r="A17" s="354" t="s">
        <v>1868</v>
      </c>
      <c r="B17" s="63" t="s">
        <v>1814</v>
      </c>
      <c r="C17" s="620">
        <v>1</v>
      </c>
      <c r="D17" s="77">
        <v>35.1</v>
      </c>
      <c r="E17" s="68">
        <f t="shared" si="1"/>
        <v>0.38</v>
      </c>
      <c r="F17" s="68">
        <f t="shared" si="2"/>
        <v>0.45</v>
      </c>
      <c r="G17" s="67">
        <f t="shared" si="3"/>
        <v>6</v>
      </c>
      <c r="H17" s="930"/>
      <c r="I17" s="1227"/>
    </row>
    <row r="18" spans="1:9" ht="19.5" customHeight="1">
      <c r="A18" s="354" t="s">
        <v>1868</v>
      </c>
      <c r="B18" s="63" t="s">
        <v>1815</v>
      </c>
      <c r="C18" s="475">
        <v>1</v>
      </c>
      <c r="D18" s="68">
        <v>11.27</v>
      </c>
      <c r="E18" s="68">
        <f t="shared" si="1"/>
        <v>0.38</v>
      </c>
      <c r="F18" s="68">
        <f>0.525+0.075</f>
        <v>0.6</v>
      </c>
      <c r="G18" s="67">
        <f t="shared" si="3"/>
        <v>2.57</v>
      </c>
      <c r="H18" s="929"/>
    </row>
    <row r="19" spans="1:9" s="78" customFormat="1" ht="19.5" customHeight="1">
      <c r="A19" s="354" t="s">
        <v>1868</v>
      </c>
      <c r="B19" s="63" t="s">
        <v>1816</v>
      </c>
      <c r="C19" s="620">
        <v>2</v>
      </c>
      <c r="D19" s="77">
        <v>10.045</v>
      </c>
      <c r="E19" s="68">
        <f t="shared" si="1"/>
        <v>0.38</v>
      </c>
      <c r="F19" s="68">
        <f t="shared" si="2"/>
        <v>0.45</v>
      </c>
      <c r="G19" s="67">
        <f t="shared" si="3"/>
        <v>3.44</v>
      </c>
      <c r="H19" s="930"/>
      <c r="I19" s="1227"/>
    </row>
    <row r="20" spans="1:9" s="78" customFormat="1" ht="19.5" customHeight="1">
      <c r="A20" s="354" t="s">
        <v>1868</v>
      </c>
      <c r="B20" s="63" t="s">
        <v>1817</v>
      </c>
      <c r="C20" s="620">
        <v>1</v>
      </c>
      <c r="D20" s="77">
        <v>44.048000000000002</v>
      </c>
      <c r="E20" s="68">
        <f t="shared" si="1"/>
        <v>0.38</v>
      </c>
      <c r="F20" s="68">
        <f t="shared" si="2"/>
        <v>0.45</v>
      </c>
      <c r="G20" s="67">
        <f t="shared" si="3"/>
        <v>7.53</v>
      </c>
      <c r="H20" s="930"/>
      <c r="I20" s="1227"/>
    </row>
    <row r="21" spans="1:9" s="78" customFormat="1" ht="19.5" customHeight="1">
      <c r="A21" s="354" t="s">
        <v>1868</v>
      </c>
      <c r="B21" s="63" t="s">
        <v>1818</v>
      </c>
      <c r="C21" s="620">
        <v>2</v>
      </c>
      <c r="D21" s="77">
        <v>6.1920000000000002</v>
      </c>
      <c r="E21" s="68">
        <f t="shared" si="1"/>
        <v>0.38</v>
      </c>
      <c r="F21" s="68">
        <f t="shared" si="2"/>
        <v>0.45</v>
      </c>
      <c r="G21" s="67">
        <f t="shared" si="3"/>
        <v>2.12</v>
      </c>
      <c r="H21" s="930"/>
      <c r="I21" s="1227"/>
    </row>
    <row r="22" spans="1:9" s="78" customFormat="1" ht="19.5" customHeight="1">
      <c r="A22" s="354" t="s">
        <v>1868</v>
      </c>
      <c r="B22" s="63" t="s">
        <v>1819</v>
      </c>
      <c r="C22" s="620">
        <v>2</v>
      </c>
      <c r="D22" s="77">
        <v>3.2749999999999999</v>
      </c>
      <c r="E22" s="68">
        <v>0.38</v>
      </c>
      <c r="F22" s="68">
        <v>0.45</v>
      </c>
      <c r="G22" s="67">
        <f t="shared" si="3"/>
        <v>1.1200000000000001</v>
      </c>
      <c r="H22" s="930"/>
      <c r="I22" s="1227"/>
    </row>
    <row r="23" spans="1:9" s="78" customFormat="1" ht="19.5" customHeight="1">
      <c r="A23" s="354" t="s">
        <v>1868</v>
      </c>
      <c r="B23" s="63" t="s">
        <v>1820</v>
      </c>
      <c r="C23" s="620">
        <v>1</v>
      </c>
      <c r="D23" s="77">
        <v>34.75</v>
      </c>
      <c r="E23" s="68">
        <v>0.38</v>
      </c>
      <c r="F23" s="68">
        <v>0.45</v>
      </c>
      <c r="G23" s="67">
        <f t="shared" si="3"/>
        <v>5.94</v>
      </c>
      <c r="H23" s="930"/>
      <c r="I23" s="1227"/>
    </row>
    <row r="24" spans="1:9" s="78" customFormat="1" ht="19.5" customHeight="1">
      <c r="A24" s="354" t="s">
        <v>1868</v>
      </c>
      <c r="B24" s="63" t="s">
        <v>1821</v>
      </c>
      <c r="C24" s="620">
        <v>2</v>
      </c>
      <c r="D24" s="77">
        <v>4.2530000000000001</v>
      </c>
      <c r="E24" s="68">
        <f t="shared" si="1"/>
        <v>0.38</v>
      </c>
      <c r="F24" s="68">
        <f t="shared" si="2"/>
        <v>0.45</v>
      </c>
      <c r="G24" s="67">
        <f t="shared" si="3"/>
        <v>1.45</v>
      </c>
      <c r="H24" s="930"/>
      <c r="I24" s="1227"/>
    </row>
    <row r="25" spans="1:9" s="78" customFormat="1" ht="19.5" customHeight="1">
      <c r="A25" s="354" t="s">
        <v>1868</v>
      </c>
      <c r="B25" s="63" t="s">
        <v>1822</v>
      </c>
      <c r="C25" s="620">
        <v>2</v>
      </c>
      <c r="D25" s="68">
        <v>6.1929999999999996</v>
      </c>
      <c r="E25" s="68">
        <f t="shared" si="1"/>
        <v>0.38</v>
      </c>
      <c r="F25" s="68">
        <v>0.6</v>
      </c>
      <c r="G25" s="67">
        <f t="shared" si="3"/>
        <v>2.82</v>
      </c>
      <c r="H25" s="930"/>
      <c r="I25" s="1227"/>
    </row>
    <row r="26" spans="1:9" s="78" customFormat="1" ht="19.5" customHeight="1">
      <c r="A26" s="354" t="s">
        <v>1868</v>
      </c>
      <c r="B26" s="63" t="s">
        <v>1823</v>
      </c>
      <c r="C26" s="620">
        <v>2</v>
      </c>
      <c r="D26" s="68">
        <v>5.9530000000000003</v>
      </c>
      <c r="E26" s="68">
        <v>0.8</v>
      </c>
      <c r="F26" s="68">
        <v>0.45</v>
      </c>
      <c r="G26" s="67">
        <f t="shared" si="3"/>
        <v>4.29</v>
      </c>
      <c r="H26" s="930"/>
      <c r="I26" s="1227"/>
    </row>
    <row r="27" spans="1:9" s="78" customFormat="1" ht="19.5" customHeight="1">
      <c r="A27" s="354" t="s">
        <v>1868</v>
      </c>
      <c r="B27" s="63" t="s">
        <v>1824</v>
      </c>
      <c r="C27" s="620">
        <v>1</v>
      </c>
      <c r="D27" s="77">
        <v>29.3</v>
      </c>
      <c r="E27" s="68">
        <f t="shared" si="1"/>
        <v>0.38</v>
      </c>
      <c r="F27" s="68">
        <f t="shared" si="2"/>
        <v>0.45</v>
      </c>
      <c r="G27" s="67">
        <f t="shared" si="3"/>
        <v>5.01</v>
      </c>
      <c r="H27" s="930"/>
      <c r="I27" s="1227"/>
    </row>
    <row r="28" spans="1:9" s="78" customFormat="1" ht="19.5" customHeight="1">
      <c r="A28" s="354" t="s">
        <v>1868</v>
      </c>
      <c r="B28" s="63" t="s">
        <v>1825</v>
      </c>
      <c r="C28" s="620">
        <v>2</v>
      </c>
      <c r="D28" s="77">
        <v>9.6850000000000005</v>
      </c>
      <c r="E28" s="68">
        <f t="shared" si="1"/>
        <v>0.38</v>
      </c>
      <c r="F28" s="68">
        <f t="shared" si="2"/>
        <v>0.45</v>
      </c>
      <c r="G28" s="67">
        <f t="shared" si="3"/>
        <v>3.31</v>
      </c>
      <c r="H28" s="930"/>
      <c r="I28" s="1227"/>
    </row>
    <row r="29" spans="1:9" s="78" customFormat="1" ht="19.5" customHeight="1">
      <c r="A29" s="354" t="s">
        <v>1868</v>
      </c>
      <c r="B29" s="63" t="s">
        <v>1826</v>
      </c>
      <c r="C29" s="620">
        <v>1</v>
      </c>
      <c r="D29" s="77">
        <v>4.5</v>
      </c>
      <c r="E29" s="68">
        <f t="shared" si="1"/>
        <v>0.38</v>
      </c>
      <c r="F29" s="68">
        <f t="shared" si="2"/>
        <v>0.45</v>
      </c>
      <c r="G29" s="67">
        <f t="shared" si="3"/>
        <v>0.77</v>
      </c>
      <c r="H29" s="930"/>
      <c r="I29" s="1227"/>
    </row>
    <row r="30" spans="1:9" s="78" customFormat="1" ht="19.5" customHeight="1">
      <c r="A30" s="354" t="s">
        <v>1868</v>
      </c>
      <c r="B30" s="63" t="s">
        <v>1827</v>
      </c>
      <c r="C30" s="475">
        <v>4</v>
      </c>
      <c r="D30" s="68">
        <v>9.8000000000000007</v>
      </c>
      <c r="E30" s="68">
        <f t="shared" si="1"/>
        <v>0.38</v>
      </c>
      <c r="F30" s="68">
        <f t="shared" si="2"/>
        <v>0.45</v>
      </c>
      <c r="G30" s="67">
        <f t="shared" si="3"/>
        <v>6.7</v>
      </c>
      <c r="H30" s="930"/>
      <c r="I30" s="1227"/>
    </row>
    <row r="31" spans="1:9" s="78" customFormat="1" ht="19.5" customHeight="1">
      <c r="A31" s="354" t="s">
        <v>1868</v>
      </c>
      <c r="B31" s="63" t="s">
        <v>1828</v>
      </c>
      <c r="C31" s="620">
        <v>2</v>
      </c>
      <c r="D31" s="77">
        <v>4.375</v>
      </c>
      <c r="E31" s="68">
        <f t="shared" si="1"/>
        <v>0.38</v>
      </c>
      <c r="F31" s="68">
        <f t="shared" si="2"/>
        <v>0.45</v>
      </c>
      <c r="G31" s="67">
        <f t="shared" si="3"/>
        <v>1.5</v>
      </c>
      <c r="H31" s="930"/>
      <c r="I31" s="1227"/>
    </row>
    <row r="32" spans="1:9" s="78" customFormat="1" ht="19.5" customHeight="1">
      <c r="A32" s="354" t="s">
        <v>1868</v>
      </c>
      <c r="B32" s="63" t="s">
        <v>1829</v>
      </c>
      <c r="C32" s="620">
        <v>1</v>
      </c>
      <c r="D32" s="77">
        <v>12.2</v>
      </c>
      <c r="E32" s="68">
        <v>0.38</v>
      </c>
      <c r="F32" s="68">
        <v>0.45</v>
      </c>
      <c r="G32" s="67">
        <f t="shared" si="3"/>
        <v>2.09</v>
      </c>
      <c r="H32" s="930"/>
      <c r="I32" s="1227"/>
    </row>
    <row r="33" spans="1:9" s="78" customFormat="1" ht="19.5" customHeight="1">
      <c r="A33" s="354" t="s">
        <v>1868</v>
      </c>
      <c r="B33" s="63" t="s">
        <v>1830</v>
      </c>
      <c r="C33" s="620">
        <v>1</v>
      </c>
      <c r="D33" s="77">
        <v>5.9</v>
      </c>
      <c r="E33" s="68">
        <v>0.38</v>
      </c>
      <c r="F33" s="68">
        <v>0.45</v>
      </c>
      <c r="G33" s="67">
        <f t="shared" si="3"/>
        <v>1.01</v>
      </c>
      <c r="H33" s="930"/>
      <c r="I33" s="1227"/>
    </row>
    <row r="34" spans="1:9" s="78" customFormat="1" ht="19.5" customHeight="1">
      <c r="A34" s="354" t="s">
        <v>1868</v>
      </c>
      <c r="B34" s="63" t="s">
        <v>1831</v>
      </c>
      <c r="C34" s="620">
        <v>1</v>
      </c>
      <c r="D34" s="77">
        <v>11.625</v>
      </c>
      <c r="E34" s="68">
        <v>0.38</v>
      </c>
      <c r="F34" s="68">
        <v>0.45</v>
      </c>
      <c r="G34" s="67">
        <f t="shared" si="3"/>
        <v>1.99</v>
      </c>
      <c r="H34" s="930"/>
      <c r="I34" s="1227"/>
    </row>
    <row r="35" spans="1:9" s="78" customFormat="1" ht="19.5" customHeight="1">
      <c r="A35" s="354" t="s">
        <v>1868</v>
      </c>
      <c r="B35" s="63" t="s">
        <v>1832</v>
      </c>
      <c r="C35" s="475">
        <v>2</v>
      </c>
      <c r="D35" s="68">
        <v>4.05</v>
      </c>
      <c r="E35" s="68">
        <f t="shared" si="1"/>
        <v>0.38</v>
      </c>
      <c r="F35" s="68">
        <f t="shared" si="2"/>
        <v>0.45</v>
      </c>
      <c r="G35" s="67">
        <f t="shared" si="3"/>
        <v>1.39</v>
      </c>
      <c r="H35" s="930"/>
      <c r="I35" s="1227"/>
    </row>
    <row r="36" spans="1:9" s="78" customFormat="1" ht="19.5" customHeight="1">
      <c r="A36" s="354" t="s">
        <v>1868</v>
      </c>
      <c r="B36" s="63" t="s">
        <v>1833</v>
      </c>
      <c r="C36" s="620">
        <v>1</v>
      </c>
      <c r="D36" s="77">
        <v>6.23</v>
      </c>
      <c r="E36" s="68">
        <f t="shared" si="1"/>
        <v>0.38</v>
      </c>
      <c r="F36" s="68">
        <f t="shared" si="2"/>
        <v>0.45</v>
      </c>
      <c r="G36" s="67">
        <f t="shared" si="3"/>
        <v>1.07</v>
      </c>
      <c r="H36" s="930"/>
      <c r="I36" s="1227"/>
    </row>
    <row r="37" spans="1:9" s="78" customFormat="1" ht="19.5" customHeight="1">
      <c r="A37" s="354" t="s">
        <v>1868</v>
      </c>
      <c r="B37" s="63" t="s">
        <v>1834</v>
      </c>
      <c r="C37" s="620">
        <v>1</v>
      </c>
      <c r="D37" s="77">
        <v>38.39</v>
      </c>
      <c r="E37" s="68">
        <f t="shared" si="1"/>
        <v>0.38</v>
      </c>
      <c r="F37" s="68">
        <f t="shared" si="2"/>
        <v>0.45</v>
      </c>
      <c r="G37" s="67">
        <f t="shared" si="3"/>
        <v>6.56</v>
      </c>
      <c r="H37" s="930"/>
      <c r="I37" s="1227"/>
    </row>
    <row r="38" spans="1:9" s="78" customFormat="1" ht="19.5" customHeight="1">
      <c r="A38" s="354" t="s">
        <v>1868</v>
      </c>
      <c r="B38" s="63" t="s">
        <v>1835</v>
      </c>
      <c r="C38" s="620">
        <v>1</v>
      </c>
      <c r="D38" s="77">
        <v>2.87</v>
      </c>
      <c r="E38" s="68">
        <f t="shared" si="1"/>
        <v>0.38</v>
      </c>
      <c r="F38" s="68">
        <f t="shared" si="2"/>
        <v>0.45</v>
      </c>
      <c r="G38" s="67">
        <f t="shared" si="3"/>
        <v>0.49</v>
      </c>
      <c r="H38" s="930"/>
      <c r="I38" s="1227"/>
    </row>
    <row r="39" spans="1:9" s="78" customFormat="1" ht="19.5" customHeight="1">
      <c r="A39" s="354" t="s">
        <v>1868</v>
      </c>
      <c r="B39" s="63" t="s">
        <v>1836</v>
      </c>
      <c r="C39" s="620">
        <v>1</v>
      </c>
      <c r="D39" s="77">
        <v>0.47</v>
      </c>
      <c r="E39" s="68">
        <v>0.38</v>
      </c>
      <c r="F39" s="68">
        <v>0.45</v>
      </c>
      <c r="G39" s="67">
        <f t="shared" si="3"/>
        <v>0.08</v>
      </c>
      <c r="H39" s="930"/>
      <c r="I39" s="1227"/>
    </row>
    <row r="40" spans="1:9" s="78" customFormat="1" ht="19.5" customHeight="1">
      <c r="A40" s="354" t="s">
        <v>1868</v>
      </c>
      <c r="B40" s="63" t="s">
        <v>1837</v>
      </c>
      <c r="C40" s="620">
        <v>1</v>
      </c>
      <c r="D40" s="77">
        <v>1.67</v>
      </c>
      <c r="E40" s="68">
        <f t="shared" si="1"/>
        <v>0.38</v>
      </c>
      <c r="F40" s="68">
        <f t="shared" si="2"/>
        <v>0.45</v>
      </c>
      <c r="G40" s="67">
        <f t="shared" si="3"/>
        <v>0.28999999999999998</v>
      </c>
      <c r="H40" s="930"/>
      <c r="I40" s="1227"/>
    </row>
    <row r="41" spans="1:9" s="78" customFormat="1" ht="19.5" customHeight="1">
      <c r="A41" s="354" t="s">
        <v>1868</v>
      </c>
      <c r="B41" s="63" t="s">
        <v>1838</v>
      </c>
      <c r="C41" s="620">
        <v>1</v>
      </c>
      <c r="D41" s="77">
        <v>41.984999999999999</v>
      </c>
      <c r="E41" s="68">
        <f t="shared" si="1"/>
        <v>0.38</v>
      </c>
      <c r="F41" s="68">
        <f t="shared" si="2"/>
        <v>0.45</v>
      </c>
      <c r="G41" s="67">
        <f t="shared" si="3"/>
        <v>7.18</v>
      </c>
      <c r="H41" s="930"/>
      <c r="I41" s="1227"/>
    </row>
    <row r="42" spans="1:9" s="78" customFormat="1" ht="19.5" customHeight="1">
      <c r="A42" s="354" t="s">
        <v>1868</v>
      </c>
      <c r="B42" s="63" t="s">
        <v>1839</v>
      </c>
      <c r="C42" s="475">
        <v>1</v>
      </c>
      <c r="D42" s="68">
        <v>35.700000000000003</v>
      </c>
      <c r="E42" s="68">
        <f t="shared" si="1"/>
        <v>0.38</v>
      </c>
      <c r="F42" s="68">
        <f t="shared" si="2"/>
        <v>0.45</v>
      </c>
      <c r="G42" s="67">
        <f t="shared" si="3"/>
        <v>6.1</v>
      </c>
      <c r="H42" s="930"/>
      <c r="I42" s="1227"/>
    </row>
    <row r="43" spans="1:9" s="78" customFormat="1" ht="19.5" customHeight="1">
      <c r="A43" s="354" t="s">
        <v>1868</v>
      </c>
      <c r="B43" s="63" t="s">
        <v>1840</v>
      </c>
      <c r="C43" s="475">
        <v>1</v>
      </c>
      <c r="D43" s="68">
        <v>5.9</v>
      </c>
      <c r="E43" s="68">
        <f t="shared" si="1"/>
        <v>0.38</v>
      </c>
      <c r="F43" s="68">
        <f t="shared" si="2"/>
        <v>0.45</v>
      </c>
      <c r="G43" s="67">
        <f t="shared" si="3"/>
        <v>1.01</v>
      </c>
      <c r="H43" s="930"/>
      <c r="I43" s="1227"/>
    </row>
    <row r="44" spans="1:9" s="78" customFormat="1" ht="19.5" customHeight="1">
      <c r="A44" s="354" t="s">
        <v>1868</v>
      </c>
      <c r="B44" s="63" t="s">
        <v>1841</v>
      </c>
      <c r="C44" s="475">
        <v>1</v>
      </c>
      <c r="D44" s="68">
        <v>5.9</v>
      </c>
      <c r="E44" s="68">
        <f t="shared" si="1"/>
        <v>0.38</v>
      </c>
      <c r="F44" s="68">
        <v>0.6</v>
      </c>
      <c r="G44" s="67">
        <f t="shared" si="3"/>
        <v>1.35</v>
      </c>
      <c r="H44" s="930"/>
      <c r="I44" s="1227"/>
    </row>
    <row r="45" spans="1:9" s="78" customFormat="1" ht="19.5" customHeight="1">
      <c r="A45" s="354" t="s">
        <v>1868</v>
      </c>
      <c r="B45" s="63" t="s">
        <v>1842</v>
      </c>
      <c r="C45" s="475">
        <v>2</v>
      </c>
      <c r="D45" s="68">
        <v>1.798</v>
      </c>
      <c r="E45" s="68">
        <f t="shared" si="1"/>
        <v>0.38</v>
      </c>
      <c r="F45" s="68">
        <f t="shared" si="2"/>
        <v>0.45</v>
      </c>
      <c r="G45" s="67">
        <f t="shared" si="3"/>
        <v>0.61</v>
      </c>
      <c r="H45" s="930"/>
      <c r="I45" s="1227"/>
    </row>
    <row r="46" spans="1:9" s="78" customFormat="1" ht="19.5" customHeight="1">
      <c r="A46" s="354" t="s">
        <v>1868</v>
      </c>
      <c r="B46" s="63" t="s">
        <v>1843</v>
      </c>
      <c r="C46" s="475">
        <v>2</v>
      </c>
      <c r="D46" s="68">
        <v>21</v>
      </c>
      <c r="E46" s="68">
        <f t="shared" si="1"/>
        <v>0.38</v>
      </c>
      <c r="F46" s="68">
        <f t="shared" si="2"/>
        <v>0.45</v>
      </c>
      <c r="G46" s="67">
        <f t="shared" si="3"/>
        <v>7.18</v>
      </c>
      <c r="H46" s="930"/>
      <c r="I46" s="1227"/>
    </row>
    <row r="47" spans="1:9" s="78" customFormat="1" ht="19.5" customHeight="1">
      <c r="A47" s="354" t="s">
        <v>1868</v>
      </c>
      <c r="B47" s="63" t="s">
        <v>1844</v>
      </c>
      <c r="C47" s="475">
        <v>2</v>
      </c>
      <c r="D47" s="68">
        <v>4.9420000000000002</v>
      </c>
      <c r="E47" s="68">
        <f t="shared" si="1"/>
        <v>0.38</v>
      </c>
      <c r="F47" s="68">
        <f t="shared" si="2"/>
        <v>0.45</v>
      </c>
      <c r="G47" s="67">
        <f t="shared" si="3"/>
        <v>1.69</v>
      </c>
      <c r="H47" s="930"/>
      <c r="I47" s="1227"/>
    </row>
    <row r="48" spans="1:9" s="78" customFormat="1" ht="19.5" customHeight="1">
      <c r="A48" s="354" t="s">
        <v>1868</v>
      </c>
      <c r="B48" s="63" t="s">
        <v>1845</v>
      </c>
      <c r="C48" s="620">
        <v>2</v>
      </c>
      <c r="D48" s="68">
        <v>8.1280000000000001</v>
      </c>
      <c r="E48" s="68">
        <f t="shared" si="1"/>
        <v>0.38</v>
      </c>
      <c r="F48" s="68">
        <v>0.6</v>
      </c>
      <c r="G48" s="67">
        <f t="shared" si="3"/>
        <v>3.71</v>
      </c>
      <c r="H48" s="930"/>
      <c r="I48" s="1227"/>
    </row>
    <row r="49" spans="1:9" s="78" customFormat="1" ht="19.5" customHeight="1">
      <c r="A49" s="354" t="s">
        <v>1868</v>
      </c>
      <c r="B49" s="63" t="s">
        <v>1846</v>
      </c>
      <c r="C49" s="475">
        <v>2</v>
      </c>
      <c r="D49" s="68">
        <v>2.8149999999999999</v>
      </c>
      <c r="E49" s="68">
        <f t="shared" si="1"/>
        <v>0.38</v>
      </c>
      <c r="F49" s="68">
        <f t="shared" si="2"/>
        <v>0.45</v>
      </c>
      <c r="G49" s="67">
        <f t="shared" si="3"/>
        <v>0.96</v>
      </c>
      <c r="H49" s="930"/>
      <c r="I49" s="1227"/>
    </row>
    <row r="50" spans="1:9" s="78" customFormat="1" ht="19.5" customHeight="1">
      <c r="A50" s="354" t="s">
        <v>1868</v>
      </c>
      <c r="B50" s="63" t="s">
        <v>1847</v>
      </c>
      <c r="C50" s="475">
        <v>2</v>
      </c>
      <c r="D50" s="68">
        <v>3.22</v>
      </c>
      <c r="E50" s="68">
        <f t="shared" si="1"/>
        <v>0.38</v>
      </c>
      <c r="F50" s="68">
        <f t="shared" si="2"/>
        <v>0.45</v>
      </c>
      <c r="G50" s="67">
        <f t="shared" si="3"/>
        <v>1.1000000000000001</v>
      </c>
      <c r="H50" s="930"/>
      <c r="I50" s="1227"/>
    </row>
    <row r="51" spans="1:9" s="78" customFormat="1" ht="19.5" customHeight="1">
      <c r="A51" s="354" t="s">
        <v>1868</v>
      </c>
      <c r="B51" s="63" t="s">
        <v>1848</v>
      </c>
      <c r="C51" s="475">
        <v>2</v>
      </c>
      <c r="D51" s="68">
        <v>3.375</v>
      </c>
      <c r="E51" s="68">
        <v>0.38</v>
      </c>
      <c r="F51" s="68">
        <f t="shared" si="2"/>
        <v>0.45</v>
      </c>
      <c r="G51" s="67">
        <f t="shared" si="3"/>
        <v>1.1499999999999999</v>
      </c>
      <c r="H51" s="930"/>
      <c r="I51" s="1227"/>
    </row>
    <row r="52" spans="1:9" s="78" customFormat="1" ht="19.5" customHeight="1">
      <c r="A52" s="354" t="s">
        <v>1868</v>
      </c>
      <c r="B52" s="63" t="s">
        <v>1849</v>
      </c>
      <c r="C52" s="475">
        <v>2</v>
      </c>
      <c r="D52" s="621">
        <v>20.9</v>
      </c>
      <c r="E52" s="68">
        <f t="shared" si="1"/>
        <v>0.38</v>
      </c>
      <c r="F52" s="68">
        <f t="shared" si="2"/>
        <v>0.45</v>
      </c>
      <c r="G52" s="67">
        <f t="shared" si="3"/>
        <v>7.15</v>
      </c>
      <c r="H52" s="930"/>
      <c r="I52" s="1227"/>
    </row>
    <row r="53" spans="1:9" s="78" customFormat="1" ht="19.5" customHeight="1">
      <c r="A53" s="354" t="s">
        <v>1868</v>
      </c>
      <c r="B53" s="63" t="s">
        <v>1850</v>
      </c>
      <c r="C53" s="475">
        <v>2</v>
      </c>
      <c r="D53" s="68">
        <v>8.7949999999999999</v>
      </c>
      <c r="E53" s="68">
        <f t="shared" si="1"/>
        <v>0.38</v>
      </c>
      <c r="F53" s="68">
        <f t="shared" si="2"/>
        <v>0.45</v>
      </c>
      <c r="G53" s="67">
        <f t="shared" si="3"/>
        <v>3.01</v>
      </c>
      <c r="H53" s="930"/>
      <c r="I53" s="1227"/>
    </row>
    <row r="54" spans="1:9" s="78" customFormat="1" ht="19.5" customHeight="1">
      <c r="A54" s="354" t="s">
        <v>1868</v>
      </c>
      <c r="B54" s="63" t="s">
        <v>1851</v>
      </c>
      <c r="C54" s="475">
        <v>2</v>
      </c>
      <c r="D54" s="68">
        <v>12</v>
      </c>
      <c r="E54" s="68">
        <f t="shared" si="1"/>
        <v>0.38</v>
      </c>
      <c r="F54" s="68">
        <f t="shared" si="2"/>
        <v>0.45</v>
      </c>
      <c r="G54" s="67">
        <f t="shared" si="3"/>
        <v>4.0999999999999996</v>
      </c>
      <c r="H54" s="930"/>
      <c r="I54" s="1227"/>
    </row>
    <row r="55" spans="1:9" s="78" customFormat="1" ht="19.5" customHeight="1">
      <c r="A55" s="354" t="s">
        <v>1868</v>
      </c>
      <c r="B55" s="63" t="s">
        <v>1852</v>
      </c>
      <c r="C55" s="475">
        <v>2</v>
      </c>
      <c r="D55" s="68">
        <v>2.95</v>
      </c>
      <c r="E55" s="68">
        <f t="shared" si="1"/>
        <v>0.38</v>
      </c>
      <c r="F55" s="68">
        <f t="shared" si="2"/>
        <v>0.45</v>
      </c>
      <c r="G55" s="67">
        <f t="shared" si="3"/>
        <v>1.01</v>
      </c>
      <c r="H55" s="930"/>
      <c r="I55" s="1227"/>
    </row>
    <row r="56" spans="1:9" s="78" customFormat="1" ht="19.5" customHeight="1">
      <c r="A56" s="354" t="s">
        <v>1868</v>
      </c>
      <c r="B56" s="63" t="s">
        <v>1853</v>
      </c>
      <c r="C56" s="475">
        <v>2</v>
      </c>
      <c r="D56" s="68">
        <v>4.125</v>
      </c>
      <c r="E56" s="68">
        <f t="shared" si="1"/>
        <v>0.38</v>
      </c>
      <c r="F56" s="68">
        <f t="shared" si="2"/>
        <v>0.45</v>
      </c>
      <c r="G56" s="67">
        <f t="shared" si="3"/>
        <v>1.41</v>
      </c>
      <c r="H56" s="930"/>
      <c r="I56" s="1227"/>
    </row>
    <row r="57" spans="1:9" s="78" customFormat="1" ht="19.5" customHeight="1">
      <c r="A57" s="354" t="s">
        <v>1868</v>
      </c>
      <c r="B57" s="63" t="s">
        <v>1854</v>
      </c>
      <c r="C57" s="475">
        <v>2</v>
      </c>
      <c r="D57" s="68">
        <v>4.4800000000000004</v>
      </c>
      <c r="E57" s="68">
        <f t="shared" si="1"/>
        <v>0.38</v>
      </c>
      <c r="F57" s="68">
        <f t="shared" si="2"/>
        <v>0.45</v>
      </c>
      <c r="G57" s="67">
        <f t="shared" si="3"/>
        <v>1.53</v>
      </c>
      <c r="H57" s="930"/>
      <c r="I57" s="1227"/>
    </row>
    <row r="58" spans="1:9" s="78" customFormat="1" ht="19.5" customHeight="1">
      <c r="A58" s="354" t="s">
        <v>1868</v>
      </c>
      <c r="B58" s="63" t="s">
        <v>1855</v>
      </c>
      <c r="C58" s="475">
        <v>2</v>
      </c>
      <c r="D58" s="68">
        <v>1.835</v>
      </c>
      <c r="E58" s="68">
        <f t="shared" si="1"/>
        <v>0.38</v>
      </c>
      <c r="F58" s="68">
        <f t="shared" si="2"/>
        <v>0.45</v>
      </c>
      <c r="G58" s="67">
        <f t="shared" si="3"/>
        <v>0.63</v>
      </c>
      <c r="H58" s="930"/>
      <c r="I58" s="1227"/>
    </row>
    <row r="59" spans="1:9" s="78" customFormat="1" ht="19.5" customHeight="1">
      <c r="A59" s="354" t="s">
        <v>1868</v>
      </c>
      <c r="B59" s="63" t="s">
        <v>1856</v>
      </c>
      <c r="C59" s="475">
        <v>2</v>
      </c>
      <c r="D59" s="68">
        <v>6.4320000000000004</v>
      </c>
      <c r="E59" s="68">
        <f t="shared" si="1"/>
        <v>0.38</v>
      </c>
      <c r="F59" s="68">
        <v>0.6</v>
      </c>
      <c r="G59" s="67">
        <f t="shared" si="3"/>
        <v>2.93</v>
      </c>
      <c r="H59" s="930"/>
      <c r="I59" s="1227"/>
    </row>
    <row r="60" spans="1:9" s="78" customFormat="1" ht="19.5" customHeight="1">
      <c r="A60" s="354" t="s">
        <v>1868</v>
      </c>
      <c r="B60" s="406" t="s">
        <v>1857</v>
      </c>
      <c r="C60" s="475">
        <v>2</v>
      </c>
      <c r="D60" s="68">
        <v>35.744999999999997</v>
      </c>
      <c r="E60" s="68">
        <f t="shared" si="1"/>
        <v>0.38</v>
      </c>
      <c r="F60" s="68">
        <f t="shared" si="2"/>
        <v>0.45</v>
      </c>
      <c r="G60" s="67">
        <f t="shared" si="3"/>
        <v>12.22</v>
      </c>
      <c r="H60" s="930"/>
      <c r="I60" s="1227"/>
    </row>
    <row r="61" spans="1:9" s="78" customFormat="1" ht="19.5" customHeight="1">
      <c r="A61" s="354" t="s">
        <v>1868</v>
      </c>
      <c r="B61" s="353" t="s">
        <v>1858</v>
      </c>
      <c r="C61" s="475">
        <v>4</v>
      </c>
      <c r="D61" s="68">
        <v>9.6720000000000006</v>
      </c>
      <c r="E61" s="68">
        <f t="shared" si="1"/>
        <v>0.38</v>
      </c>
      <c r="F61" s="68">
        <f t="shared" si="2"/>
        <v>0.45</v>
      </c>
      <c r="G61" s="67">
        <f t="shared" si="3"/>
        <v>6.62</v>
      </c>
      <c r="H61" s="930"/>
      <c r="I61" s="1227"/>
    </row>
    <row r="62" spans="1:9" s="78" customFormat="1" ht="19.5" customHeight="1">
      <c r="A62" s="354" t="s">
        <v>1868</v>
      </c>
      <c r="B62" s="353" t="s">
        <v>1859</v>
      </c>
      <c r="C62" s="475">
        <v>1</v>
      </c>
      <c r="D62" s="68">
        <v>4.54</v>
      </c>
      <c r="E62" s="68">
        <v>0.38</v>
      </c>
      <c r="F62" s="68">
        <v>0.45</v>
      </c>
      <c r="G62" s="67">
        <f t="shared" si="3"/>
        <v>0.78</v>
      </c>
      <c r="H62" s="930"/>
      <c r="I62" s="1227"/>
    </row>
    <row r="63" spans="1:9" s="78" customFormat="1" ht="19.5" customHeight="1">
      <c r="A63" s="354" t="s">
        <v>1868</v>
      </c>
      <c r="B63" s="353" t="s">
        <v>1860</v>
      </c>
      <c r="C63" s="475">
        <v>2</v>
      </c>
      <c r="D63" s="68">
        <v>9.7379999999999995</v>
      </c>
      <c r="E63" s="68">
        <v>0.38</v>
      </c>
      <c r="F63" s="68">
        <v>0.45</v>
      </c>
      <c r="G63" s="67">
        <f t="shared" si="3"/>
        <v>3.33</v>
      </c>
      <c r="H63" s="930"/>
      <c r="I63" s="1227"/>
    </row>
    <row r="64" spans="1:9" s="78" customFormat="1" ht="19.5" customHeight="1">
      <c r="A64" s="354" t="s">
        <v>1868</v>
      </c>
      <c r="B64" s="406" t="s">
        <v>1861</v>
      </c>
      <c r="C64" s="475">
        <v>2</v>
      </c>
      <c r="D64" s="68">
        <v>7.7839999999999998</v>
      </c>
      <c r="E64" s="68">
        <f t="shared" si="1"/>
        <v>0.38</v>
      </c>
      <c r="F64" s="68">
        <f t="shared" si="2"/>
        <v>0.45</v>
      </c>
      <c r="G64" s="67">
        <f t="shared" si="3"/>
        <v>2.66</v>
      </c>
      <c r="H64" s="930"/>
      <c r="I64" s="1227"/>
    </row>
    <row r="65" spans="1:9" s="78" customFormat="1" ht="19.5" customHeight="1">
      <c r="A65" s="354" t="s">
        <v>1868</v>
      </c>
      <c r="B65" s="63" t="s">
        <v>1862</v>
      </c>
      <c r="C65" s="475">
        <v>2</v>
      </c>
      <c r="D65" s="68">
        <v>14.62</v>
      </c>
      <c r="E65" s="68">
        <f t="shared" si="1"/>
        <v>0.38</v>
      </c>
      <c r="F65" s="68">
        <f t="shared" si="2"/>
        <v>0.45</v>
      </c>
      <c r="G65" s="67">
        <f t="shared" si="3"/>
        <v>5</v>
      </c>
      <c r="H65" s="930"/>
      <c r="I65" s="1227"/>
    </row>
    <row r="66" spans="1:9" s="78" customFormat="1" ht="19.5" customHeight="1">
      <c r="A66" s="354" t="s">
        <v>1868</v>
      </c>
      <c r="B66" s="409" t="s">
        <v>1863</v>
      </c>
      <c r="C66" s="475">
        <v>2</v>
      </c>
      <c r="D66" s="68">
        <v>7.9749999999999996</v>
      </c>
      <c r="E66" s="68">
        <f t="shared" si="1"/>
        <v>0.38</v>
      </c>
      <c r="F66" s="68">
        <f t="shared" si="2"/>
        <v>0.45</v>
      </c>
      <c r="G66" s="67">
        <f t="shared" si="3"/>
        <v>2.73</v>
      </c>
      <c r="H66" s="930"/>
      <c r="I66" s="1227"/>
    </row>
    <row r="67" spans="1:9" s="78" customFormat="1" ht="19.5" customHeight="1">
      <c r="A67" s="354" t="s">
        <v>1868</v>
      </c>
      <c r="B67" s="63" t="s">
        <v>1864</v>
      </c>
      <c r="C67" s="475">
        <v>2</v>
      </c>
      <c r="D67" s="68">
        <v>12.87</v>
      </c>
      <c r="E67" s="68">
        <f t="shared" si="1"/>
        <v>0.38</v>
      </c>
      <c r="F67" s="68">
        <f t="shared" si="2"/>
        <v>0.45</v>
      </c>
      <c r="G67" s="67">
        <f t="shared" si="3"/>
        <v>4.4000000000000004</v>
      </c>
      <c r="H67" s="930"/>
      <c r="I67" s="1227"/>
    </row>
    <row r="68" spans="1:9" s="78" customFormat="1" ht="19.5" customHeight="1">
      <c r="A68" s="354" t="s">
        <v>1868</v>
      </c>
      <c r="B68" s="63" t="s">
        <v>1865</v>
      </c>
      <c r="C68" s="475">
        <v>2</v>
      </c>
      <c r="D68" s="68">
        <v>4.54</v>
      </c>
      <c r="E68" s="68">
        <v>0.38</v>
      </c>
      <c r="F68" s="68">
        <v>0.45</v>
      </c>
      <c r="G68" s="67">
        <f t="shared" si="3"/>
        <v>1.55</v>
      </c>
      <c r="H68" s="930"/>
      <c r="I68" s="1227"/>
    </row>
    <row r="69" spans="1:9" s="78" customFormat="1" ht="19.5" customHeight="1">
      <c r="A69" s="354" t="s">
        <v>1868</v>
      </c>
      <c r="B69" s="63" t="s">
        <v>1866</v>
      </c>
      <c r="C69" s="475">
        <v>36</v>
      </c>
      <c r="D69" s="68">
        <v>0.6</v>
      </c>
      <c r="E69" s="68">
        <v>0.38</v>
      </c>
      <c r="F69" s="68">
        <v>0.3</v>
      </c>
      <c r="G69" s="67">
        <f t="shared" si="3"/>
        <v>2.46</v>
      </c>
      <c r="H69" s="930"/>
      <c r="I69" s="1227"/>
    </row>
    <row r="70" spans="1:9" ht="19.5" customHeight="1">
      <c r="A70" s="354"/>
      <c r="B70" s="63" t="s">
        <v>1867</v>
      </c>
      <c r="C70" s="475">
        <v>-1</v>
      </c>
      <c r="D70" s="68">
        <v>90</v>
      </c>
      <c r="E70" s="68"/>
      <c r="F70" s="68"/>
      <c r="G70" s="67">
        <f t="shared" si="3"/>
        <v>-90</v>
      </c>
      <c r="H70" s="929"/>
    </row>
    <row r="71" spans="1:9" ht="18" customHeight="1">
      <c r="A71" s="354" t="s">
        <v>1442</v>
      </c>
      <c r="B71" s="64" t="s">
        <v>1443</v>
      </c>
      <c r="C71" s="70"/>
      <c r="D71" s="68"/>
      <c r="E71" s="68"/>
      <c r="F71" s="68"/>
      <c r="G71" s="67" t="str">
        <f t="shared" si="3"/>
        <v xml:space="preserve"> </v>
      </c>
      <c r="H71" s="929"/>
      <c r="I71" s="1133"/>
    </row>
    <row r="72" spans="1:9" ht="18" customHeight="1">
      <c r="A72" s="354" t="s">
        <v>1442</v>
      </c>
      <c r="B72" s="63" t="s">
        <v>942</v>
      </c>
      <c r="C72" s="404">
        <v>1</v>
      </c>
      <c r="D72" s="405">
        <f>6.45+6.4+6.4+3.25-1.15-1.15</f>
        <v>20.200000000000003</v>
      </c>
      <c r="E72" s="567">
        <f t="shared" ref="E72:E85" si="4">0.23+0.075+0.075</f>
        <v>0.38</v>
      </c>
      <c r="F72" s="68">
        <v>0.3</v>
      </c>
      <c r="G72" s="67">
        <f t="shared" si="3"/>
        <v>2.2999999999999998</v>
      </c>
      <c r="H72" s="929" t="s">
        <v>1442</v>
      </c>
      <c r="I72" s="1133"/>
    </row>
    <row r="73" spans="1:9" ht="18" customHeight="1">
      <c r="A73" s="354" t="s">
        <v>1442</v>
      </c>
      <c r="B73" s="63" t="s">
        <v>1086</v>
      </c>
      <c r="C73" s="404">
        <v>1</v>
      </c>
      <c r="D73" s="405">
        <f>6.45+6.4+6.4+3.25-1.15-1.15</f>
        <v>20.200000000000003</v>
      </c>
      <c r="E73" s="567">
        <f t="shared" si="4"/>
        <v>0.38</v>
      </c>
      <c r="F73" s="68">
        <v>0.3</v>
      </c>
      <c r="G73" s="67">
        <f t="shared" si="3"/>
        <v>2.2999999999999998</v>
      </c>
      <c r="H73" s="929" t="s">
        <v>1442</v>
      </c>
      <c r="I73" s="1133"/>
    </row>
    <row r="74" spans="1:9" ht="18" customHeight="1">
      <c r="A74" s="354" t="s">
        <v>1442</v>
      </c>
      <c r="B74" s="63" t="s">
        <v>1291</v>
      </c>
      <c r="C74" s="404">
        <v>2</v>
      </c>
      <c r="D74" s="405">
        <f>2.2+2</f>
        <v>4.2</v>
      </c>
      <c r="E74" s="567">
        <f t="shared" si="4"/>
        <v>0.38</v>
      </c>
      <c r="F74" s="68">
        <v>0.3</v>
      </c>
      <c r="G74" s="67">
        <f t="shared" si="3"/>
        <v>0.96</v>
      </c>
      <c r="H74" s="929" t="s">
        <v>1442</v>
      </c>
      <c r="I74" s="1133"/>
    </row>
    <row r="75" spans="1:9" ht="18" customHeight="1">
      <c r="A75" s="354" t="s">
        <v>1442</v>
      </c>
      <c r="B75" s="63" t="s">
        <v>1292</v>
      </c>
      <c r="C75" s="404">
        <v>2</v>
      </c>
      <c r="D75" s="405">
        <f>2.2+2</f>
        <v>4.2</v>
      </c>
      <c r="E75" s="567">
        <f t="shared" si="4"/>
        <v>0.38</v>
      </c>
      <c r="F75" s="68">
        <v>0.3</v>
      </c>
      <c r="G75" s="67">
        <f t="shared" si="3"/>
        <v>0.96</v>
      </c>
      <c r="H75" s="929" t="s">
        <v>1442</v>
      </c>
      <c r="I75" s="1228"/>
    </row>
    <row r="76" spans="1:9" ht="18" customHeight="1">
      <c r="A76" s="354" t="s">
        <v>1442</v>
      </c>
      <c r="B76" s="63" t="s">
        <v>1293</v>
      </c>
      <c r="C76" s="404">
        <v>1</v>
      </c>
      <c r="D76" s="567">
        <v>10.91</v>
      </c>
      <c r="E76" s="567">
        <f t="shared" si="4"/>
        <v>0.38</v>
      </c>
      <c r="F76" s="68">
        <v>0.3</v>
      </c>
      <c r="G76" s="67">
        <f t="shared" si="3"/>
        <v>1.24</v>
      </c>
      <c r="H76" s="929" t="s">
        <v>1442</v>
      </c>
      <c r="I76" s="1228"/>
    </row>
    <row r="77" spans="1:9" ht="18" customHeight="1">
      <c r="A77" s="354" t="s">
        <v>1442</v>
      </c>
      <c r="B77" s="63" t="s">
        <v>1294</v>
      </c>
      <c r="C77" s="404">
        <v>1</v>
      </c>
      <c r="D77" s="567">
        <v>10.91</v>
      </c>
      <c r="E77" s="567">
        <f t="shared" si="4"/>
        <v>0.38</v>
      </c>
      <c r="F77" s="68">
        <v>0.3</v>
      </c>
      <c r="G77" s="67">
        <f t="shared" si="3"/>
        <v>1.24</v>
      </c>
      <c r="H77" s="929" t="s">
        <v>1442</v>
      </c>
      <c r="I77" s="1228"/>
    </row>
    <row r="78" spans="1:9" ht="18" customHeight="1">
      <c r="A78" s="354" t="s">
        <v>1442</v>
      </c>
      <c r="B78" s="63" t="s">
        <v>1295</v>
      </c>
      <c r="C78" s="404">
        <v>1</v>
      </c>
      <c r="D78" s="567">
        <v>14.275</v>
      </c>
      <c r="E78" s="567">
        <f t="shared" si="4"/>
        <v>0.38</v>
      </c>
      <c r="F78" s="68">
        <v>0.3</v>
      </c>
      <c r="G78" s="67">
        <f t="shared" si="3"/>
        <v>1.63</v>
      </c>
      <c r="H78" s="929" t="s">
        <v>1442</v>
      </c>
      <c r="I78" s="1228"/>
    </row>
    <row r="79" spans="1:9" ht="18" customHeight="1">
      <c r="A79" s="354" t="s">
        <v>1442</v>
      </c>
      <c r="B79" s="63" t="s">
        <v>1296</v>
      </c>
      <c r="C79" s="404">
        <v>1</v>
      </c>
      <c r="D79" s="567">
        <v>14.275</v>
      </c>
      <c r="E79" s="567">
        <f t="shared" si="4"/>
        <v>0.38</v>
      </c>
      <c r="F79" s="68">
        <v>0.3</v>
      </c>
      <c r="G79" s="67">
        <f t="shared" si="3"/>
        <v>1.63</v>
      </c>
      <c r="H79" s="929" t="s">
        <v>1442</v>
      </c>
      <c r="I79" s="1228"/>
    </row>
    <row r="80" spans="1:9" ht="18" customHeight="1">
      <c r="A80" s="354" t="s">
        <v>1442</v>
      </c>
      <c r="B80" s="63" t="s">
        <v>1113</v>
      </c>
      <c r="C80" s="404">
        <v>1</v>
      </c>
      <c r="D80" s="405">
        <f>3.2+6.45+3.25-1.025-1.075</f>
        <v>10.8</v>
      </c>
      <c r="E80" s="567">
        <f t="shared" si="4"/>
        <v>0.38</v>
      </c>
      <c r="F80" s="68">
        <v>0.3</v>
      </c>
      <c r="G80" s="67">
        <f t="shared" ref="G80:G96" si="5">IF(C80&lt;&gt;0,ROUND(PRODUCT(D80:F80)*C80,2)," ")</f>
        <v>1.23</v>
      </c>
      <c r="H80" s="929" t="s">
        <v>1442</v>
      </c>
      <c r="I80" s="1228"/>
    </row>
    <row r="81" spans="1:9" ht="18" customHeight="1">
      <c r="A81" s="354" t="s">
        <v>1442</v>
      </c>
      <c r="B81" s="63" t="s">
        <v>1297</v>
      </c>
      <c r="C81" s="404">
        <v>1</v>
      </c>
      <c r="D81" s="405">
        <f>3.2+6.45+3.25-1.025-1.075</f>
        <v>10.8</v>
      </c>
      <c r="E81" s="567">
        <f t="shared" si="4"/>
        <v>0.38</v>
      </c>
      <c r="F81" s="68">
        <v>0.3</v>
      </c>
      <c r="G81" s="67">
        <f t="shared" si="5"/>
        <v>1.23</v>
      </c>
      <c r="H81" s="929" t="s">
        <v>1442</v>
      </c>
      <c r="I81" s="1228"/>
    </row>
    <row r="82" spans="1:9" ht="18" customHeight="1">
      <c r="A82" s="354" t="s">
        <v>1442</v>
      </c>
      <c r="B82" s="63" t="s">
        <v>1111</v>
      </c>
      <c r="C82" s="404">
        <v>1</v>
      </c>
      <c r="D82" s="405">
        <f>3.2+6.45+6.45-1.025-1.05</f>
        <v>14.025</v>
      </c>
      <c r="E82" s="567">
        <f t="shared" si="4"/>
        <v>0.38</v>
      </c>
      <c r="F82" s="68">
        <v>0.3</v>
      </c>
      <c r="G82" s="67">
        <f t="shared" si="5"/>
        <v>1.6</v>
      </c>
      <c r="H82" s="929" t="s">
        <v>1442</v>
      </c>
      <c r="I82" s="1228"/>
    </row>
    <row r="83" spans="1:9" ht="18" customHeight="1">
      <c r="A83" s="354" t="s">
        <v>1442</v>
      </c>
      <c r="B83" s="63" t="s">
        <v>1112</v>
      </c>
      <c r="C83" s="404">
        <v>1</v>
      </c>
      <c r="D83" s="405">
        <f>3.2+6.45+6.45-1.025-1.05</f>
        <v>14.025</v>
      </c>
      <c r="E83" s="567">
        <f t="shared" si="4"/>
        <v>0.38</v>
      </c>
      <c r="F83" s="68">
        <v>0.3</v>
      </c>
      <c r="G83" s="67">
        <f t="shared" si="5"/>
        <v>1.6</v>
      </c>
      <c r="H83" s="929" t="s">
        <v>1442</v>
      </c>
      <c r="I83" s="1228"/>
    </row>
    <row r="84" spans="1:9" ht="18" customHeight="1">
      <c r="A84" s="354" t="s">
        <v>1442</v>
      </c>
      <c r="B84" s="63" t="s">
        <v>1363</v>
      </c>
      <c r="C84" s="404">
        <v>1</v>
      </c>
      <c r="D84" s="405">
        <v>6.3</v>
      </c>
      <c r="E84" s="567">
        <f t="shared" si="4"/>
        <v>0.38</v>
      </c>
      <c r="F84" s="68">
        <v>0.3</v>
      </c>
      <c r="G84" s="67">
        <f t="shared" si="5"/>
        <v>0.72</v>
      </c>
      <c r="H84" s="929" t="s">
        <v>1442</v>
      </c>
      <c r="I84" s="1228"/>
    </row>
    <row r="85" spans="1:9" ht="18" customHeight="1">
      <c r="A85" s="354" t="s">
        <v>1442</v>
      </c>
      <c r="B85" s="63" t="s">
        <v>1365</v>
      </c>
      <c r="C85" s="568">
        <f>0*2</f>
        <v>0</v>
      </c>
      <c r="D85" s="405">
        <v>2.9929999999999999</v>
      </c>
      <c r="E85" s="567">
        <f t="shared" si="4"/>
        <v>0.38</v>
      </c>
      <c r="F85" s="68">
        <v>0.3</v>
      </c>
      <c r="G85" s="67" t="str">
        <f t="shared" si="5"/>
        <v xml:space="preserve"> </v>
      </c>
      <c r="H85" s="929" t="s">
        <v>1442</v>
      </c>
      <c r="I85" s="1228"/>
    </row>
    <row r="86" spans="1:9" ht="18" customHeight="1">
      <c r="A86" s="354" t="s">
        <v>1442</v>
      </c>
      <c r="B86" s="63" t="s">
        <v>1444</v>
      </c>
      <c r="C86" s="404">
        <v>1</v>
      </c>
      <c r="D86" s="567">
        <f>2.3+0.2</f>
        <v>2.5</v>
      </c>
      <c r="E86" s="567">
        <f>2.3+0.2</f>
        <v>2.5</v>
      </c>
      <c r="F86" s="68">
        <v>0.3</v>
      </c>
      <c r="G86" s="67">
        <f t="shared" si="5"/>
        <v>1.88</v>
      </c>
      <c r="H86" s="929" t="s">
        <v>1442</v>
      </c>
      <c r="I86" s="1133"/>
    </row>
    <row r="87" spans="1:9" ht="18" customHeight="1">
      <c r="A87" s="354" t="s">
        <v>1442</v>
      </c>
      <c r="B87" s="63" t="s">
        <v>1444</v>
      </c>
      <c r="C87" s="404">
        <v>1</v>
      </c>
      <c r="D87" s="567">
        <f>2.4+0.2</f>
        <v>2.6</v>
      </c>
      <c r="E87" s="567">
        <f>3.6+0.2</f>
        <v>3.8000000000000003</v>
      </c>
      <c r="F87" s="68">
        <v>0.3</v>
      </c>
      <c r="G87" s="67">
        <f t="shared" si="5"/>
        <v>2.96</v>
      </c>
      <c r="H87" s="929" t="s">
        <v>1442</v>
      </c>
    </row>
    <row r="88" spans="1:9" s="488" customFormat="1" ht="18" customHeight="1">
      <c r="A88" s="354" t="s">
        <v>1442</v>
      </c>
      <c r="B88" s="356" t="s">
        <v>1627</v>
      </c>
      <c r="C88" s="404">
        <v>1</v>
      </c>
      <c r="D88" s="567">
        <f>6+0.45+0.45+0.1+0.1</f>
        <v>7.1</v>
      </c>
      <c r="E88" s="567">
        <f>3+0.45+0.45+0.1+0.1</f>
        <v>4.0999999999999996</v>
      </c>
      <c r="F88" s="68">
        <v>3.5</v>
      </c>
      <c r="G88" s="67">
        <f t="shared" si="5"/>
        <v>101.89</v>
      </c>
      <c r="H88" s="929" t="s">
        <v>1442</v>
      </c>
      <c r="I88" s="1229"/>
    </row>
    <row r="89" spans="1:9" s="494" customFormat="1" ht="18" customHeight="1">
      <c r="A89" s="354" t="s">
        <v>1442</v>
      </c>
      <c r="B89" s="63" t="s">
        <v>1724</v>
      </c>
      <c r="C89" s="404">
        <v>1</v>
      </c>
      <c r="D89" s="567">
        <v>3.1</v>
      </c>
      <c r="E89" s="567">
        <f>1.5+0.45+0.45+0.1+0.1</f>
        <v>2.6</v>
      </c>
      <c r="F89" s="68">
        <v>2.8</v>
      </c>
      <c r="G89" s="67">
        <f t="shared" si="5"/>
        <v>22.57</v>
      </c>
      <c r="H89" s="929" t="s">
        <v>1442</v>
      </c>
      <c r="I89" s="1230"/>
    </row>
    <row r="90" spans="1:9" s="494" customFormat="1" ht="18" customHeight="1">
      <c r="A90" s="354" t="s">
        <v>1442</v>
      </c>
      <c r="B90" s="63" t="s">
        <v>1629</v>
      </c>
      <c r="C90" s="404">
        <v>1</v>
      </c>
      <c r="D90" s="405">
        <v>11.5</v>
      </c>
      <c r="E90" s="567">
        <v>10.97</v>
      </c>
      <c r="F90" s="68">
        <v>0.15</v>
      </c>
      <c r="G90" s="67">
        <f t="shared" si="5"/>
        <v>18.920000000000002</v>
      </c>
      <c r="H90" s="929" t="s">
        <v>1442</v>
      </c>
      <c r="I90" s="1230"/>
    </row>
    <row r="91" spans="1:9" s="494" customFormat="1" ht="18" customHeight="1">
      <c r="A91" s="354" t="s">
        <v>1442</v>
      </c>
      <c r="B91" s="63"/>
      <c r="C91" s="404">
        <v>1</v>
      </c>
      <c r="D91" s="405">
        <v>15.75</v>
      </c>
      <c r="E91" s="405">
        <v>2.2000000000000002</v>
      </c>
      <c r="F91" s="68">
        <v>0.15</v>
      </c>
      <c r="G91" s="67">
        <f t="shared" si="5"/>
        <v>5.2</v>
      </c>
      <c r="H91" s="929" t="s">
        <v>1442</v>
      </c>
      <c r="I91" s="1230"/>
    </row>
    <row r="92" spans="1:9" s="488" customFormat="1" ht="18" customHeight="1">
      <c r="A92" s="354" t="s">
        <v>1442</v>
      </c>
      <c r="B92" s="356" t="s">
        <v>1628</v>
      </c>
      <c r="C92" s="573">
        <v>2</v>
      </c>
      <c r="D92" s="574">
        <v>11.5</v>
      </c>
      <c r="E92" s="405">
        <v>0.23</v>
      </c>
      <c r="F92" s="68">
        <v>0.15</v>
      </c>
      <c r="G92" s="67">
        <f t="shared" si="5"/>
        <v>0.79</v>
      </c>
      <c r="H92" s="929" t="s">
        <v>1442</v>
      </c>
      <c r="I92" s="1229"/>
    </row>
    <row r="93" spans="1:9" s="494" customFormat="1" ht="18" customHeight="1">
      <c r="A93" s="354" t="s">
        <v>1442</v>
      </c>
      <c r="B93" s="356"/>
      <c r="C93" s="404">
        <v>2</v>
      </c>
      <c r="D93" s="567">
        <v>10.97</v>
      </c>
      <c r="E93" s="405">
        <v>0.23</v>
      </c>
      <c r="F93" s="68">
        <v>0.15</v>
      </c>
      <c r="G93" s="67">
        <f t="shared" si="5"/>
        <v>0.76</v>
      </c>
      <c r="H93" s="929" t="s">
        <v>1442</v>
      </c>
      <c r="I93" s="1230"/>
    </row>
    <row r="94" spans="1:9" s="494" customFormat="1" ht="18" customHeight="1">
      <c r="A94" s="354" t="s">
        <v>1442</v>
      </c>
      <c r="B94" s="356"/>
      <c r="C94" s="404">
        <v>2</v>
      </c>
      <c r="D94" s="405">
        <v>15.75</v>
      </c>
      <c r="E94" s="405">
        <v>0.23</v>
      </c>
      <c r="F94" s="68">
        <v>0.15</v>
      </c>
      <c r="G94" s="67">
        <f t="shared" si="5"/>
        <v>1.0900000000000001</v>
      </c>
      <c r="H94" s="929" t="s">
        <v>1442</v>
      </c>
      <c r="I94" s="1230"/>
    </row>
    <row r="95" spans="1:9" s="494" customFormat="1" ht="30" customHeight="1">
      <c r="A95" s="354" t="s">
        <v>1442</v>
      </c>
      <c r="B95" s="356" t="s">
        <v>1775</v>
      </c>
      <c r="C95" s="573">
        <v>2</v>
      </c>
      <c r="D95" s="574">
        <v>4.625</v>
      </c>
      <c r="E95" s="574">
        <v>0.23</v>
      </c>
      <c r="F95" s="77">
        <v>0.67500000000000004</v>
      </c>
      <c r="G95" s="67">
        <f t="shared" si="5"/>
        <v>1.44</v>
      </c>
      <c r="H95" s="931" t="s">
        <v>1442</v>
      </c>
      <c r="I95" s="1230"/>
    </row>
    <row r="96" spans="1:9" s="488" customFormat="1" ht="18" customHeight="1">
      <c r="A96" s="354" t="s">
        <v>1442</v>
      </c>
      <c r="B96" s="64"/>
      <c r="C96" s="404">
        <v>2</v>
      </c>
      <c r="D96" s="405">
        <v>3.5750000000000002</v>
      </c>
      <c r="E96" s="405">
        <v>0.23</v>
      </c>
      <c r="F96" s="68">
        <v>0.67500000000000004</v>
      </c>
      <c r="G96" s="67">
        <f t="shared" si="5"/>
        <v>1.1100000000000001</v>
      </c>
      <c r="H96" s="929" t="s">
        <v>1442</v>
      </c>
      <c r="I96" s="1229"/>
    </row>
    <row r="97" spans="1:9" ht="14.25">
      <c r="A97" s="932"/>
      <c r="B97" s="874" t="s">
        <v>2188</v>
      </c>
      <c r="C97" s="875"/>
      <c r="D97" s="874"/>
      <c r="E97" s="874"/>
      <c r="F97" s="874"/>
      <c r="G97" s="842">
        <f>SUM(G6:G96)</f>
        <v>1810.57</v>
      </c>
      <c r="H97" s="945" t="s">
        <v>347</v>
      </c>
    </row>
    <row r="98" spans="1:9" s="79" customFormat="1" ht="18" customHeight="1">
      <c r="A98" s="934"/>
      <c r="B98" s="566"/>
      <c r="C98" s="565"/>
      <c r="D98" s="254"/>
      <c r="E98" s="254"/>
      <c r="F98" s="254"/>
      <c r="G98" s="715"/>
      <c r="H98" s="935"/>
      <c r="I98" s="1231"/>
    </row>
    <row r="99" spans="1:9" ht="18" customHeight="1">
      <c r="A99" s="380" t="s">
        <v>336</v>
      </c>
      <c r="B99" s="387" t="s">
        <v>1805</v>
      </c>
      <c r="C99" s="70"/>
      <c r="D99" s="67"/>
      <c r="E99" s="67"/>
      <c r="F99" s="67"/>
      <c r="G99" s="67"/>
      <c r="H99" s="929"/>
    </row>
    <row r="100" spans="1:9" s="78" customFormat="1" ht="19.5" customHeight="1">
      <c r="A100" s="354" t="s">
        <v>1868</v>
      </c>
      <c r="B100" s="548" t="s">
        <v>1869</v>
      </c>
      <c r="C100" s="475"/>
      <c r="D100" s="68"/>
      <c r="E100" s="68"/>
      <c r="F100" s="68"/>
      <c r="G100" s="67"/>
      <c r="H100" s="930"/>
      <c r="I100" s="1227"/>
    </row>
    <row r="101" spans="1:9" s="78" customFormat="1" ht="19.5" customHeight="1">
      <c r="A101" s="354" t="s">
        <v>1868</v>
      </c>
      <c r="B101" s="63" t="s">
        <v>1870</v>
      </c>
      <c r="C101" s="475">
        <v>1</v>
      </c>
      <c r="D101" s="68">
        <f>4.9+0.7+0.7+0.1+0.1</f>
        <v>6.5</v>
      </c>
      <c r="E101" s="68">
        <f>2.4+2.025+0.275-0.275</f>
        <v>4.4249999999999998</v>
      </c>
      <c r="F101" s="68"/>
      <c r="G101" s="67">
        <f t="shared" ref="G101:G111" si="6">IF(C101&lt;&gt;0,ROUND(PRODUCT(D101:F101)*C101,2)," ")</f>
        <v>28.76</v>
      </c>
      <c r="H101" s="930"/>
      <c r="I101" s="1227"/>
    </row>
    <row r="102" spans="1:9" s="78" customFormat="1" ht="19.5" customHeight="1">
      <c r="A102" s="354" t="s">
        <v>1868</v>
      </c>
      <c r="B102" s="63" t="s">
        <v>1871</v>
      </c>
      <c r="C102" s="475">
        <v>1</v>
      </c>
      <c r="D102" s="68">
        <f>3.025+0.175+6.45+3.25+3.2+0.7+4.9+0.7+3.2+3.25+6.45+0.175+3.025+0.1+0.1</f>
        <v>38.700000000000003</v>
      </c>
      <c r="E102" s="68">
        <f>4.6+0.275-0.1</f>
        <v>4.7750000000000004</v>
      </c>
      <c r="F102" s="68"/>
      <c r="G102" s="67">
        <f t="shared" si="6"/>
        <v>184.79</v>
      </c>
      <c r="H102" s="930"/>
      <c r="I102" s="1227"/>
    </row>
    <row r="103" spans="1:9" s="78" customFormat="1" ht="19.5" customHeight="1">
      <c r="A103" s="354" t="s">
        <v>1868</v>
      </c>
      <c r="B103" s="63" t="s">
        <v>1872</v>
      </c>
      <c r="C103" s="475">
        <v>1</v>
      </c>
      <c r="D103" s="68">
        <f>2.25+1.575+3.025+0.175+6.45+3.25+3.2+0.7+4.9+0.7+3.2+3.25+6.45+0.175+3.025+1.575+2.25+0.275+0.275</f>
        <v>46.699999999999996</v>
      </c>
      <c r="E103" s="68">
        <f>2.25+1.525+0.1-0.1</f>
        <v>3.7749999999999999</v>
      </c>
      <c r="F103" s="68"/>
      <c r="G103" s="67">
        <f t="shared" si="6"/>
        <v>176.29</v>
      </c>
      <c r="H103" s="930"/>
      <c r="I103" s="1227"/>
    </row>
    <row r="104" spans="1:9" s="78" customFormat="1" ht="19.5" customHeight="1">
      <c r="A104" s="354" t="s">
        <v>1868</v>
      </c>
      <c r="B104" s="63" t="s">
        <v>1873</v>
      </c>
      <c r="C104" s="475">
        <v>1</v>
      </c>
      <c r="D104" s="68">
        <f>3.6+1+2.25+1.575+3.025+0.175+6.45+3.25+3.2+0.7+4.9+0.7+3.2+3.25+6.45+0.175+3.025+1.575+2.25+1+3.6+0.275+0.275</f>
        <v>55.9</v>
      </c>
      <c r="E104" s="68">
        <f>3.075+0.1+0.275</f>
        <v>3.45</v>
      </c>
      <c r="F104" s="68"/>
      <c r="G104" s="67">
        <f t="shared" si="6"/>
        <v>192.86</v>
      </c>
      <c r="H104" s="930"/>
      <c r="I104" s="1227"/>
    </row>
    <row r="105" spans="1:9" s="78" customFormat="1" ht="19.5" customHeight="1">
      <c r="A105" s="354" t="s">
        <v>1868</v>
      </c>
      <c r="B105" s="63" t="s">
        <v>1874</v>
      </c>
      <c r="C105" s="475">
        <v>1</v>
      </c>
      <c r="D105" s="68">
        <f>0.7+4.9+0.7+0.1+0.1</f>
        <v>6.5</v>
      </c>
      <c r="E105" s="68">
        <f>1.6-0.275+0.1</f>
        <v>1.4250000000000003</v>
      </c>
      <c r="F105" s="68"/>
      <c r="G105" s="67">
        <f t="shared" si="6"/>
        <v>9.26</v>
      </c>
      <c r="H105" s="930"/>
      <c r="I105" s="1227"/>
    </row>
    <row r="106" spans="1:9" s="78" customFormat="1" ht="19.5" customHeight="1">
      <c r="A106" s="354" t="s">
        <v>1868</v>
      </c>
      <c r="B106" s="63" t="s">
        <v>1875</v>
      </c>
      <c r="C106" s="475">
        <v>2</v>
      </c>
      <c r="D106" s="68">
        <f>3.6+1+2.25+1.575+3.025+0.175+0.275+0.1</f>
        <v>12</v>
      </c>
      <c r="E106" s="68">
        <f>1.6+1.775+6.4+4.925+1.475+1.825+1.425-0.1-0.275</f>
        <v>19.05</v>
      </c>
      <c r="F106" s="68"/>
      <c r="G106" s="67">
        <f t="shared" si="6"/>
        <v>457.2</v>
      </c>
      <c r="H106" s="930"/>
      <c r="I106" s="1227"/>
    </row>
    <row r="107" spans="1:9" s="78" customFormat="1" ht="19.5" customHeight="1">
      <c r="A107" s="354" t="s">
        <v>1868</v>
      </c>
      <c r="B107" s="63" t="s">
        <v>1876</v>
      </c>
      <c r="C107" s="475">
        <v>1</v>
      </c>
      <c r="D107" s="68">
        <f>4.9+0.1+0.1</f>
        <v>5.0999999999999996</v>
      </c>
      <c r="E107" s="68">
        <f>1.475+1.825-0.275+0.275</f>
        <v>3.3</v>
      </c>
      <c r="F107" s="68"/>
      <c r="G107" s="67">
        <f t="shared" si="6"/>
        <v>16.829999999999998</v>
      </c>
      <c r="H107" s="930"/>
      <c r="I107" s="1227"/>
    </row>
    <row r="108" spans="1:9" s="78" customFormat="1" ht="19.5" customHeight="1">
      <c r="A108" s="354" t="s">
        <v>1868</v>
      </c>
      <c r="B108" s="63" t="s">
        <v>1877</v>
      </c>
      <c r="C108" s="475">
        <v>2</v>
      </c>
      <c r="D108" s="68">
        <f>2.298+3.6+1+2.25+1.575+3.025+0.175+0.1+0.1</f>
        <v>14.122999999999999</v>
      </c>
      <c r="E108" s="68">
        <f>3.175+2.25+1.875+2.725+2.462+0.1+0.1</f>
        <v>12.686999999999999</v>
      </c>
      <c r="F108" s="68"/>
      <c r="G108" s="67">
        <f t="shared" si="6"/>
        <v>358.36</v>
      </c>
      <c r="H108" s="930"/>
      <c r="I108" s="1227"/>
    </row>
    <row r="109" spans="1:9" s="78" customFormat="1" ht="19.5" customHeight="1">
      <c r="A109" s="354" t="s">
        <v>1868</v>
      </c>
      <c r="B109" s="63" t="s">
        <v>1878</v>
      </c>
      <c r="C109" s="475">
        <v>-2</v>
      </c>
      <c r="D109" s="68">
        <f>3.025+0.175+0.1</f>
        <v>3.3</v>
      </c>
      <c r="E109" s="68">
        <f>2.462-0.275+0.1</f>
        <v>2.2870000000000004</v>
      </c>
      <c r="F109" s="68"/>
      <c r="G109" s="67">
        <f t="shared" si="6"/>
        <v>-15.09</v>
      </c>
      <c r="H109" s="930"/>
      <c r="I109" s="1227"/>
    </row>
    <row r="110" spans="1:9" s="78" customFormat="1" ht="19.5" customHeight="1">
      <c r="A110" s="354" t="s">
        <v>1868</v>
      </c>
      <c r="B110" s="63" t="s">
        <v>1879</v>
      </c>
      <c r="C110" s="475">
        <v>2</v>
      </c>
      <c r="D110" s="68">
        <f>6.45+3.25-0.1-0.1</f>
        <v>9.5</v>
      </c>
      <c r="E110" s="68">
        <f>1.425+3.175+2.25+1.875+2.725+0.275+0.275</f>
        <v>12</v>
      </c>
      <c r="F110" s="68"/>
      <c r="G110" s="67">
        <f t="shared" si="6"/>
        <v>228</v>
      </c>
      <c r="H110" s="930"/>
      <c r="I110" s="1227"/>
    </row>
    <row r="111" spans="1:9" s="78" customFormat="1" ht="19.5" customHeight="1">
      <c r="A111" s="354" t="s">
        <v>1868</v>
      </c>
      <c r="B111" s="63" t="s">
        <v>1880</v>
      </c>
      <c r="C111" s="475">
        <v>1</v>
      </c>
      <c r="D111" s="68">
        <f>3.2+0.7+4.9+0.7+3.2+0.1+0.1</f>
        <v>12.899999999999999</v>
      </c>
      <c r="E111" s="68">
        <f>1.425+3.175+2.25+1.875+2.725+2.462+1.388+5.234+0.275+0.275</f>
        <v>21.083999999999996</v>
      </c>
      <c r="F111" s="68"/>
      <c r="G111" s="67">
        <f t="shared" si="6"/>
        <v>271.98</v>
      </c>
      <c r="H111" s="930"/>
      <c r="I111" s="1227"/>
    </row>
    <row r="112" spans="1:9" ht="14.25">
      <c r="A112" s="380"/>
      <c r="B112" s="80" t="s">
        <v>2188</v>
      </c>
      <c r="C112" s="841"/>
      <c r="D112" s="842"/>
      <c r="E112" s="842"/>
      <c r="F112" s="713"/>
      <c r="G112" s="842">
        <f>SUM(G101:G111)</f>
        <v>1909.24</v>
      </c>
      <c r="H112" s="945" t="s">
        <v>350</v>
      </c>
      <c r="I112" s="1226">
        <v>1.1000000000000001</v>
      </c>
    </row>
    <row r="113" spans="1:10" ht="18" customHeight="1">
      <c r="A113" s="354"/>
      <c r="B113" s="64"/>
      <c r="C113" s="717"/>
      <c r="D113" s="615"/>
      <c r="E113" s="615"/>
      <c r="F113" s="352"/>
      <c r="G113" s="615"/>
      <c r="H113" s="929"/>
    </row>
    <row r="114" spans="1:10" ht="18" customHeight="1">
      <c r="A114" s="380" t="s">
        <v>334</v>
      </c>
      <c r="B114" s="387" t="s">
        <v>1227</v>
      </c>
      <c r="C114" s="70"/>
      <c r="D114" s="67"/>
      <c r="E114" s="67"/>
      <c r="F114" s="67"/>
      <c r="G114" s="67"/>
      <c r="H114" s="929"/>
    </row>
    <row r="115" spans="1:10" ht="18" customHeight="1">
      <c r="A115" s="354" t="s">
        <v>2247</v>
      </c>
      <c r="B115" s="64" t="s">
        <v>298</v>
      </c>
      <c r="C115" s="70"/>
      <c r="D115" s="68"/>
      <c r="E115" s="68"/>
      <c r="F115" s="68"/>
      <c r="G115" s="68"/>
      <c r="H115" s="929"/>
      <c r="J115" s="686"/>
    </row>
    <row r="116" spans="1:10" ht="18" customHeight="1">
      <c r="A116" s="354"/>
      <c r="B116" s="63" t="s">
        <v>1796</v>
      </c>
      <c r="C116" s="70">
        <v>42</v>
      </c>
      <c r="D116" s="68">
        <f>1.8+0.075+0.075</f>
        <v>1.95</v>
      </c>
      <c r="E116" s="68">
        <f>1.8+0.075+0.075</f>
        <v>1.95</v>
      </c>
      <c r="F116" s="68">
        <v>7.4999999999999997E-2</v>
      </c>
      <c r="G116" s="67">
        <f t="shared" ref="G116:G179" si="7">IF(C116&lt;&gt;0,ROUND(PRODUCT(D116:F116)*C116,2)," ")</f>
        <v>11.98</v>
      </c>
      <c r="H116" s="929" t="s">
        <v>2247</v>
      </c>
      <c r="J116" s="686"/>
    </row>
    <row r="117" spans="1:10" ht="18" customHeight="1">
      <c r="A117" s="354"/>
      <c r="B117" s="63" t="s">
        <v>1797</v>
      </c>
      <c r="C117" s="70">
        <v>40</v>
      </c>
      <c r="D117" s="68">
        <f>2.1+0.075+0.075</f>
        <v>2.2500000000000004</v>
      </c>
      <c r="E117" s="68">
        <f>2.1+0.075+0.075</f>
        <v>2.2500000000000004</v>
      </c>
      <c r="F117" s="68">
        <v>7.4999999999999997E-2</v>
      </c>
      <c r="G117" s="67">
        <f t="shared" si="7"/>
        <v>15.19</v>
      </c>
      <c r="H117" s="929" t="s">
        <v>2247</v>
      </c>
      <c r="J117" s="686"/>
    </row>
    <row r="118" spans="1:10" ht="18" customHeight="1">
      <c r="A118" s="354"/>
      <c r="B118" s="63" t="s">
        <v>1798</v>
      </c>
      <c r="C118" s="70">
        <v>18</v>
      </c>
      <c r="D118" s="68">
        <f>2.4+0.075+0.075</f>
        <v>2.5500000000000003</v>
      </c>
      <c r="E118" s="68">
        <f>2.4+0.075+0.075</f>
        <v>2.5500000000000003</v>
      </c>
      <c r="F118" s="68">
        <v>7.4999999999999997E-2</v>
      </c>
      <c r="G118" s="67">
        <f t="shared" si="7"/>
        <v>8.7799999999999994</v>
      </c>
      <c r="H118" s="929" t="s">
        <v>2247</v>
      </c>
      <c r="J118" s="686"/>
    </row>
    <row r="119" spans="1:10" ht="18" customHeight="1">
      <c r="A119" s="354"/>
      <c r="B119" s="63" t="s">
        <v>1799</v>
      </c>
      <c r="C119" s="70">
        <v>4</v>
      </c>
      <c r="D119" s="68">
        <f>2.7+0.075+0.075</f>
        <v>2.8500000000000005</v>
      </c>
      <c r="E119" s="68">
        <f>2.7+0.075+0.075</f>
        <v>2.8500000000000005</v>
      </c>
      <c r="F119" s="68">
        <v>7.4999999999999997E-2</v>
      </c>
      <c r="G119" s="67">
        <f t="shared" si="7"/>
        <v>2.44</v>
      </c>
      <c r="H119" s="929" t="s">
        <v>2247</v>
      </c>
      <c r="J119" s="686"/>
    </row>
    <row r="120" spans="1:10" ht="18" customHeight="1">
      <c r="A120" s="354"/>
      <c r="B120" s="63" t="s">
        <v>1800</v>
      </c>
      <c r="C120" s="70">
        <v>4</v>
      </c>
      <c r="D120" s="68">
        <f>3.25+0.075+0.075</f>
        <v>3.4000000000000004</v>
      </c>
      <c r="E120" s="68">
        <f>2.25+0.075+0.075</f>
        <v>2.4000000000000004</v>
      </c>
      <c r="F120" s="68">
        <v>7.4999999999999997E-2</v>
      </c>
      <c r="G120" s="67">
        <f t="shared" si="7"/>
        <v>2.4500000000000002</v>
      </c>
      <c r="H120" s="929" t="s">
        <v>2247</v>
      </c>
      <c r="J120" s="686"/>
    </row>
    <row r="121" spans="1:10" ht="18" customHeight="1">
      <c r="A121" s="354"/>
      <c r="B121" s="63" t="s">
        <v>1801</v>
      </c>
      <c r="C121" s="70">
        <v>10</v>
      </c>
      <c r="D121" s="68">
        <f>4.8+0.075+0.075</f>
        <v>4.95</v>
      </c>
      <c r="E121" s="68">
        <f>2.4+0.075+0.075</f>
        <v>2.5500000000000003</v>
      </c>
      <c r="F121" s="68">
        <v>7.4999999999999997E-2</v>
      </c>
      <c r="G121" s="67">
        <f t="shared" si="7"/>
        <v>9.4700000000000006</v>
      </c>
      <c r="H121" s="929" t="s">
        <v>2247</v>
      </c>
      <c r="J121" s="686"/>
    </row>
    <row r="122" spans="1:10" ht="18" customHeight="1">
      <c r="A122" s="354"/>
      <c r="B122" s="63" t="s">
        <v>1802</v>
      </c>
      <c r="C122" s="70">
        <v>2</v>
      </c>
      <c r="D122" s="68">
        <f>4.5+0.075+0.075</f>
        <v>4.6500000000000004</v>
      </c>
      <c r="E122" s="68">
        <f>2.7+0.075+0.075</f>
        <v>2.8500000000000005</v>
      </c>
      <c r="F122" s="68">
        <v>7.4999999999999997E-2</v>
      </c>
      <c r="G122" s="67">
        <f t="shared" si="7"/>
        <v>1.99</v>
      </c>
      <c r="H122" s="929" t="s">
        <v>2247</v>
      </c>
      <c r="J122" s="686"/>
    </row>
    <row r="123" spans="1:10" ht="18" customHeight="1">
      <c r="A123" s="354"/>
      <c r="B123" s="582" t="s">
        <v>1881</v>
      </c>
      <c r="C123" s="70"/>
      <c r="D123" s="68"/>
      <c r="E123" s="68"/>
      <c r="F123" s="68"/>
      <c r="G123" s="67" t="str">
        <f t="shared" si="7"/>
        <v xml:space="preserve"> </v>
      </c>
      <c r="H123" s="929" t="s">
        <v>2247</v>
      </c>
      <c r="J123" s="686"/>
    </row>
    <row r="124" spans="1:10" ht="18" customHeight="1">
      <c r="A124" s="354"/>
      <c r="B124" s="63" t="s">
        <v>1228</v>
      </c>
      <c r="C124" s="70">
        <v>1</v>
      </c>
      <c r="D124" s="68">
        <f>3.2+0.7+4.9+0.7+3.2+0.2+0.2-0.4-0.4-0.4-0.4</f>
        <v>11.499999999999996</v>
      </c>
      <c r="E124" s="68">
        <f t="shared" ref="E124:E175" si="8">0.23+0.075+0.075</f>
        <v>0.38</v>
      </c>
      <c r="F124" s="68">
        <v>7.4999999999999997E-2</v>
      </c>
      <c r="G124" s="67">
        <f t="shared" si="7"/>
        <v>0.33</v>
      </c>
      <c r="H124" s="929" t="s">
        <v>2247</v>
      </c>
      <c r="J124" s="686"/>
    </row>
    <row r="125" spans="1:10" s="78" customFormat="1" ht="18" customHeight="1">
      <c r="A125" s="75"/>
      <c r="B125" s="356" t="s">
        <v>1229</v>
      </c>
      <c r="C125" s="76">
        <v>2</v>
      </c>
      <c r="D125" s="77">
        <f>2.298+3.6+1+2.25+1.575+0.275+0.275-0.55-0.55-0.55</f>
        <v>9.6229999999999976</v>
      </c>
      <c r="E125" s="77">
        <f t="shared" si="8"/>
        <v>0.38</v>
      </c>
      <c r="F125" s="77">
        <v>7.4999999999999997E-2</v>
      </c>
      <c r="G125" s="67">
        <f t="shared" si="7"/>
        <v>0.55000000000000004</v>
      </c>
      <c r="H125" s="929" t="s">
        <v>2247</v>
      </c>
      <c r="I125" s="1227"/>
      <c r="J125" s="706"/>
    </row>
    <row r="126" spans="1:10" ht="18" customHeight="1">
      <c r="A126" s="354"/>
      <c r="B126" s="63" t="s">
        <v>1230</v>
      </c>
      <c r="C126" s="70">
        <v>1</v>
      </c>
      <c r="D126" s="68">
        <v>35.1</v>
      </c>
      <c r="E126" s="68">
        <f t="shared" si="8"/>
        <v>0.38</v>
      </c>
      <c r="F126" s="68">
        <v>7.4999999999999997E-2</v>
      </c>
      <c r="G126" s="67">
        <f t="shared" si="7"/>
        <v>1</v>
      </c>
      <c r="H126" s="929" t="s">
        <v>2247</v>
      </c>
      <c r="J126" s="686"/>
    </row>
    <row r="127" spans="1:10" s="78" customFormat="1" ht="18" customHeight="1">
      <c r="A127" s="75"/>
      <c r="B127" s="356" t="s">
        <v>1231</v>
      </c>
      <c r="C127" s="76">
        <v>2</v>
      </c>
      <c r="D127" s="77">
        <f>2.298+3.6+1+2.25+1.575+0.275+0.115-0.55</f>
        <v>10.562999999999999</v>
      </c>
      <c r="E127" s="77">
        <f t="shared" si="8"/>
        <v>0.38</v>
      </c>
      <c r="F127" s="77">
        <v>7.4999999999999997E-2</v>
      </c>
      <c r="G127" s="67">
        <f t="shared" si="7"/>
        <v>0.6</v>
      </c>
      <c r="H127" s="929" t="s">
        <v>2247</v>
      </c>
      <c r="I127" s="1227"/>
      <c r="J127" s="706"/>
    </row>
    <row r="128" spans="1:10" s="78" customFormat="1" ht="18" customHeight="1">
      <c r="A128" s="75"/>
      <c r="B128" s="356" t="s">
        <v>1232</v>
      </c>
      <c r="C128" s="76">
        <v>1</v>
      </c>
      <c r="D128" s="77">
        <v>54.277999999999999</v>
      </c>
      <c r="E128" s="77">
        <f t="shared" si="8"/>
        <v>0.38</v>
      </c>
      <c r="F128" s="77">
        <v>7.4999999999999997E-2</v>
      </c>
      <c r="G128" s="67">
        <f t="shared" si="7"/>
        <v>1.55</v>
      </c>
      <c r="H128" s="929" t="s">
        <v>2247</v>
      </c>
      <c r="I128" s="1227"/>
      <c r="J128" s="706"/>
    </row>
    <row r="129" spans="1:10" s="78" customFormat="1" ht="18" customHeight="1">
      <c r="A129" s="75"/>
      <c r="B129" s="356" t="s">
        <v>1233</v>
      </c>
      <c r="C129" s="76">
        <v>2</v>
      </c>
      <c r="D129" s="77">
        <f>2.298+3.6+1+0.2+0.275-0.55-0.4</f>
        <v>6.423</v>
      </c>
      <c r="E129" s="77">
        <f t="shared" si="8"/>
        <v>0.38</v>
      </c>
      <c r="F129" s="77">
        <v>7.4999999999999997E-2</v>
      </c>
      <c r="G129" s="67">
        <f t="shared" si="7"/>
        <v>0.37</v>
      </c>
      <c r="H129" s="929" t="s">
        <v>2247</v>
      </c>
      <c r="I129" s="1227"/>
      <c r="J129" s="706"/>
    </row>
    <row r="130" spans="1:10" s="78" customFormat="1" ht="18" customHeight="1">
      <c r="A130" s="75"/>
      <c r="B130" s="356" t="s">
        <v>1234</v>
      </c>
      <c r="C130" s="76">
        <v>2</v>
      </c>
      <c r="D130" s="77">
        <f>2.25+1.575-0.55</f>
        <v>3.2750000000000004</v>
      </c>
      <c r="E130" s="77">
        <f t="shared" si="8"/>
        <v>0.38</v>
      </c>
      <c r="F130" s="77">
        <v>7.4999999999999997E-2</v>
      </c>
      <c r="G130" s="67">
        <f t="shared" si="7"/>
        <v>0.19</v>
      </c>
      <c r="H130" s="929" t="s">
        <v>2247</v>
      </c>
      <c r="I130" s="1227"/>
      <c r="J130" s="706"/>
    </row>
    <row r="131" spans="1:10" s="78" customFormat="1" ht="18" customHeight="1">
      <c r="A131" s="75"/>
      <c r="B131" s="356" t="s">
        <v>1235</v>
      </c>
      <c r="C131" s="76">
        <v>1</v>
      </c>
      <c r="D131" s="68">
        <v>34.75</v>
      </c>
      <c r="E131" s="77">
        <f t="shared" si="8"/>
        <v>0.38</v>
      </c>
      <c r="F131" s="77">
        <v>7.4999999999999997E-2</v>
      </c>
      <c r="G131" s="67">
        <f t="shared" si="7"/>
        <v>0.99</v>
      </c>
      <c r="H131" s="929" t="s">
        <v>2247</v>
      </c>
      <c r="I131" s="1227"/>
      <c r="J131" s="706"/>
    </row>
    <row r="132" spans="1:10" s="78" customFormat="1" ht="18" customHeight="1">
      <c r="A132" s="75"/>
      <c r="B132" s="356" t="s">
        <v>1236</v>
      </c>
      <c r="C132" s="76">
        <v>2</v>
      </c>
      <c r="D132" s="77">
        <v>4.37</v>
      </c>
      <c r="E132" s="77">
        <f t="shared" si="8"/>
        <v>0.38</v>
      </c>
      <c r="F132" s="77">
        <v>7.4999999999999997E-2</v>
      </c>
      <c r="G132" s="67">
        <f t="shared" si="7"/>
        <v>0.25</v>
      </c>
      <c r="H132" s="929" t="s">
        <v>2247</v>
      </c>
      <c r="I132" s="1227"/>
      <c r="J132" s="706"/>
    </row>
    <row r="133" spans="1:10" s="78" customFormat="1" ht="18" customHeight="1">
      <c r="A133" s="75"/>
      <c r="B133" s="356" t="s">
        <v>1237</v>
      </c>
      <c r="C133" s="76">
        <v>2</v>
      </c>
      <c r="D133" s="77">
        <v>6.423</v>
      </c>
      <c r="E133" s="77">
        <f t="shared" si="8"/>
        <v>0.38</v>
      </c>
      <c r="F133" s="77">
        <v>7.4999999999999997E-2</v>
      </c>
      <c r="G133" s="67">
        <f t="shared" si="7"/>
        <v>0.37</v>
      </c>
      <c r="H133" s="929" t="s">
        <v>2247</v>
      </c>
      <c r="I133" s="1227"/>
      <c r="J133" s="706"/>
    </row>
    <row r="134" spans="1:10" s="78" customFormat="1" ht="18" customHeight="1">
      <c r="A134" s="75"/>
      <c r="B134" s="356" t="s">
        <v>1238</v>
      </c>
      <c r="C134" s="76">
        <v>2</v>
      </c>
      <c r="D134" s="77">
        <v>6.0720000000000001</v>
      </c>
      <c r="E134" s="77">
        <f t="shared" si="8"/>
        <v>0.38</v>
      </c>
      <c r="F134" s="77">
        <v>7.4999999999999997E-2</v>
      </c>
      <c r="G134" s="67">
        <f t="shared" si="7"/>
        <v>0.35</v>
      </c>
      <c r="H134" s="929" t="s">
        <v>2247</v>
      </c>
      <c r="I134" s="1227"/>
      <c r="J134" s="706"/>
    </row>
    <row r="135" spans="1:10" s="78" customFormat="1" ht="18" customHeight="1">
      <c r="A135" s="75"/>
      <c r="B135" s="63" t="s">
        <v>1239</v>
      </c>
      <c r="C135" s="70">
        <v>1</v>
      </c>
      <c r="D135" s="68">
        <f>6.45+3.25+3.2+0.7+4.9+0.7+3.2+3.25+6.45+0.2+0.2-8*0.4</f>
        <v>29.300000000000008</v>
      </c>
      <c r="E135" s="77">
        <f t="shared" si="8"/>
        <v>0.38</v>
      </c>
      <c r="F135" s="68">
        <v>7.4999999999999997E-2</v>
      </c>
      <c r="G135" s="67">
        <f t="shared" si="7"/>
        <v>0.84</v>
      </c>
      <c r="H135" s="929" t="s">
        <v>2247</v>
      </c>
      <c r="I135" s="1227"/>
      <c r="J135" s="706"/>
    </row>
    <row r="136" spans="1:10" s="78" customFormat="1" ht="18" customHeight="1">
      <c r="A136" s="75"/>
      <c r="B136" s="356" t="s">
        <v>1240</v>
      </c>
      <c r="C136" s="76">
        <v>2</v>
      </c>
      <c r="D136" s="77">
        <v>9.8000000000000007</v>
      </c>
      <c r="E136" s="77">
        <f t="shared" si="8"/>
        <v>0.38</v>
      </c>
      <c r="F136" s="77">
        <v>7.4999999999999997E-2</v>
      </c>
      <c r="G136" s="67">
        <f t="shared" si="7"/>
        <v>0.56000000000000005</v>
      </c>
      <c r="H136" s="929" t="s">
        <v>2247</v>
      </c>
      <c r="I136" s="1227"/>
      <c r="J136" s="706"/>
    </row>
    <row r="137" spans="1:10" s="78" customFormat="1" ht="18" customHeight="1">
      <c r="A137" s="75"/>
      <c r="B137" s="63" t="s">
        <v>1241</v>
      </c>
      <c r="C137" s="70">
        <v>1</v>
      </c>
      <c r="D137" s="68">
        <f>4.9-0.4</f>
        <v>4.5</v>
      </c>
      <c r="E137" s="77">
        <f t="shared" si="8"/>
        <v>0.38</v>
      </c>
      <c r="F137" s="68">
        <v>7.4999999999999997E-2</v>
      </c>
      <c r="G137" s="67">
        <f t="shared" si="7"/>
        <v>0.13</v>
      </c>
      <c r="H137" s="929" t="s">
        <v>2247</v>
      </c>
      <c r="I137" s="1227"/>
      <c r="J137" s="706"/>
    </row>
    <row r="138" spans="1:10" s="78" customFormat="1" ht="18" customHeight="1">
      <c r="A138" s="75"/>
      <c r="B138" s="356" t="s">
        <v>1242</v>
      </c>
      <c r="C138" s="76">
        <v>4</v>
      </c>
      <c r="D138" s="77">
        <v>9.8000000000000007</v>
      </c>
      <c r="E138" s="77">
        <f t="shared" si="8"/>
        <v>0.38</v>
      </c>
      <c r="F138" s="77">
        <v>7.4999999999999997E-2</v>
      </c>
      <c r="G138" s="67">
        <f t="shared" si="7"/>
        <v>1.1200000000000001</v>
      </c>
      <c r="H138" s="929" t="s">
        <v>2247</v>
      </c>
      <c r="I138" s="1227"/>
      <c r="J138" s="706"/>
    </row>
    <row r="139" spans="1:10" s="78" customFormat="1" ht="18" customHeight="1">
      <c r="A139" s="75"/>
      <c r="B139" s="517" t="s">
        <v>1243</v>
      </c>
      <c r="C139" s="76">
        <v>2</v>
      </c>
      <c r="D139" s="77">
        <f>1.575+3.025+0.175-0.4</f>
        <v>4.3749999999999991</v>
      </c>
      <c r="E139" s="77">
        <f t="shared" si="8"/>
        <v>0.38</v>
      </c>
      <c r="F139" s="77">
        <v>7.4999999999999997E-2</v>
      </c>
      <c r="G139" s="67">
        <f t="shared" si="7"/>
        <v>0.25</v>
      </c>
      <c r="H139" s="929" t="s">
        <v>2247</v>
      </c>
      <c r="I139" s="1227"/>
      <c r="J139" s="706"/>
    </row>
    <row r="140" spans="1:10" s="78" customFormat="1" ht="18" customHeight="1">
      <c r="A140" s="75"/>
      <c r="B140" s="356" t="s">
        <v>1244</v>
      </c>
      <c r="C140" s="76">
        <v>1</v>
      </c>
      <c r="D140" s="77">
        <v>12.2</v>
      </c>
      <c r="E140" s="77">
        <f t="shared" si="8"/>
        <v>0.38</v>
      </c>
      <c r="F140" s="77">
        <v>7.4999999999999997E-2</v>
      </c>
      <c r="G140" s="67">
        <f t="shared" si="7"/>
        <v>0.35</v>
      </c>
      <c r="H140" s="929" t="s">
        <v>2247</v>
      </c>
      <c r="I140" s="1227"/>
      <c r="J140" s="706"/>
    </row>
    <row r="141" spans="1:10" s="78" customFormat="1" ht="18" customHeight="1">
      <c r="A141" s="75"/>
      <c r="B141" s="356" t="s">
        <v>1245</v>
      </c>
      <c r="C141" s="76">
        <v>1</v>
      </c>
      <c r="D141" s="77">
        <f>4.9+0.7+0.7-0.4</f>
        <v>5.9</v>
      </c>
      <c r="E141" s="77">
        <f t="shared" si="8"/>
        <v>0.38</v>
      </c>
      <c r="F141" s="77">
        <v>7.4999999999999997E-2</v>
      </c>
      <c r="G141" s="67">
        <f t="shared" si="7"/>
        <v>0.17</v>
      </c>
      <c r="H141" s="929" t="s">
        <v>2247</v>
      </c>
      <c r="I141" s="1227"/>
      <c r="J141" s="706"/>
    </row>
    <row r="142" spans="1:10" s="78" customFormat="1" ht="18" customHeight="1">
      <c r="A142" s="75"/>
      <c r="B142" s="356" t="s">
        <v>1246</v>
      </c>
      <c r="C142" s="76">
        <v>1</v>
      </c>
      <c r="D142" s="77">
        <v>12.2</v>
      </c>
      <c r="E142" s="77">
        <f t="shared" si="8"/>
        <v>0.38</v>
      </c>
      <c r="F142" s="77">
        <v>7.4999999999999997E-2</v>
      </c>
      <c r="G142" s="67">
        <f t="shared" si="7"/>
        <v>0.35</v>
      </c>
      <c r="H142" s="929" t="s">
        <v>2247</v>
      </c>
      <c r="I142" s="1227"/>
      <c r="J142" s="706"/>
    </row>
    <row r="143" spans="1:10" s="78" customFormat="1" ht="18" customHeight="1">
      <c r="A143" s="75"/>
      <c r="B143" s="63" t="s">
        <v>1247</v>
      </c>
      <c r="C143" s="70">
        <v>2</v>
      </c>
      <c r="D143" s="68">
        <f>3.6+1-0.55</f>
        <v>4.05</v>
      </c>
      <c r="E143" s="77">
        <f t="shared" si="8"/>
        <v>0.38</v>
      </c>
      <c r="F143" s="68">
        <v>7.4999999999999997E-2</v>
      </c>
      <c r="G143" s="67">
        <f t="shared" si="7"/>
        <v>0.23</v>
      </c>
      <c r="H143" s="929" t="s">
        <v>2247</v>
      </c>
      <c r="I143" s="1227"/>
      <c r="J143" s="706"/>
    </row>
    <row r="144" spans="1:10" s="78" customFormat="1" ht="18" customHeight="1">
      <c r="A144" s="75"/>
      <c r="B144" s="63" t="s">
        <v>1248</v>
      </c>
      <c r="C144" s="70">
        <v>1</v>
      </c>
      <c r="D144" s="68">
        <v>6.2329999999999997</v>
      </c>
      <c r="E144" s="77">
        <f t="shared" si="8"/>
        <v>0.38</v>
      </c>
      <c r="F144" s="68">
        <v>7.4999999999999997E-2</v>
      </c>
      <c r="G144" s="67">
        <f t="shared" si="7"/>
        <v>0.18</v>
      </c>
      <c r="H144" s="929" t="s">
        <v>2247</v>
      </c>
      <c r="I144" s="1227"/>
      <c r="J144" s="706"/>
    </row>
    <row r="145" spans="1:10" s="78" customFormat="1" ht="18" customHeight="1">
      <c r="A145" s="75"/>
      <c r="B145" s="63" t="s">
        <v>1249</v>
      </c>
      <c r="C145" s="70">
        <v>1</v>
      </c>
      <c r="D145" s="68">
        <v>38.85</v>
      </c>
      <c r="E145" s="77">
        <f t="shared" si="8"/>
        <v>0.38</v>
      </c>
      <c r="F145" s="68">
        <v>7.4999999999999997E-2</v>
      </c>
      <c r="G145" s="67">
        <f t="shared" si="7"/>
        <v>1.1100000000000001</v>
      </c>
      <c r="H145" s="929" t="s">
        <v>2247</v>
      </c>
      <c r="I145" s="1227"/>
      <c r="J145" s="706"/>
    </row>
    <row r="146" spans="1:10" s="78" customFormat="1" ht="18" customHeight="1">
      <c r="A146" s="75"/>
      <c r="B146" s="63" t="s">
        <v>1250</v>
      </c>
      <c r="C146" s="70">
        <v>1</v>
      </c>
      <c r="D146" s="68">
        <v>2.9849999999999999</v>
      </c>
      <c r="E146" s="77">
        <f t="shared" si="8"/>
        <v>0.38</v>
      </c>
      <c r="F146" s="68">
        <v>7.4999999999999997E-2</v>
      </c>
      <c r="G146" s="67">
        <f t="shared" si="7"/>
        <v>0.09</v>
      </c>
      <c r="H146" s="929" t="s">
        <v>2247</v>
      </c>
      <c r="I146" s="1227"/>
      <c r="J146" s="706"/>
    </row>
    <row r="147" spans="1:10" s="78" customFormat="1" ht="18" customHeight="1">
      <c r="A147" s="75"/>
      <c r="B147" s="63" t="s">
        <v>1251</v>
      </c>
      <c r="C147" s="70">
        <v>1</v>
      </c>
      <c r="D147" s="68">
        <v>0.47</v>
      </c>
      <c r="E147" s="77">
        <f t="shared" si="8"/>
        <v>0.38</v>
      </c>
      <c r="F147" s="68">
        <v>7.4999999999999997E-2</v>
      </c>
      <c r="G147" s="67">
        <f t="shared" si="7"/>
        <v>0.01</v>
      </c>
      <c r="H147" s="929" t="s">
        <v>2247</v>
      </c>
      <c r="I147" s="1227"/>
      <c r="J147" s="706"/>
    </row>
    <row r="148" spans="1:10" s="78" customFormat="1" ht="18" customHeight="1">
      <c r="A148" s="75"/>
      <c r="B148" s="63" t="s">
        <v>1252</v>
      </c>
      <c r="C148" s="70">
        <v>1</v>
      </c>
      <c r="D148" s="68">
        <v>1.67</v>
      </c>
      <c r="E148" s="77">
        <f t="shared" si="8"/>
        <v>0.38</v>
      </c>
      <c r="F148" s="68">
        <v>7.4999999999999997E-2</v>
      </c>
      <c r="G148" s="67">
        <f t="shared" si="7"/>
        <v>0.05</v>
      </c>
      <c r="H148" s="929" t="s">
        <v>2247</v>
      </c>
      <c r="I148" s="1227"/>
      <c r="J148" s="706"/>
    </row>
    <row r="149" spans="1:10" s="78" customFormat="1" ht="18" customHeight="1">
      <c r="A149" s="75"/>
      <c r="B149" s="63" t="s">
        <v>1253</v>
      </c>
      <c r="C149" s="70">
        <v>1</v>
      </c>
      <c r="D149" s="68">
        <f>2.25+1.575+3.025+0.175+6.45+3.25+3.2+0.7+4.9+0.7+3.2+3.25+6.45+0.175+3.025+1.575+2.25-0.275-0.275-2*0.55-6*0.4</f>
        <v>42.1</v>
      </c>
      <c r="E149" s="77">
        <f t="shared" si="8"/>
        <v>0.38</v>
      </c>
      <c r="F149" s="68">
        <v>7.4999999999999997E-2</v>
      </c>
      <c r="G149" s="67">
        <f t="shared" si="7"/>
        <v>1.2</v>
      </c>
      <c r="H149" s="929" t="s">
        <v>2247</v>
      </c>
      <c r="I149" s="1227"/>
      <c r="J149" s="706"/>
    </row>
    <row r="150" spans="1:10" s="78" customFormat="1" ht="18" customHeight="1">
      <c r="A150" s="75"/>
      <c r="B150" s="63" t="s">
        <v>1254</v>
      </c>
      <c r="C150" s="76">
        <v>1</v>
      </c>
      <c r="D150" s="68">
        <f>3.025+0.175+6.45+3.25+3.2+0.7+4.9+0.7+3.2+3.25+6.45+0.175+3.025+0.2+0.2-8*0.4</f>
        <v>35.700000000000003</v>
      </c>
      <c r="E150" s="77">
        <f t="shared" si="8"/>
        <v>0.38</v>
      </c>
      <c r="F150" s="77">
        <v>7.4999999999999997E-2</v>
      </c>
      <c r="G150" s="67">
        <f t="shared" si="7"/>
        <v>1.02</v>
      </c>
      <c r="H150" s="929" t="s">
        <v>2247</v>
      </c>
      <c r="I150" s="1227"/>
      <c r="J150" s="706"/>
    </row>
    <row r="151" spans="1:10" s="78" customFormat="1" ht="18" customHeight="1">
      <c r="A151" s="75"/>
      <c r="B151" s="63" t="s">
        <v>1255</v>
      </c>
      <c r="C151" s="70">
        <v>1</v>
      </c>
      <c r="D151" s="68">
        <f>0.7+4.9+0.7-0.4</f>
        <v>5.9</v>
      </c>
      <c r="E151" s="77">
        <f t="shared" si="8"/>
        <v>0.38</v>
      </c>
      <c r="F151" s="68">
        <v>7.4999999999999997E-2</v>
      </c>
      <c r="G151" s="67">
        <f t="shared" si="7"/>
        <v>0.17</v>
      </c>
      <c r="H151" s="929" t="s">
        <v>2247</v>
      </c>
      <c r="I151" s="1227"/>
      <c r="J151" s="706"/>
    </row>
    <row r="152" spans="1:10" s="78" customFormat="1" ht="18" customHeight="1">
      <c r="A152" s="75"/>
      <c r="B152" s="63" t="s">
        <v>1256</v>
      </c>
      <c r="C152" s="70">
        <v>1</v>
      </c>
      <c r="D152" s="68">
        <f>0.7+4.9+0.7-0.4</f>
        <v>5.9</v>
      </c>
      <c r="E152" s="77">
        <f t="shared" si="8"/>
        <v>0.38</v>
      </c>
      <c r="F152" s="68">
        <v>7.4999999999999997E-2</v>
      </c>
      <c r="G152" s="67">
        <f t="shared" si="7"/>
        <v>0.17</v>
      </c>
      <c r="H152" s="929" t="s">
        <v>2247</v>
      </c>
      <c r="I152" s="1227"/>
      <c r="J152" s="706"/>
    </row>
    <row r="153" spans="1:10" s="78" customFormat="1" ht="18" customHeight="1">
      <c r="A153" s="75"/>
      <c r="B153" s="373" t="s">
        <v>1257</v>
      </c>
      <c r="C153" s="76">
        <v>2</v>
      </c>
      <c r="D153" s="367">
        <v>10.913</v>
      </c>
      <c r="E153" s="77">
        <f t="shared" si="8"/>
        <v>0.38</v>
      </c>
      <c r="F153" s="77">
        <v>7.4999999999999997E-2</v>
      </c>
      <c r="G153" s="67">
        <f t="shared" si="7"/>
        <v>0.62</v>
      </c>
      <c r="H153" s="929" t="s">
        <v>2247</v>
      </c>
      <c r="I153" s="1227"/>
      <c r="J153" s="706"/>
    </row>
    <row r="154" spans="1:10" s="78" customFormat="1" ht="18" customHeight="1">
      <c r="A154" s="75"/>
      <c r="B154" s="356" t="s">
        <v>1258</v>
      </c>
      <c r="C154" s="76">
        <v>2</v>
      </c>
      <c r="D154" s="77">
        <f>3.075+1.6+1.775+6.4+4.925+1.475+1.825+1.425-0.1-0.2-0.4-0.4-0.4</f>
        <v>21.000000000000007</v>
      </c>
      <c r="E154" s="77">
        <f t="shared" si="8"/>
        <v>0.38</v>
      </c>
      <c r="F154" s="77">
        <v>7.4999999999999997E-2</v>
      </c>
      <c r="G154" s="67">
        <f t="shared" si="7"/>
        <v>1.2</v>
      </c>
      <c r="H154" s="929" t="s">
        <v>2247</v>
      </c>
      <c r="I154" s="1227"/>
      <c r="J154" s="706"/>
    </row>
    <row r="155" spans="1:10" s="78" customFormat="1" ht="18" customHeight="1">
      <c r="A155" s="75"/>
      <c r="B155" s="356" t="s">
        <v>1259</v>
      </c>
      <c r="C155" s="76">
        <v>2</v>
      </c>
      <c r="D155" s="77">
        <f>2.725+2.462-0.115-0.13</f>
        <v>4.9420000000000002</v>
      </c>
      <c r="E155" s="77">
        <f t="shared" si="8"/>
        <v>0.38</v>
      </c>
      <c r="F155" s="77">
        <v>7.4999999999999997E-2</v>
      </c>
      <c r="G155" s="67">
        <f t="shared" si="7"/>
        <v>0.28000000000000003</v>
      </c>
      <c r="H155" s="929" t="s">
        <v>2247</v>
      </c>
      <c r="I155" s="1227"/>
      <c r="J155" s="706"/>
    </row>
    <row r="156" spans="1:10" s="78" customFormat="1" ht="18" customHeight="1">
      <c r="A156" s="75"/>
      <c r="B156" s="374" t="s">
        <v>1260</v>
      </c>
      <c r="C156" s="76">
        <v>2</v>
      </c>
      <c r="D156" s="77">
        <v>8.3580000000000005</v>
      </c>
      <c r="E156" s="77">
        <f t="shared" si="8"/>
        <v>0.38</v>
      </c>
      <c r="F156" s="77">
        <v>7.4999999999999997E-2</v>
      </c>
      <c r="G156" s="67">
        <f t="shared" si="7"/>
        <v>0.48</v>
      </c>
      <c r="H156" s="929" t="s">
        <v>2247</v>
      </c>
      <c r="I156" s="1227"/>
      <c r="J156" s="706"/>
    </row>
    <row r="157" spans="1:10" s="78" customFormat="1" ht="18" customHeight="1">
      <c r="A157" s="75"/>
      <c r="B157" s="63" t="s">
        <v>1261</v>
      </c>
      <c r="C157" s="70">
        <v>2</v>
      </c>
      <c r="D157" s="68">
        <v>2.93</v>
      </c>
      <c r="E157" s="77">
        <f t="shared" si="8"/>
        <v>0.38</v>
      </c>
      <c r="F157" s="68">
        <v>7.4999999999999997E-2</v>
      </c>
      <c r="G157" s="67">
        <f t="shared" si="7"/>
        <v>0.17</v>
      </c>
      <c r="H157" s="929" t="s">
        <v>2247</v>
      </c>
      <c r="I157" s="1227"/>
      <c r="J157" s="706"/>
    </row>
    <row r="158" spans="1:10" s="78" customFormat="1" ht="18" customHeight="1">
      <c r="A158" s="75"/>
      <c r="B158" s="63" t="s">
        <v>1262</v>
      </c>
      <c r="C158" s="70">
        <v>2</v>
      </c>
      <c r="D158" s="68">
        <v>3.22</v>
      </c>
      <c r="E158" s="77">
        <f t="shared" si="8"/>
        <v>0.38</v>
      </c>
      <c r="F158" s="68">
        <v>7.4999999999999997E-2</v>
      </c>
      <c r="G158" s="67">
        <f t="shared" si="7"/>
        <v>0.18</v>
      </c>
      <c r="H158" s="929" t="s">
        <v>2247</v>
      </c>
      <c r="I158" s="1227"/>
      <c r="J158" s="706"/>
    </row>
    <row r="159" spans="1:10" s="78" customFormat="1" ht="18" customHeight="1">
      <c r="A159" s="75"/>
      <c r="B159" s="63" t="s">
        <v>1263</v>
      </c>
      <c r="C159" s="70">
        <v>2</v>
      </c>
      <c r="D159" s="68">
        <f>2.25+1.525-0.4</f>
        <v>3.375</v>
      </c>
      <c r="E159" s="77">
        <f t="shared" si="8"/>
        <v>0.38</v>
      </c>
      <c r="F159" s="68">
        <v>7.4999999999999997E-2</v>
      </c>
      <c r="G159" s="67">
        <f t="shared" si="7"/>
        <v>0.19</v>
      </c>
      <c r="H159" s="929" t="s">
        <v>2247</v>
      </c>
      <c r="I159" s="1227"/>
      <c r="J159" s="706"/>
    </row>
    <row r="160" spans="1:10" s="78" customFormat="1" ht="18" customHeight="1">
      <c r="A160" s="75"/>
      <c r="B160" s="63" t="s">
        <v>1264</v>
      </c>
      <c r="C160" s="70">
        <v>2</v>
      </c>
      <c r="D160" s="621">
        <f>3.075+1.6+1.775+6.4+4.925+1.475+1.825+1.425-0.4-1.2</f>
        <v>20.900000000000006</v>
      </c>
      <c r="E160" s="77">
        <f t="shared" si="8"/>
        <v>0.38</v>
      </c>
      <c r="F160" s="68">
        <v>7.4999999999999997E-2</v>
      </c>
      <c r="G160" s="67">
        <f t="shared" si="7"/>
        <v>1.19</v>
      </c>
      <c r="H160" s="929" t="s">
        <v>2247</v>
      </c>
      <c r="I160" s="1227"/>
      <c r="J160" s="706"/>
    </row>
    <row r="161" spans="1:10" s="78" customFormat="1" ht="18" customHeight="1">
      <c r="A161" s="75"/>
      <c r="B161" s="63" t="s">
        <v>1265</v>
      </c>
      <c r="C161" s="70">
        <v>2</v>
      </c>
      <c r="D161" s="68">
        <f>2.25+1.525+3.075+1.6+1.775-0.2-0.55-0.55-0.13</f>
        <v>8.7949999999999982</v>
      </c>
      <c r="E161" s="77">
        <f t="shared" si="8"/>
        <v>0.38</v>
      </c>
      <c r="F161" s="68">
        <v>7.4999999999999997E-2</v>
      </c>
      <c r="G161" s="67">
        <f t="shared" si="7"/>
        <v>0.5</v>
      </c>
      <c r="H161" s="929" t="s">
        <v>2247</v>
      </c>
      <c r="I161" s="1227"/>
      <c r="J161" s="706"/>
    </row>
    <row r="162" spans="1:10" s="78" customFormat="1" ht="18" customHeight="1">
      <c r="A162" s="75"/>
      <c r="B162" s="63" t="s">
        <v>1266</v>
      </c>
      <c r="C162" s="70">
        <v>2</v>
      </c>
      <c r="D162" s="68">
        <f>6.4+4.925+1.475-0.2-0.2-0.4</f>
        <v>12</v>
      </c>
      <c r="E162" s="77">
        <f t="shared" si="8"/>
        <v>0.38</v>
      </c>
      <c r="F162" s="68">
        <v>7.4999999999999997E-2</v>
      </c>
      <c r="G162" s="67">
        <f t="shared" si="7"/>
        <v>0.68</v>
      </c>
      <c r="H162" s="929" t="s">
        <v>2247</v>
      </c>
      <c r="I162" s="1227"/>
      <c r="J162" s="706"/>
    </row>
    <row r="163" spans="1:10" s="78" customFormat="1" ht="18" customHeight="1">
      <c r="A163" s="75"/>
      <c r="B163" s="63" t="s">
        <v>1267</v>
      </c>
      <c r="C163" s="70">
        <v>2</v>
      </c>
      <c r="D163" s="68">
        <f>1.825+1.425-0.1-0.2</f>
        <v>2.9499999999999997</v>
      </c>
      <c r="E163" s="77">
        <f t="shared" si="8"/>
        <v>0.38</v>
      </c>
      <c r="F163" s="68">
        <v>7.4999999999999997E-2</v>
      </c>
      <c r="G163" s="67">
        <f t="shared" si="7"/>
        <v>0.17</v>
      </c>
      <c r="H163" s="929" t="s">
        <v>2247</v>
      </c>
      <c r="I163" s="1227"/>
      <c r="J163" s="706"/>
    </row>
    <row r="164" spans="1:10" s="78" customFormat="1" ht="18" customHeight="1">
      <c r="A164" s="75"/>
      <c r="B164" s="63" t="s">
        <v>1268</v>
      </c>
      <c r="C164" s="70">
        <v>2</v>
      </c>
      <c r="D164" s="68">
        <f>4.6-0.275-0.2</f>
        <v>4.1249999999999991</v>
      </c>
      <c r="E164" s="77">
        <f t="shared" si="8"/>
        <v>0.38</v>
      </c>
      <c r="F164" s="68">
        <v>7.4999999999999997E-2</v>
      </c>
      <c r="G164" s="67">
        <f t="shared" si="7"/>
        <v>0.24</v>
      </c>
      <c r="H164" s="929" t="s">
        <v>2247</v>
      </c>
      <c r="I164" s="1227"/>
      <c r="J164" s="706"/>
    </row>
    <row r="165" spans="1:10" s="78" customFormat="1" ht="18" customHeight="1">
      <c r="A165" s="75"/>
      <c r="B165" s="63" t="s">
        <v>1269</v>
      </c>
      <c r="C165" s="70">
        <v>2</v>
      </c>
      <c r="D165" s="68">
        <v>5.71</v>
      </c>
      <c r="E165" s="77">
        <f t="shared" si="8"/>
        <v>0.38</v>
      </c>
      <c r="F165" s="68">
        <v>7.4999999999999997E-2</v>
      </c>
      <c r="G165" s="67">
        <f t="shared" si="7"/>
        <v>0.33</v>
      </c>
      <c r="H165" s="929" t="s">
        <v>2247</v>
      </c>
      <c r="I165" s="1227"/>
      <c r="J165" s="706"/>
    </row>
    <row r="166" spans="1:10" s="78" customFormat="1" ht="18" customHeight="1">
      <c r="A166" s="75"/>
      <c r="B166" s="63" t="s">
        <v>1270</v>
      </c>
      <c r="C166" s="70">
        <v>2</v>
      </c>
      <c r="D166" s="68">
        <v>1.835</v>
      </c>
      <c r="E166" s="77">
        <f t="shared" si="8"/>
        <v>0.38</v>
      </c>
      <c r="F166" s="68">
        <v>7.4999999999999997E-2</v>
      </c>
      <c r="G166" s="67">
        <f t="shared" si="7"/>
        <v>0.1</v>
      </c>
      <c r="H166" s="929" t="s">
        <v>2247</v>
      </c>
      <c r="I166" s="1227"/>
      <c r="J166" s="706"/>
    </row>
    <row r="167" spans="1:10" s="78" customFormat="1" ht="18" customHeight="1">
      <c r="A167" s="75"/>
      <c r="B167" s="63" t="s">
        <v>1271</v>
      </c>
      <c r="C167" s="70">
        <v>2</v>
      </c>
      <c r="D167" s="67">
        <v>6.6619999999999999</v>
      </c>
      <c r="E167" s="77">
        <f t="shared" si="8"/>
        <v>0.38</v>
      </c>
      <c r="F167" s="68">
        <v>7.4999999999999997E-2</v>
      </c>
      <c r="G167" s="67">
        <f t="shared" si="7"/>
        <v>0.38</v>
      </c>
      <c r="H167" s="929" t="s">
        <v>2247</v>
      </c>
      <c r="I167" s="1227"/>
      <c r="J167" s="706"/>
    </row>
    <row r="168" spans="1:10" s="78" customFormat="1" ht="18" customHeight="1">
      <c r="A168" s="75"/>
      <c r="B168" s="406" t="s">
        <v>1272</v>
      </c>
      <c r="C168" s="70">
        <v>2</v>
      </c>
      <c r="D168" s="67">
        <v>35.86</v>
      </c>
      <c r="E168" s="77">
        <f t="shared" si="8"/>
        <v>0.38</v>
      </c>
      <c r="F168" s="68">
        <v>7.4999999999999997E-2</v>
      </c>
      <c r="G168" s="67">
        <f t="shared" si="7"/>
        <v>2.04</v>
      </c>
      <c r="H168" s="929" t="s">
        <v>2247</v>
      </c>
      <c r="I168" s="1227"/>
      <c r="J168" s="706"/>
    </row>
    <row r="169" spans="1:10" s="78" customFormat="1" ht="18" customHeight="1">
      <c r="A169" s="75"/>
      <c r="B169" s="353" t="s">
        <v>1273</v>
      </c>
      <c r="C169" s="70">
        <v>4</v>
      </c>
      <c r="D169" s="68">
        <f>4.6+2.25+1.525+3.075-0.275-0.275-0.55-0.55</f>
        <v>9.7999999999999972</v>
      </c>
      <c r="E169" s="77">
        <f t="shared" si="8"/>
        <v>0.38</v>
      </c>
      <c r="F169" s="68">
        <v>7.4999999999999997E-2</v>
      </c>
      <c r="G169" s="67">
        <f t="shared" si="7"/>
        <v>1.1200000000000001</v>
      </c>
      <c r="H169" s="929" t="s">
        <v>2247</v>
      </c>
      <c r="I169" s="1227"/>
      <c r="J169" s="706"/>
    </row>
    <row r="170" spans="1:10" s="78" customFormat="1" ht="18" customHeight="1">
      <c r="A170" s="75"/>
      <c r="B170" s="63" t="s">
        <v>1274</v>
      </c>
      <c r="C170" s="70">
        <v>1</v>
      </c>
      <c r="D170" s="68">
        <v>4.6550000000000002</v>
      </c>
      <c r="E170" s="77">
        <f t="shared" si="8"/>
        <v>0.38</v>
      </c>
      <c r="F170" s="68">
        <v>7.4999999999999997E-2</v>
      </c>
      <c r="G170" s="67">
        <f t="shared" si="7"/>
        <v>0.13</v>
      </c>
      <c r="H170" s="929" t="s">
        <v>2247</v>
      </c>
      <c r="I170" s="1227"/>
      <c r="J170" s="706"/>
    </row>
    <row r="171" spans="1:10" s="78" customFormat="1" ht="18" customHeight="1">
      <c r="A171" s="75"/>
      <c r="B171" s="406" t="s">
        <v>1275</v>
      </c>
      <c r="C171" s="70">
        <v>2</v>
      </c>
      <c r="D171" s="68">
        <v>17.792999999999999</v>
      </c>
      <c r="E171" s="77">
        <f t="shared" si="8"/>
        <v>0.38</v>
      </c>
      <c r="F171" s="68">
        <v>7.4999999999999997E-2</v>
      </c>
      <c r="G171" s="67">
        <f t="shared" si="7"/>
        <v>1.01</v>
      </c>
      <c r="H171" s="929" t="s">
        <v>2247</v>
      </c>
      <c r="I171" s="1227"/>
      <c r="J171" s="706"/>
    </row>
    <row r="172" spans="1:10" s="78" customFormat="1" ht="18" customHeight="1">
      <c r="A172" s="75"/>
      <c r="B172" s="63" t="s">
        <v>1276</v>
      </c>
      <c r="C172" s="70">
        <v>2</v>
      </c>
      <c r="D172" s="68">
        <v>14.734</v>
      </c>
      <c r="E172" s="77">
        <f t="shared" si="8"/>
        <v>0.38</v>
      </c>
      <c r="F172" s="68">
        <v>7.4999999999999997E-2</v>
      </c>
      <c r="G172" s="67">
        <f t="shared" si="7"/>
        <v>0.84</v>
      </c>
      <c r="H172" s="929" t="s">
        <v>2247</v>
      </c>
      <c r="I172" s="1227"/>
      <c r="J172" s="706"/>
    </row>
    <row r="173" spans="1:10" s="78" customFormat="1" ht="18" customHeight="1">
      <c r="A173" s="75"/>
      <c r="B173" s="409" t="s">
        <v>1277</v>
      </c>
      <c r="C173" s="70">
        <v>2</v>
      </c>
      <c r="D173" s="68">
        <v>7.9749999999999996</v>
      </c>
      <c r="E173" s="77">
        <f t="shared" si="8"/>
        <v>0.38</v>
      </c>
      <c r="F173" s="68">
        <v>7.4999999999999997E-2</v>
      </c>
      <c r="G173" s="67">
        <f t="shared" si="7"/>
        <v>0.45</v>
      </c>
      <c r="H173" s="929" t="s">
        <v>2247</v>
      </c>
      <c r="I173" s="1227"/>
      <c r="J173" s="706"/>
    </row>
    <row r="174" spans="1:10" s="78" customFormat="1" ht="18" customHeight="1">
      <c r="A174" s="75"/>
      <c r="B174" s="63" t="s">
        <v>1278</v>
      </c>
      <c r="C174" s="70">
        <v>2</v>
      </c>
      <c r="D174" s="68">
        <f>1.475+1.825+1.425+3.175+2.25+1.875+2.725+0.275+0.275-0.55*4-0.23</f>
        <v>12.869999999999997</v>
      </c>
      <c r="E174" s="77">
        <f t="shared" si="8"/>
        <v>0.38</v>
      </c>
      <c r="F174" s="68">
        <v>7.4999999999999997E-2</v>
      </c>
      <c r="G174" s="67">
        <f t="shared" si="7"/>
        <v>0.73</v>
      </c>
      <c r="H174" s="929" t="s">
        <v>2247</v>
      </c>
      <c r="I174" s="1227"/>
      <c r="J174" s="706"/>
    </row>
    <row r="175" spans="1:10" s="78" customFormat="1" ht="18" customHeight="1">
      <c r="A175" s="75"/>
      <c r="B175" s="63" t="s">
        <v>1279</v>
      </c>
      <c r="C175" s="70">
        <v>2</v>
      </c>
      <c r="D175" s="68">
        <v>4.6550000000000002</v>
      </c>
      <c r="E175" s="77">
        <f t="shared" si="8"/>
        <v>0.38</v>
      </c>
      <c r="F175" s="68">
        <v>7.4999999999999997E-2</v>
      </c>
      <c r="G175" s="67">
        <f t="shared" si="7"/>
        <v>0.27</v>
      </c>
      <c r="H175" s="929" t="s">
        <v>2247</v>
      </c>
      <c r="I175" s="1227"/>
      <c r="J175" s="706"/>
    </row>
    <row r="176" spans="1:10" s="78" customFormat="1" ht="18" customHeight="1">
      <c r="A176" s="75"/>
      <c r="B176" s="63" t="s">
        <v>1866</v>
      </c>
      <c r="C176" s="70">
        <v>36</v>
      </c>
      <c r="D176" s="68">
        <v>0.6</v>
      </c>
      <c r="E176" s="567">
        <f>0.1+0.075+0.075</f>
        <v>0.25</v>
      </c>
      <c r="F176" s="68">
        <v>7.4999999999999997E-2</v>
      </c>
      <c r="G176" s="67">
        <f t="shared" si="7"/>
        <v>0.41</v>
      </c>
      <c r="H176" s="929" t="s">
        <v>2247</v>
      </c>
      <c r="I176" s="1227"/>
      <c r="J176" s="706"/>
    </row>
    <row r="177" spans="1:10" s="78" customFormat="1" ht="18" customHeight="1">
      <c r="A177" s="75"/>
      <c r="B177" s="63"/>
      <c r="C177" s="70"/>
      <c r="D177" s="68"/>
      <c r="E177" s="68"/>
      <c r="F177" s="68"/>
      <c r="G177" s="67" t="str">
        <f t="shared" si="7"/>
        <v xml:space="preserve"> </v>
      </c>
      <c r="H177" s="929" t="s">
        <v>2247</v>
      </c>
      <c r="I177" s="1227"/>
      <c r="J177" s="706"/>
    </row>
    <row r="178" spans="1:10" s="78" customFormat="1" ht="18" customHeight="1">
      <c r="A178" s="75"/>
      <c r="B178" s="668" t="s">
        <v>1882</v>
      </c>
      <c r="C178" s="70"/>
      <c r="D178" s="68"/>
      <c r="E178" s="68"/>
      <c r="F178" s="68"/>
      <c r="G178" s="67" t="str">
        <f t="shared" si="7"/>
        <v xml:space="preserve"> </v>
      </c>
      <c r="H178" s="929" t="s">
        <v>2247</v>
      </c>
      <c r="I178" s="1227"/>
      <c r="J178" s="706"/>
    </row>
    <row r="179" spans="1:10" s="78" customFormat="1" ht="18" customHeight="1">
      <c r="A179" s="75"/>
      <c r="B179" s="63" t="s">
        <v>1870</v>
      </c>
      <c r="C179" s="70">
        <v>1</v>
      </c>
      <c r="D179" s="68">
        <f>4.9+0.7+0.7+0.1+0.1</f>
        <v>6.5</v>
      </c>
      <c r="E179" s="68">
        <v>4.3550000000000004</v>
      </c>
      <c r="F179" s="68">
        <v>7.4999999999999997E-2</v>
      </c>
      <c r="G179" s="67">
        <f t="shared" si="7"/>
        <v>2.12</v>
      </c>
      <c r="H179" s="929" t="s">
        <v>2247</v>
      </c>
      <c r="I179" s="1227"/>
      <c r="J179" s="706"/>
    </row>
    <row r="180" spans="1:10" s="78" customFormat="1" ht="18" customHeight="1">
      <c r="A180" s="75"/>
      <c r="B180" s="63" t="s">
        <v>1871</v>
      </c>
      <c r="C180" s="70">
        <v>1</v>
      </c>
      <c r="D180" s="68">
        <f>3.025+0.175+6.45+3.25+3.2+0.7+4.9+0.7+3.2+3.25+6.45+0.175+3.025+0.1+0.1</f>
        <v>38.700000000000003</v>
      </c>
      <c r="E180" s="68">
        <f>4.6+0.275-0.1</f>
        <v>4.7750000000000004</v>
      </c>
      <c r="F180" s="68">
        <v>7.4999999999999997E-2</v>
      </c>
      <c r="G180" s="67">
        <f t="shared" ref="G180:G243" si="9">IF(C180&lt;&gt;0,ROUND(PRODUCT(D180:F180)*C180,2)," ")</f>
        <v>13.86</v>
      </c>
      <c r="H180" s="929" t="s">
        <v>2247</v>
      </c>
      <c r="I180" s="1227"/>
      <c r="J180" s="706"/>
    </row>
    <row r="181" spans="1:10" s="78" customFormat="1" ht="18" customHeight="1">
      <c r="A181" s="75"/>
      <c r="B181" s="63" t="s">
        <v>1872</v>
      </c>
      <c r="C181" s="70">
        <v>1</v>
      </c>
      <c r="D181" s="68">
        <v>46.55</v>
      </c>
      <c r="E181" s="68">
        <f>2.25+1.525+0.1-0.1</f>
        <v>3.7749999999999999</v>
      </c>
      <c r="F181" s="68">
        <v>7.4999999999999997E-2</v>
      </c>
      <c r="G181" s="67">
        <f t="shared" si="9"/>
        <v>13.18</v>
      </c>
      <c r="H181" s="929" t="s">
        <v>2247</v>
      </c>
      <c r="I181" s="1227"/>
      <c r="J181" s="706"/>
    </row>
    <row r="182" spans="1:10" s="78" customFormat="1" ht="18" customHeight="1">
      <c r="A182" s="75"/>
      <c r="B182" s="63" t="s">
        <v>1873</v>
      </c>
      <c r="C182" s="70">
        <v>1</v>
      </c>
      <c r="D182" s="68">
        <f>3.6+1+2.25+1.575+3.025+0.175+6.45+3.25+3.2+0.7+4.9+0.7+3.2+3.25+6.45+0.175+3.025+1.575+2.25+1+3.6+0.275+0.275</f>
        <v>55.9</v>
      </c>
      <c r="E182" s="68">
        <f>3.075+0.1+0.275</f>
        <v>3.45</v>
      </c>
      <c r="F182" s="68">
        <v>7.4999999999999997E-2</v>
      </c>
      <c r="G182" s="67">
        <f t="shared" si="9"/>
        <v>14.46</v>
      </c>
      <c r="H182" s="929" t="s">
        <v>2247</v>
      </c>
      <c r="I182" s="1227"/>
      <c r="J182" s="706"/>
    </row>
    <row r="183" spans="1:10" s="78" customFormat="1" ht="18" customHeight="1">
      <c r="A183" s="75"/>
      <c r="B183" s="63" t="s">
        <v>1874</v>
      </c>
      <c r="C183" s="70">
        <v>1</v>
      </c>
      <c r="D183" s="68">
        <f>0.7+4.9+0.7+0.1+0.1</f>
        <v>6.5</v>
      </c>
      <c r="E183" s="68">
        <v>1.44</v>
      </c>
      <c r="F183" s="68">
        <v>7.4999999999999997E-2</v>
      </c>
      <c r="G183" s="67">
        <f t="shared" si="9"/>
        <v>0.7</v>
      </c>
      <c r="H183" s="929" t="s">
        <v>2247</v>
      </c>
      <c r="I183" s="1227"/>
      <c r="J183" s="706"/>
    </row>
    <row r="184" spans="1:10" s="78" customFormat="1" ht="18" customHeight="1">
      <c r="A184" s="75"/>
      <c r="B184" s="63" t="s">
        <v>1875</v>
      </c>
      <c r="C184" s="70">
        <v>2</v>
      </c>
      <c r="D184" s="68">
        <f>3.6+1+2.25+1.575+3.025+0.175+0.275+0.1</f>
        <v>12</v>
      </c>
      <c r="E184" s="68">
        <v>19.440000000000001</v>
      </c>
      <c r="F184" s="68">
        <v>7.4999999999999997E-2</v>
      </c>
      <c r="G184" s="67">
        <f t="shared" si="9"/>
        <v>34.99</v>
      </c>
      <c r="H184" s="929" t="s">
        <v>2247</v>
      </c>
      <c r="I184" s="1227"/>
      <c r="J184" s="706"/>
    </row>
    <row r="185" spans="1:10" s="78" customFormat="1" ht="18" customHeight="1">
      <c r="A185" s="75"/>
      <c r="B185" s="63" t="s">
        <v>1876</v>
      </c>
      <c r="C185" s="70">
        <v>1</v>
      </c>
      <c r="D185" s="68">
        <f>4.9+0.1+0.1</f>
        <v>5.0999999999999996</v>
      </c>
      <c r="E185" s="68">
        <f>1.475+1.825-0.275+0.275</f>
        <v>3.3</v>
      </c>
      <c r="F185" s="68">
        <v>7.4999999999999997E-2</v>
      </c>
      <c r="G185" s="67">
        <f t="shared" si="9"/>
        <v>1.26</v>
      </c>
      <c r="H185" s="929" t="s">
        <v>2247</v>
      </c>
      <c r="I185" s="1227"/>
      <c r="J185" s="706"/>
    </row>
    <row r="186" spans="1:10" s="78" customFormat="1" ht="18" customHeight="1">
      <c r="A186" s="75"/>
      <c r="B186" s="63" t="s">
        <v>1877</v>
      </c>
      <c r="C186" s="70">
        <v>2</v>
      </c>
      <c r="D186" s="68">
        <f>2.298+3.6+1+2.25+1.575+3.025+0.175+0.1+0.1</f>
        <v>14.122999999999999</v>
      </c>
      <c r="E186" s="68">
        <f>3.175+2.25+1.875+2.725+2.462+0.1+0.1</f>
        <v>12.686999999999999</v>
      </c>
      <c r="F186" s="68">
        <v>7.4999999999999997E-2</v>
      </c>
      <c r="G186" s="67">
        <f t="shared" si="9"/>
        <v>26.88</v>
      </c>
      <c r="H186" s="929" t="s">
        <v>2247</v>
      </c>
      <c r="I186" s="1227"/>
      <c r="J186" s="706"/>
    </row>
    <row r="187" spans="1:10" s="78" customFormat="1" ht="18" customHeight="1">
      <c r="A187" s="75"/>
      <c r="B187" s="63" t="s">
        <v>1878</v>
      </c>
      <c r="C187" s="70">
        <v>-2</v>
      </c>
      <c r="D187" s="68">
        <v>3.202</v>
      </c>
      <c r="E187" s="68">
        <f>2.462-0.275+0.1</f>
        <v>2.2870000000000004</v>
      </c>
      <c r="F187" s="68">
        <v>7.4999999999999997E-2</v>
      </c>
      <c r="G187" s="67">
        <f t="shared" si="9"/>
        <v>-1.1000000000000001</v>
      </c>
      <c r="H187" s="929" t="s">
        <v>2247</v>
      </c>
      <c r="I187" s="1227"/>
      <c r="J187" s="706"/>
    </row>
    <row r="188" spans="1:10" s="78" customFormat="1" ht="18" customHeight="1">
      <c r="A188" s="75"/>
      <c r="B188" s="63" t="s">
        <v>1879</v>
      </c>
      <c r="C188" s="70">
        <v>2</v>
      </c>
      <c r="D188" s="68">
        <v>9.7149999999999999</v>
      </c>
      <c r="E188" s="68">
        <f>1.425+3.175+2.25+1.875+2.725+0.275+0.275</f>
        <v>12</v>
      </c>
      <c r="F188" s="68">
        <v>7.4999999999999997E-2</v>
      </c>
      <c r="G188" s="67">
        <f t="shared" si="9"/>
        <v>17.489999999999998</v>
      </c>
      <c r="H188" s="929" t="s">
        <v>2247</v>
      </c>
      <c r="I188" s="1227"/>
      <c r="J188" s="706"/>
    </row>
    <row r="189" spans="1:10" s="78" customFormat="1" ht="18" customHeight="1">
      <c r="A189" s="75"/>
      <c r="B189" s="63" t="s">
        <v>1880</v>
      </c>
      <c r="C189" s="70">
        <v>1</v>
      </c>
      <c r="D189" s="68">
        <f>3.2+0.7+4.9+0.7+3.2+0.1+0.1</f>
        <v>12.899999999999999</v>
      </c>
      <c r="E189" s="68">
        <f>1.425+3.175+2.25+1.875+2.725+2.462+1.388+5.234+0.275+0.275</f>
        <v>21.083999999999996</v>
      </c>
      <c r="F189" s="68">
        <v>7.4999999999999997E-2</v>
      </c>
      <c r="G189" s="67">
        <f t="shared" si="9"/>
        <v>20.399999999999999</v>
      </c>
      <c r="H189" s="929" t="s">
        <v>2247</v>
      </c>
      <c r="I189" s="1227"/>
      <c r="J189" s="706"/>
    </row>
    <row r="190" spans="1:10" ht="18" customHeight="1">
      <c r="A190" s="354"/>
      <c r="B190" s="64" t="s">
        <v>1883</v>
      </c>
      <c r="C190" s="70"/>
      <c r="D190" s="68"/>
      <c r="E190" s="68"/>
      <c r="F190" s="68"/>
      <c r="G190" s="67" t="str">
        <f t="shared" si="9"/>
        <v xml:space="preserve"> </v>
      </c>
      <c r="H190" s="929" t="s">
        <v>2247</v>
      </c>
      <c r="J190" s="686"/>
    </row>
    <row r="191" spans="1:10" ht="18" customHeight="1">
      <c r="A191" s="354"/>
      <c r="B191" s="63" t="s">
        <v>1228</v>
      </c>
      <c r="C191" s="70">
        <v>-1</v>
      </c>
      <c r="D191" s="68">
        <f>3.2+0.7+4.9+0.7+3.2+0.2+0.2-0.4-0.4-0.4-0.4</f>
        <v>11.499999999999996</v>
      </c>
      <c r="E191" s="68">
        <v>0.23</v>
      </c>
      <c r="F191" s="68">
        <v>7.4999999999999997E-2</v>
      </c>
      <c r="G191" s="67">
        <f t="shared" si="9"/>
        <v>-0.2</v>
      </c>
      <c r="H191" s="929" t="s">
        <v>2247</v>
      </c>
      <c r="J191" s="686"/>
    </row>
    <row r="192" spans="1:10" s="78" customFormat="1" ht="18" customHeight="1">
      <c r="A192" s="75"/>
      <c r="B192" s="356" t="s">
        <v>1229</v>
      </c>
      <c r="C192" s="76">
        <v>-2</v>
      </c>
      <c r="D192" s="77">
        <f>2.298+3.6+1+2.25+1.575+0.275+0.275-0.55-0.55-0.55</f>
        <v>9.6229999999999976</v>
      </c>
      <c r="E192" s="68">
        <v>0.23</v>
      </c>
      <c r="F192" s="77">
        <v>7.4999999999999997E-2</v>
      </c>
      <c r="G192" s="67">
        <f t="shared" si="9"/>
        <v>-0.33</v>
      </c>
      <c r="H192" s="929" t="s">
        <v>2247</v>
      </c>
      <c r="I192" s="1226"/>
      <c r="J192" s="706"/>
    </row>
    <row r="193" spans="1:10" ht="18" customHeight="1">
      <c r="A193" s="354"/>
      <c r="B193" s="63" t="s">
        <v>1230</v>
      </c>
      <c r="C193" s="70">
        <v>-1</v>
      </c>
      <c r="D193" s="68">
        <v>35.1</v>
      </c>
      <c r="E193" s="68">
        <v>0.23</v>
      </c>
      <c r="F193" s="68">
        <v>7.4999999999999997E-2</v>
      </c>
      <c r="G193" s="67">
        <f t="shared" si="9"/>
        <v>-0.61</v>
      </c>
      <c r="H193" s="929" t="s">
        <v>2247</v>
      </c>
      <c r="J193" s="686"/>
    </row>
    <row r="194" spans="1:10" s="78" customFormat="1" ht="18" customHeight="1">
      <c r="A194" s="75"/>
      <c r="B194" s="356" t="s">
        <v>1231</v>
      </c>
      <c r="C194" s="76">
        <v>-2</v>
      </c>
      <c r="D194" s="77">
        <f>2.298+3.6+1+2.25+1.575+0.275+0.115-0.55</f>
        <v>10.562999999999999</v>
      </c>
      <c r="E194" s="68">
        <v>0.23</v>
      </c>
      <c r="F194" s="77">
        <v>7.4999999999999997E-2</v>
      </c>
      <c r="G194" s="67">
        <f t="shared" si="9"/>
        <v>-0.36</v>
      </c>
      <c r="H194" s="929" t="s">
        <v>2247</v>
      </c>
      <c r="I194" s="1226"/>
      <c r="J194" s="706"/>
    </row>
    <row r="195" spans="1:10" s="78" customFormat="1" ht="18" customHeight="1">
      <c r="A195" s="75"/>
      <c r="B195" s="356" t="s">
        <v>1232</v>
      </c>
      <c r="C195" s="76">
        <v>-1</v>
      </c>
      <c r="D195" s="77">
        <v>54.271999999999998</v>
      </c>
      <c r="E195" s="68">
        <v>0.23</v>
      </c>
      <c r="F195" s="77">
        <v>7.4999999999999997E-2</v>
      </c>
      <c r="G195" s="67">
        <f t="shared" si="9"/>
        <v>-0.94</v>
      </c>
      <c r="H195" s="929" t="s">
        <v>2247</v>
      </c>
      <c r="I195" s="1226"/>
      <c r="J195" s="706"/>
    </row>
    <row r="196" spans="1:10" s="78" customFormat="1" ht="18" customHeight="1">
      <c r="A196" s="75"/>
      <c r="B196" s="356" t="s">
        <v>1233</v>
      </c>
      <c r="C196" s="76">
        <v>-2</v>
      </c>
      <c r="D196" s="77">
        <f>2.298+3.6+1+0.2+0.275-0.55-0.4</f>
        <v>6.423</v>
      </c>
      <c r="E196" s="68">
        <v>0.23</v>
      </c>
      <c r="F196" s="77">
        <v>7.4999999999999997E-2</v>
      </c>
      <c r="G196" s="67">
        <f t="shared" si="9"/>
        <v>-0.22</v>
      </c>
      <c r="H196" s="929" t="s">
        <v>2247</v>
      </c>
      <c r="I196" s="1226"/>
      <c r="J196" s="706"/>
    </row>
    <row r="197" spans="1:10" s="78" customFormat="1" ht="18" customHeight="1">
      <c r="A197" s="75"/>
      <c r="B197" s="356" t="s">
        <v>1234</v>
      </c>
      <c r="C197" s="76">
        <v>-2</v>
      </c>
      <c r="D197" s="77">
        <f>2.25+1.575-0.55</f>
        <v>3.2750000000000004</v>
      </c>
      <c r="E197" s="68">
        <v>0.23</v>
      </c>
      <c r="F197" s="77">
        <v>7.4999999999999997E-2</v>
      </c>
      <c r="G197" s="67">
        <f t="shared" si="9"/>
        <v>-0.11</v>
      </c>
      <c r="H197" s="929" t="s">
        <v>2247</v>
      </c>
      <c r="I197" s="1226"/>
      <c r="J197" s="706"/>
    </row>
    <row r="198" spans="1:10" s="78" customFormat="1" ht="18" customHeight="1">
      <c r="A198" s="75"/>
      <c r="B198" s="356" t="s">
        <v>1235</v>
      </c>
      <c r="C198" s="76">
        <v>-1</v>
      </c>
      <c r="D198" s="68">
        <v>34.75</v>
      </c>
      <c r="E198" s="68">
        <v>0.23</v>
      </c>
      <c r="F198" s="77">
        <v>7.4999999999999997E-2</v>
      </c>
      <c r="G198" s="67">
        <f t="shared" si="9"/>
        <v>-0.6</v>
      </c>
      <c r="H198" s="929" t="s">
        <v>2247</v>
      </c>
      <c r="I198" s="1226"/>
      <c r="J198" s="706"/>
    </row>
    <row r="199" spans="1:10" s="78" customFormat="1" ht="18" customHeight="1">
      <c r="A199" s="75"/>
      <c r="B199" s="356" t="s">
        <v>1236</v>
      </c>
      <c r="C199" s="76">
        <v>-2</v>
      </c>
      <c r="D199" s="77">
        <v>4.37</v>
      </c>
      <c r="E199" s="68">
        <v>0.23</v>
      </c>
      <c r="F199" s="77">
        <v>7.4999999999999997E-2</v>
      </c>
      <c r="G199" s="67">
        <f t="shared" si="9"/>
        <v>-0.15</v>
      </c>
      <c r="H199" s="929" t="s">
        <v>2247</v>
      </c>
      <c r="I199" s="1226"/>
      <c r="J199" s="706"/>
    </row>
    <row r="200" spans="1:10" s="78" customFormat="1" ht="18" customHeight="1">
      <c r="A200" s="75"/>
      <c r="B200" s="356" t="s">
        <v>1237</v>
      </c>
      <c r="C200" s="76">
        <v>-2</v>
      </c>
      <c r="D200" s="77">
        <f>2.298+3.6+1-0.275-0.2</f>
        <v>6.4229999999999992</v>
      </c>
      <c r="E200" s="68">
        <v>0.23</v>
      </c>
      <c r="F200" s="77">
        <v>7.4999999999999997E-2</v>
      </c>
      <c r="G200" s="67">
        <f t="shared" si="9"/>
        <v>-0.22</v>
      </c>
      <c r="H200" s="929" t="s">
        <v>2247</v>
      </c>
      <c r="I200" s="1226"/>
      <c r="J200" s="706"/>
    </row>
    <row r="201" spans="1:10" s="78" customFormat="1" ht="18" customHeight="1">
      <c r="A201" s="75"/>
      <c r="B201" s="356" t="s">
        <v>1238</v>
      </c>
      <c r="C201" s="76">
        <v>-2</v>
      </c>
      <c r="D201" s="77">
        <v>6.0720000000000001</v>
      </c>
      <c r="E201" s="68">
        <v>0.23</v>
      </c>
      <c r="F201" s="77">
        <v>7.4999999999999997E-2</v>
      </c>
      <c r="G201" s="67">
        <f t="shared" si="9"/>
        <v>-0.21</v>
      </c>
      <c r="H201" s="929" t="s">
        <v>2247</v>
      </c>
      <c r="I201" s="1226"/>
      <c r="J201" s="706"/>
    </row>
    <row r="202" spans="1:10" s="78" customFormat="1" ht="18" customHeight="1">
      <c r="A202" s="75"/>
      <c r="B202" s="63" t="s">
        <v>1239</v>
      </c>
      <c r="C202" s="70">
        <v>-1</v>
      </c>
      <c r="D202" s="68">
        <f>6.45+3.25+3.2+0.7+4.9+0.7+3.2+3.25+6.45+0.2+0.2-8*0.4</f>
        <v>29.300000000000008</v>
      </c>
      <c r="E202" s="68">
        <v>0.23</v>
      </c>
      <c r="F202" s="68">
        <v>7.4999999999999997E-2</v>
      </c>
      <c r="G202" s="67">
        <f t="shared" si="9"/>
        <v>-0.51</v>
      </c>
      <c r="H202" s="929" t="s">
        <v>2247</v>
      </c>
      <c r="I202" s="1226"/>
      <c r="J202" s="706"/>
    </row>
    <row r="203" spans="1:10" s="78" customFormat="1" ht="18" customHeight="1">
      <c r="A203" s="75"/>
      <c r="B203" s="356" t="s">
        <v>1240</v>
      </c>
      <c r="C203" s="76">
        <v>-2</v>
      </c>
      <c r="D203" s="77">
        <v>9.8000000000000007</v>
      </c>
      <c r="E203" s="68">
        <v>0.23</v>
      </c>
      <c r="F203" s="77">
        <v>7.4999999999999997E-2</v>
      </c>
      <c r="G203" s="67">
        <f t="shared" si="9"/>
        <v>-0.34</v>
      </c>
      <c r="H203" s="929" t="s">
        <v>2247</v>
      </c>
      <c r="I203" s="1226"/>
      <c r="J203" s="706"/>
    </row>
    <row r="204" spans="1:10" s="78" customFormat="1" ht="18" customHeight="1">
      <c r="A204" s="75"/>
      <c r="B204" s="63" t="s">
        <v>1241</v>
      </c>
      <c r="C204" s="70">
        <v>-1</v>
      </c>
      <c r="D204" s="68">
        <f>4.9-0.4</f>
        <v>4.5</v>
      </c>
      <c r="E204" s="68">
        <v>0.23</v>
      </c>
      <c r="F204" s="68">
        <v>7.4999999999999997E-2</v>
      </c>
      <c r="G204" s="67">
        <f t="shared" si="9"/>
        <v>-0.08</v>
      </c>
      <c r="H204" s="929" t="s">
        <v>2247</v>
      </c>
      <c r="I204" s="1226"/>
      <c r="J204" s="706"/>
    </row>
    <row r="205" spans="1:10" s="78" customFormat="1" ht="18" customHeight="1">
      <c r="A205" s="75"/>
      <c r="B205" s="356" t="s">
        <v>1242</v>
      </c>
      <c r="C205" s="76">
        <v>-4</v>
      </c>
      <c r="D205" s="77">
        <v>9.8000000000000007</v>
      </c>
      <c r="E205" s="68">
        <v>0.23</v>
      </c>
      <c r="F205" s="77">
        <v>7.4999999999999997E-2</v>
      </c>
      <c r="G205" s="67">
        <f t="shared" si="9"/>
        <v>-0.68</v>
      </c>
      <c r="H205" s="929" t="s">
        <v>2247</v>
      </c>
      <c r="I205" s="1226"/>
      <c r="J205" s="706"/>
    </row>
    <row r="206" spans="1:10" s="78" customFormat="1" ht="18" customHeight="1">
      <c r="A206" s="75"/>
      <c r="B206" s="517" t="s">
        <v>1243</v>
      </c>
      <c r="C206" s="76">
        <v>-2</v>
      </c>
      <c r="D206" s="77">
        <f>1.575+3.025+0.175-0.4</f>
        <v>4.3749999999999991</v>
      </c>
      <c r="E206" s="68">
        <v>0.23</v>
      </c>
      <c r="F206" s="77">
        <v>7.4999999999999997E-2</v>
      </c>
      <c r="G206" s="67">
        <f t="shared" si="9"/>
        <v>-0.15</v>
      </c>
      <c r="H206" s="929" t="s">
        <v>2247</v>
      </c>
      <c r="I206" s="1226"/>
      <c r="J206" s="706"/>
    </row>
    <row r="207" spans="1:10" s="78" customFormat="1" ht="18" customHeight="1">
      <c r="A207" s="75"/>
      <c r="B207" s="356" t="s">
        <v>1244</v>
      </c>
      <c r="C207" s="76">
        <v>-1</v>
      </c>
      <c r="D207" s="77">
        <v>12.2</v>
      </c>
      <c r="E207" s="68">
        <v>0.23</v>
      </c>
      <c r="F207" s="77">
        <v>7.4999999999999997E-2</v>
      </c>
      <c r="G207" s="67">
        <f t="shared" si="9"/>
        <v>-0.21</v>
      </c>
      <c r="H207" s="929" t="s">
        <v>2247</v>
      </c>
      <c r="I207" s="1226"/>
      <c r="J207" s="706"/>
    </row>
    <row r="208" spans="1:10" s="78" customFormat="1" ht="18" customHeight="1">
      <c r="A208" s="75"/>
      <c r="B208" s="356" t="s">
        <v>1245</v>
      </c>
      <c r="C208" s="76">
        <v>-1</v>
      </c>
      <c r="D208" s="77">
        <f>4.9+0.7+0.7-0.4</f>
        <v>5.9</v>
      </c>
      <c r="E208" s="68">
        <v>0.23</v>
      </c>
      <c r="F208" s="77">
        <v>7.4999999999999997E-2</v>
      </c>
      <c r="G208" s="67">
        <f t="shared" si="9"/>
        <v>-0.1</v>
      </c>
      <c r="H208" s="929" t="s">
        <v>2247</v>
      </c>
      <c r="I208" s="1226"/>
      <c r="J208" s="706"/>
    </row>
    <row r="209" spans="1:10" s="78" customFormat="1" ht="18" customHeight="1">
      <c r="A209" s="75"/>
      <c r="B209" s="356" t="s">
        <v>1246</v>
      </c>
      <c r="C209" s="76">
        <v>-1</v>
      </c>
      <c r="D209" s="77">
        <v>12.2</v>
      </c>
      <c r="E209" s="68">
        <v>0.23</v>
      </c>
      <c r="F209" s="77">
        <v>7.4999999999999997E-2</v>
      </c>
      <c r="G209" s="67">
        <f t="shared" si="9"/>
        <v>-0.21</v>
      </c>
      <c r="H209" s="929" t="s">
        <v>2247</v>
      </c>
      <c r="I209" s="1226"/>
      <c r="J209" s="706"/>
    </row>
    <row r="210" spans="1:10" s="78" customFormat="1" ht="18" customHeight="1">
      <c r="A210" s="75"/>
      <c r="B210" s="63" t="s">
        <v>1247</v>
      </c>
      <c r="C210" s="70">
        <v>-2</v>
      </c>
      <c r="D210" s="68">
        <f>3.6+1-0.55</f>
        <v>4.05</v>
      </c>
      <c r="E210" s="68">
        <v>0.23</v>
      </c>
      <c r="F210" s="68">
        <v>7.4999999999999997E-2</v>
      </c>
      <c r="G210" s="67">
        <f t="shared" si="9"/>
        <v>-0.14000000000000001</v>
      </c>
      <c r="H210" s="929" t="s">
        <v>2247</v>
      </c>
      <c r="I210" s="1226"/>
      <c r="J210" s="706"/>
    </row>
    <row r="211" spans="1:10" s="78" customFormat="1" ht="18" customHeight="1">
      <c r="A211" s="75"/>
      <c r="B211" s="63" t="s">
        <v>1248</v>
      </c>
      <c r="C211" s="70">
        <v>-1</v>
      </c>
      <c r="D211" s="68">
        <v>2.2330000000000001</v>
      </c>
      <c r="E211" s="68">
        <v>0.23</v>
      </c>
      <c r="F211" s="68">
        <v>7.4999999999999997E-2</v>
      </c>
      <c r="G211" s="67">
        <f t="shared" si="9"/>
        <v>-0.04</v>
      </c>
      <c r="H211" s="929" t="s">
        <v>2247</v>
      </c>
      <c r="I211" s="1226"/>
      <c r="J211" s="706"/>
    </row>
    <row r="212" spans="1:10" s="78" customFormat="1" ht="18" customHeight="1">
      <c r="A212" s="75"/>
      <c r="B212" s="63" t="s">
        <v>1249</v>
      </c>
      <c r="C212" s="70">
        <v>-1</v>
      </c>
      <c r="D212" s="68">
        <f>(1.575+3.025+0.175+6.45+3.25+3.2+0.7+4.9+0.7+3.2+3.25+6.45+0.175+3.025+1.575-0.2-0.2-6*0.4)</f>
        <v>38.849999999999994</v>
      </c>
      <c r="E212" s="68">
        <v>0.23</v>
      </c>
      <c r="F212" s="68">
        <v>7.4999999999999997E-2</v>
      </c>
      <c r="G212" s="67">
        <f t="shared" si="9"/>
        <v>-0.67</v>
      </c>
      <c r="H212" s="929" t="s">
        <v>2247</v>
      </c>
      <c r="I212" s="1226"/>
      <c r="J212" s="706"/>
    </row>
    <row r="213" spans="1:10" s="78" customFormat="1" ht="18" customHeight="1">
      <c r="A213" s="75"/>
      <c r="B213" s="63" t="s">
        <v>1250</v>
      </c>
      <c r="C213" s="70">
        <v>-1</v>
      </c>
      <c r="D213" s="68">
        <v>2.9849999999999999</v>
      </c>
      <c r="E213" s="68">
        <v>0.23</v>
      </c>
      <c r="F213" s="68">
        <v>7.4999999999999997E-2</v>
      </c>
      <c r="G213" s="67">
        <f t="shared" si="9"/>
        <v>-0.05</v>
      </c>
      <c r="H213" s="929" t="s">
        <v>2247</v>
      </c>
      <c r="I213" s="1226"/>
      <c r="J213" s="706"/>
    </row>
    <row r="214" spans="1:10" s="78" customFormat="1" ht="18" customHeight="1">
      <c r="A214" s="75"/>
      <c r="B214" s="63" t="s">
        <v>1251</v>
      </c>
      <c r="C214" s="70">
        <v>-1</v>
      </c>
      <c r="D214" s="68">
        <v>0.47</v>
      </c>
      <c r="E214" s="68">
        <v>0.23</v>
      </c>
      <c r="F214" s="68">
        <v>7.4999999999999997E-2</v>
      </c>
      <c r="G214" s="67">
        <f t="shared" si="9"/>
        <v>-0.01</v>
      </c>
      <c r="H214" s="929" t="s">
        <v>2247</v>
      </c>
      <c r="I214" s="1226"/>
      <c r="J214" s="706"/>
    </row>
    <row r="215" spans="1:10" s="78" customFormat="1" ht="18" customHeight="1">
      <c r="A215" s="75"/>
      <c r="B215" s="63" t="s">
        <v>1252</v>
      </c>
      <c r="C215" s="70">
        <v>-1</v>
      </c>
      <c r="D215" s="68">
        <v>1.67</v>
      </c>
      <c r="E215" s="68">
        <v>0.23</v>
      </c>
      <c r="F215" s="68">
        <v>7.4999999999999997E-2</v>
      </c>
      <c r="G215" s="67">
        <f t="shared" si="9"/>
        <v>-0.03</v>
      </c>
      <c r="H215" s="929" t="s">
        <v>2247</v>
      </c>
      <c r="I215" s="1226"/>
      <c r="J215" s="706"/>
    </row>
    <row r="216" spans="1:10" s="78" customFormat="1" ht="18" customHeight="1">
      <c r="A216" s="75"/>
      <c r="B216" s="63" t="s">
        <v>1253</v>
      </c>
      <c r="C216" s="70">
        <v>-1</v>
      </c>
      <c r="D216" s="68">
        <f>2.25+1.575+3.025+0.175+6.45+3.25+3.2+0.7+4.9+0.7+3.2+3.25+6.45+0.175+3.025+1.575+2.25-0.275-0.275-2*0.55-6*0.4</f>
        <v>42.1</v>
      </c>
      <c r="E216" s="68">
        <v>0.23</v>
      </c>
      <c r="F216" s="68">
        <v>7.4999999999999997E-2</v>
      </c>
      <c r="G216" s="67">
        <f t="shared" si="9"/>
        <v>-0.73</v>
      </c>
      <c r="H216" s="929" t="s">
        <v>2247</v>
      </c>
      <c r="I216" s="1226"/>
      <c r="J216" s="706"/>
    </row>
    <row r="217" spans="1:10" s="78" customFormat="1" ht="18" customHeight="1">
      <c r="A217" s="75"/>
      <c r="B217" s="63" t="s">
        <v>1254</v>
      </c>
      <c r="C217" s="76">
        <v>-1</v>
      </c>
      <c r="D217" s="68">
        <f>3.025+0.175+6.45+3.25+3.2+0.7+4.9+0.7+3.2+3.25+6.45+0.175+3.025+0.2+0.2-8*0.4</f>
        <v>35.700000000000003</v>
      </c>
      <c r="E217" s="68">
        <v>0.23</v>
      </c>
      <c r="F217" s="77">
        <v>7.4999999999999997E-2</v>
      </c>
      <c r="G217" s="67">
        <f t="shared" si="9"/>
        <v>-0.62</v>
      </c>
      <c r="H217" s="929" t="s">
        <v>2247</v>
      </c>
      <c r="I217" s="1226"/>
      <c r="J217" s="706"/>
    </row>
    <row r="218" spans="1:10" s="78" customFormat="1" ht="18" customHeight="1">
      <c r="A218" s="75"/>
      <c r="B218" s="63" t="s">
        <v>1255</v>
      </c>
      <c r="C218" s="70">
        <v>-1</v>
      </c>
      <c r="D218" s="68">
        <f>0.7+4.9+0.7-0.4</f>
        <v>5.9</v>
      </c>
      <c r="E218" s="68">
        <v>0.23</v>
      </c>
      <c r="F218" s="68">
        <v>7.4999999999999997E-2</v>
      </c>
      <c r="G218" s="67">
        <f t="shared" si="9"/>
        <v>-0.1</v>
      </c>
      <c r="H218" s="929" t="s">
        <v>2247</v>
      </c>
      <c r="I218" s="1226"/>
      <c r="J218" s="706"/>
    </row>
    <row r="219" spans="1:10" s="78" customFormat="1" ht="18" customHeight="1">
      <c r="A219" s="75"/>
      <c r="B219" s="63" t="s">
        <v>1256</v>
      </c>
      <c r="C219" s="70">
        <v>-1</v>
      </c>
      <c r="D219" s="68">
        <f>0.7+4.9+0.7-0.4</f>
        <v>5.9</v>
      </c>
      <c r="E219" s="68">
        <v>0.23</v>
      </c>
      <c r="F219" s="68">
        <v>7.4999999999999997E-2</v>
      </c>
      <c r="G219" s="67">
        <f t="shared" si="9"/>
        <v>-0.1</v>
      </c>
      <c r="H219" s="929" t="s">
        <v>2247</v>
      </c>
      <c r="I219" s="1226"/>
      <c r="J219" s="706"/>
    </row>
    <row r="220" spans="1:10" s="78" customFormat="1" ht="18" customHeight="1">
      <c r="A220" s="75"/>
      <c r="B220" s="63"/>
      <c r="C220" s="70">
        <v>0</v>
      </c>
      <c r="D220" s="68"/>
      <c r="E220" s="77"/>
      <c r="F220" s="68"/>
      <c r="G220" s="67" t="str">
        <f t="shared" si="9"/>
        <v xml:space="preserve"> </v>
      </c>
      <c r="H220" s="929" t="s">
        <v>2247</v>
      </c>
      <c r="I220" s="1226"/>
      <c r="J220" s="706"/>
    </row>
    <row r="221" spans="1:10" s="78" customFormat="1" ht="18" customHeight="1">
      <c r="A221" s="75"/>
      <c r="B221" s="373" t="s">
        <v>1257</v>
      </c>
      <c r="C221" s="76">
        <v>-2</v>
      </c>
      <c r="D221" s="367">
        <v>10.913</v>
      </c>
      <c r="E221" s="68">
        <v>0.23</v>
      </c>
      <c r="F221" s="77">
        <v>7.4999999999999997E-2</v>
      </c>
      <c r="G221" s="67">
        <f t="shared" si="9"/>
        <v>-0.38</v>
      </c>
      <c r="H221" s="929" t="s">
        <v>2247</v>
      </c>
      <c r="I221" s="1226"/>
      <c r="J221" s="706"/>
    </row>
    <row r="222" spans="1:10" s="78" customFormat="1" ht="18" customHeight="1">
      <c r="A222" s="75"/>
      <c r="B222" s="356" t="s">
        <v>1258</v>
      </c>
      <c r="C222" s="76">
        <v>-2</v>
      </c>
      <c r="D222" s="77">
        <f>3.075+1.6+1.775+6.4+4.925+1.475+1.825+1.425-0.1-0.2-0.4-0.4-0.4</f>
        <v>21.000000000000007</v>
      </c>
      <c r="E222" s="68">
        <v>0.23</v>
      </c>
      <c r="F222" s="77">
        <v>7.4999999999999997E-2</v>
      </c>
      <c r="G222" s="67">
        <f t="shared" si="9"/>
        <v>-0.72</v>
      </c>
      <c r="H222" s="929" t="s">
        <v>2247</v>
      </c>
      <c r="I222" s="1226"/>
      <c r="J222" s="706"/>
    </row>
    <row r="223" spans="1:10" s="78" customFormat="1" ht="18" customHeight="1">
      <c r="A223" s="75"/>
      <c r="B223" s="356" t="s">
        <v>1259</v>
      </c>
      <c r="C223" s="76">
        <v>-2</v>
      </c>
      <c r="D223" s="77">
        <f>2.725+2.462-0.115-0.13</f>
        <v>4.9420000000000002</v>
      </c>
      <c r="E223" s="68">
        <v>0.23</v>
      </c>
      <c r="F223" s="77">
        <v>7.4999999999999997E-2</v>
      </c>
      <c r="G223" s="67">
        <f t="shared" si="9"/>
        <v>-0.17</v>
      </c>
      <c r="H223" s="929" t="s">
        <v>2247</v>
      </c>
      <c r="I223" s="1226"/>
      <c r="J223" s="706"/>
    </row>
    <row r="224" spans="1:10" s="78" customFormat="1" ht="18" customHeight="1">
      <c r="A224" s="75"/>
      <c r="B224" s="374" t="s">
        <v>1260</v>
      </c>
      <c r="C224" s="76">
        <v>-2</v>
      </c>
      <c r="D224" s="77">
        <v>8.3580000000000005</v>
      </c>
      <c r="E224" s="68">
        <v>0.23</v>
      </c>
      <c r="F224" s="77">
        <v>7.4999999999999997E-2</v>
      </c>
      <c r="G224" s="67">
        <f t="shared" si="9"/>
        <v>-0.28999999999999998</v>
      </c>
      <c r="H224" s="929" t="s">
        <v>2247</v>
      </c>
      <c r="I224" s="1226"/>
      <c r="J224" s="706"/>
    </row>
    <row r="225" spans="1:10" s="78" customFormat="1" ht="18" customHeight="1">
      <c r="A225" s="75"/>
      <c r="B225" s="63" t="s">
        <v>1261</v>
      </c>
      <c r="C225" s="70">
        <v>-2</v>
      </c>
      <c r="D225" s="68">
        <v>2.93</v>
      </c>
      <c r="E225" s="68">
        <v>0.23</v>
      </c>
      <c r="F225" s="68">
        <v>7.4999999999999997E-2</v>
      </c>
      <c r="G225" s="67">
        <f t="shared" si="9"/>
        <v>-0.1</v>
      </c>
      <c r="H225" s="929" t="s">
        <v>2247</v>
      </c>
      <c r="I225" s="1226"/>
      <c r="J225" s="706"/>
    </row>
    <row r="226" spans="1:10" s="78" customFormat="1" ht="18" customHeight="1">
      <c r="A226" s="75"/>
      <c r="B226" s="63" t="s">
        <v>1262</v>
      </c>
      <c r="C226" s="70">
        <v>-2</v>
      </c>
      <c r="D226" s="68">
        <v>3.22</v>
      </c>
      <c r="E226" s="68">
        <v>0.23</v>
      </c>
      <c r="F226" s="68">
        <v>7.4999999999999997E-2</v>
      </c>
      <c r="G226" s="67">
        <f t="shared" si="9"/>
        <v>-0.11</v>
      </c>
      <c r="H226" s="929" t="s">
        <v>2247</v>
      </c>
      <c r="I226" s="1226"/>
      <c r="J226" s="706"/>
    </row>
    <row r="227" spans="1:10" s="78" customFormat="1" ht="18" customHeight="1">
      <c r="A227" s="75"/>
      <c r="B227" s="63" t="s">
        <v>1263</v>
      </c>
      <c r="C227" s="70">
        <v>-2</v>
      </c>
      <c r="D227" s="68">
        <f>2.25+1.525-0.4</f>
        <v>3.375</v>
      </c>
      <c r="E227" s="68">
        <v>0.23</v>
      </c>
      <c r="F227" s="68">
        <v>7.4999999999999997E-2</v>
      </c>
      <c r="G227" s="67">
        <f t="shared" si="9"/>
        <v>-0.12</v>
      </c>
      <c r="H227" s="929" t="s">
        <v>2247</v>
      </c>
      <c r="I227" s="1226"/>
      <c r="J227" s="706"/>
    </row>
    <row r="228" spans="1:10" s="78" customFormat="1" ht="18" customHeight="1">
      <c r="A228" s="75"/>
      <c r="B228" s="63" t="s">
        <v>1264</v>
      </c>
      <c r="C228" s="70">
        <v>-2</v>
      </c>
      <c r="D228" s="621">
        <f>3.075+1.6+1.775+6.4+4.925+1.475+1.825+1.425-0.4-1.2</f>
        <v>20.900000000000006</v>
      </c>
      <c r="E228" s="68">
        <v>0.23</v>
      </c>
      <c r="F228" s="68">
        <v>7.4999999999999997E-2</v>
      </c>
      <c r="G228" s="67">
        <f t="shared" si="9"/>
        <v>-0.72</v>
      </c>
      <c r="H228" s="929" t="s">
        <v>2247</v>
      </c>
      <c r="I228" s="1226"/>
      <c r="J228" s="706"/>
    </row>
    <row r="229" spans="1:10" s="78" customFormat="1" ht="18" customHeight="1">
      <c r="A229" s="75"/>
      <c r="B229" s="63" t="s">
        <v>1265</v>
      </c>
      <c r="C229" s="70">
        <v>-2</v>
      </c>
      <c r="D229" s="68">
        <f>2.25+1.525+3.075+1.6+1.775-0.2-0.55-0.55-0.13</f>
        <v>8.7949999999999982</v>
      </c>
      <c r="E229" s="68">
        <v>0.23</v>
      </c>
      <c r="F229" s="68">
        <v>7.4999999999999997E-2</v>
      </c>
      <c r="G229" s="67">
        <f t="shared" si="9"/>
        <v>-0.3</v>
      </c>
      <c r="H229" s="929" t="s">
        <v>2247</v>
      </c>
      <c r="I229" s="1226"/>
      <c r="J229" s="706"/>
    </row>
    <row r="230" spans="1:10" s="78" customFormat="1" ht="18" customHeight="1">
      <c r="A230" s="75"/>
      <c r="B230" s="63" t="s">
        <v>1266</v>
      </c>
      <c r="C230" s="70">
        <v>-2</v>
      </c>
      <c r="D230" s="68">
        <f>6.4+4.925+1.475-0.2-0.2-0.4</f>
        <v>12</v>
      </c>
      <c r="E230" s="68">
        <v>0.23</v>
      </c>
      <c r="F230" s="68">
        <v>7.4999999999999997E-2</v>
      </c>
      <c r="G230" s="67">
        <f t="shared" si="9"/>
        <v>-0.41</v>
      </c>
      <c r="H230" s="929" t="s">
        <v>2247</v>
      </c>
      <c r="I230" s="1226"/>
      <c r="J230" s="706"/>
    </row>
    <row r="231" spans="1:10" s="78" customFormat="1" ht="18" customHeight="1">
      <c r="A231" s="75"/>
      <c r="B231" s="63" t="s">
        <v>1267</v>
      </c>
      <c r="C231" s="70">
        <v>-2</v>
      </c>
      <c r="D231" s="68">
        <f>1.825+1.425-0.1-0.2</f>
        <v>2.9499999999999997</v>
      </c>
      <c r="E231" s="68">
        <v>0.23</v>
      </c>
      <c r="F231" s="68">
        <v>7.4999999999999997E-2</v>
      </c>
      <c r="G231" s="67">
        <f t="shared" si="9"/>
        <v>-0.1</v>
      </c>
      <c r="H231" s="929" t="s">
        <v>2247</v>
      </c>
      <c r="I231" s="1226"/>
      <c r="J231" s="706"/>
    </row>
    <row r="232" spans="1:10" s="78" customFormat="1" ht="18" customHeight="1">
      <c r="A232" s="75"/>
      <c r="B232" s="63" t="s">
        <v>1268</v>
      </c>
      <c r="C232" s="70">
        <v>-2</v>
      </c>
      <c r="D232" s="68">
        <f>4.6-0.275-0.2</f>
        <v>4.1249999999999991</v>
      </c>
      <c r="E232" s="68">
        <v>0.23</v>
      </c>
      <c r="F232" s="68">
        <v>7.4999999999999997E-2</v>
      </c>
      <c r="G232" s="67">
        <f t="shared" si="9"/>
        <v>-0.14000000000000001</v>
      </c>
      <c r="H232" s="929" t="s">
        <v>2247</v>
      </c>
      <c r="I232" s="1226"/>
      <c r="J232" s="706"/>
    </row>
    <row r="233" spans="1:10" s="78" customFormat="1" ht="18" customHeight="1">
      <c r="A233" s="75"/>
      <c r="B233" s="63" t="s">
        <v>1269</v>
      </c>
      <c r="C233" s="70">
        <v>-2</v>
      </c>
      <c r="D233" s="68">
        <v>5.73</v>
      </c>
      <c r="E233" s="68">
        <v>0.23</v>
      </c>
      <c r="F233" s="68">
        <v>7.4999999999999997E-2</v>
      </c>
      <c r="G233" s="67">
        <f t="shared" si="9"/>
        <v>-0.2</v>
      </c>
      <c r="H233" s="929" t="s">
        <v>2247</v>
      </c>
      <c r="I233" s="1226"/>
      <c r="J233" s="706"/>
    </row>
    <row r="234" spans="1:10" s="78" customFormat="1" ht="18" customHeight="1">
      <c r="A234" s="75"/>
      <c r="B234" s="63" t="s">
        <v>1270</v>
      </c>
      <c r="C234" s="70">
        <v>-2</v>
      </c>
      <c r="D234" s="68">
        <v>1.835</v>
      </c>
      <c r="E234" s="68">
        <v>0.23</v>
      </c>
      <c r="F234" s="68">
        <v>7.4999999999999997E-2</v>
      </c>
      <c r="G234" s="67">
        <f t="shared" si="9"/>
        <v>-0.06</v>
      </c>
      <c r="H234" s="929" t="s">
        <v>2247</v>
      </c>
      <c r="I234" s="1226"/>
      <c r="J234" s="706"/>
    </row>
    <row r="235" spans="1:10" s="78" customFormat="1" ht="18" customHeight="1">
      <c r="A235" s="75"/>
      <c r="B235" s="63" t="s">
        <v>1271</v>
      </c>
      <c r="C235" s="70">
        <v>-2</v>
      </c>
      <c r="D235" s="67">
        <v>6.6619999999999999</v>
      </c>
      <c r="E235" s="68">
        <v>0.23</v>
      </c>
      <c r="F235" s="68">
        <v>7.4999999999999997E-2</v>
      </c>
      <c r="G235" s="67">
        <f t="shared" si="9"/>
        <v>-0.23</v>
      </c>
      <c r="H235" s="929" t="s">
        <v>2247</v>
      </c>
      <c r="I235" s="1226"/>
      <c r="J235" s="706"/>
    </row>
    <row r="236" spans="1:10" s="78" customFormat="1" ht="18" customHeight="1">
      <c r="A236" s="75"/>
      <c r="B236" s="406" t="s">
        <v>1272</v>
      </c>
      <c r="C236" s="70">
        <v>-2</v>
      </c>
      <c r="D236" s="67">
        <v>35.86</v>
      </c>
      <c r="E236" s="68">
        <v>0.23</v>
      </c>
      <c r="F236" s="68">
        <v>7.4999999999999997E-2</v>
      </c>
      <c r="G236" s="67">
        <f t="shared" si="9"/>
        <v>-1.24</v>
      </c>
      <c r="H236" s="929" t="s">
        <v>2247</v>
      </c>
      <c r="I236" s="1226"/>
      <c r="J236" s="706"/>
    </row>
    <row r="237" spans="1:10" s="78" customFormat="1" ht="18" customHeight="1">
      <c r="A237" s="75"/>
      <c r="B237" s="353" t="s">
        <v>1273</v>
      </c>
      <c r="C237" s="70">
        <v>-4</v>
      </c>
      <c r="D237" s="68">
        <f>4.6+2.25+1.525+3.075-0.275-0.275-0.55-0.55</f>
        <v>9.7999999999999972</v>
      </c>
      <c r="E237" s="68">
        <v>0.23</v>
      </c>
      <c r="F237" s="68">
        <v>7.4999999999999997E-2</v>
      </c>
      <c r="G237" s="67">
        <f t="shared" si="9"/>
        <v>-0.68</v>
      </c>
      <c r="H237" s="929" t="s">
        <v>2247</v>
      </c>
      <c r="I237" s="1226"/>
      <c r="J237" s="706"/>
    </row>
    <row r="238" spans="1:10" s="78" customFormat="1" ht="18" customHeight="1">
      <c r="A238" s="75"/>
      <c r="B238" s="63" t="s">
        <v>1274</v>
      </c>
      <c r="C238" s="70">
        <v>-1</v>
      </c>
      <c r="D238" s="68">
        <v>4.6550000000000002</v>
      </c>
      <c r="E238" s="68">
        <v>0.23</v>
      </c>
      <c r="F238" s="68">
        <v>7.4999999999999997E-2</v>
      </c>
      <c r="G238" s="67">
        <f t="shared" si="9"/>
        <v>-0.08</v>
      </c>
      <c r="H238" s="929" t="s">
        <v>2247</v>
      </c>
      <c r="I238" s="1226"/>
      <c r="J238" s="706"/>
    </row>
    <row r="239" spans="1:10" s="78" customFormat="1" ht="18" customHeight="1">
      <c r="A239" s="75"/>
      <c r="B239" s="406" t="s">
        <v>1275</v>
      </c>
      <c r="C239" s="70">
        <v>-2</v>
      </c>
      <c r="D239" s="68">
        <v>17.792999999999999</v>
      </c>
      <c r="E239" s="68">
        <v>0.23</v>
      </c>
      <c r="F239" s="68">
        <v>7.4999999999999997E-2</v>
      </c>
      <c r="G239" s="67">
        <f t="shared" si="9"/>
        <v>-0.61</v>
      </c>
      <c r="H239" s="929" t="s">
        <v>2247</v>
      </c>
      <c r="I239" s="1226"/>
      <c r="J239" s="706"/>
    </row>
    <row r="240" spans="1:10" s="78" customFormat="1" ht="18" customHeight="1">
      <c r="A240" s="75"/>
      <c r="B240" s="63" t="s">
        <v>1276</v>
      </c>
      <c r="C240" s="70">
        <v>-2</v>
      </c>
      <c r="D240" s="68">
        <v>14.734</v>
      </c>
      <c r="E240" s="68">
        <v>0.23</v>
      </c>
      <c r="F240" s="68">
        <v>7.4999999999999997E-2</v>
      </c>
      <c r="G240" s="67">
        <f t="shared" si="9"/>
        <v>-0.51</v>
      </c>
      <c r="H240" s="929" t="s">
        <v>2247</v>
      </c>
      <c r="I240" s="1226"/>
      <c r="J240" s="706"/>
    </row>
    <row r="241" spans="1:10" s="78" customFormat="1" ht="18" customHeight="1">
      <c r="A241" s="75"/>
      <c r="B241" s="409" t="s">
        <v>1277</v>
      </c>
      <c r="C241" s="70">
        <v>-2</v>
      </c>
      <c r="D241" s="68">
        <v>7.9749999999999996</v>
      </c>
      <c r="E241" s="68">
        <v>0.23</v>
      </c>
      <c r="F241" s="68">
        <v>7.4999999999999997E-2</v>
      </c>
      <c r="G241" s="67">
        <f t="shared" si="9"/>
        <v>-0.28000000000000003</v>
      </c>
      <c r="H241" s="929" t="s">
        <v>2247</v>
      </c>
      <c r="I241" s="1226"/>
      <c r="J241" s="706"/>
    </row>
    <row r="242" spans="1:10" s="78" customFormat="1" ht="18" customHeight="1">
      <c r="A242" s="75"/>
      <c r="B242" s="63" t="s">
        <v>1278</v>
      </c>
      <c r="C242" s="70">
        <v>-2</v>
      </c>
      <c r="D242" s="68">
        <f>1.475+1.825+1.425+3.175+2.25+1.875+2.725+0.275+0.275-0.55*4-0.23</f>
        <v>12.869999999999997</v>
      </c>
      <c r="E242" s="68">
        <v>0.23</v>
      </c>
      <c r="F242" s="68">
        <v>7.4999999999999997E-2</v>
      </c>
      <c r="G242" s="67">
        <f t="shared" si="9"/>
        <v>-0.44</v>
      </c>
      <c r="H242" s="929" t="s">
        <v>2247</v>
      </c>
      <c r="I242" s="1226"/>
      <c r="J242" s="706"/>
    </row>
    <row r="243" spans="1:10" s="78" customFormat="1" ht="18" customHeight="1">
      <c r="A243" s="75"/>
      <c r="B243" s="63" t="s">
        <v>1279</v>
      </c>
      <c r="C243" s="70">
        <v>-2</v>
      </c>
      <c r="D243" s="68">
        <v>4.6550000000000002</v>
      </c>
      <c r="E243" s="68">
        <v>0.23</v>
      </c>
      <c r="F243" s="68">
        <v>7.4999999999999997E-2</v>
      </c>
      <c r="G243" s="67">
        <f t="shared" si="9"/>
        <v>-0.16</v>
      </c>
      <c r="H243" s="929" t="s">
        <v>2247</v>
      </c>
      <c r="I243" s="1226"/>
      <c r="J243" s="706"/>
    </row>
    <row r="244" spans="1:10" s="78" customFormat="1" ht="18" customHeight="1">
      <c r="A244" s="75"/>
      <c r="B244" s="63" t="s">
        <v>1866</v>
      </c>
      <c r="C244" s="70">
        <v>-36</v>
      </c>
      <c r="D244" s="68">
        <v>0.6</v>
      </c>
      <c r="E244" s="452">
        <v>0.1</v>
      </c>
      <c r="F244" s="68">
        <v>7.4999999999999997E-2</v>
      </c>
      <c r="G244" s="67">
        <f t="shared" ref="G244:G306" si="10">IF(C244&lt;&gt;0,ROUND(PRODUCT(D244:F244)*C244,2)," ")</f>
        <v>-0.16</v>
      </c>
      <c r="H244" s="929" t="s">
        <v>2247</v>
      </c>
      <c r="I244" s="1226"/>
      <c r="J244" s="706"/>
    </row>
    <row r="245" spans="1:10" ht="18" customHeight="1">
      <c r="A245" s="354"/>
      <c r="B245" s="64" t="s">
        <v>1884</v>
      </c>
      <c r="C245" s="70"/>
      <c r="D245" s="68"/>
      <c r="E245" s="68"/>
      <c r="F245" s="68"/>
      <c r="G245" s="67" t="str">
        <f t="shared" si="10"/>
        <v xml:space="preserve"> </v>
      </c>
      <c r="H245" s="929" t="s">
        <v>2247</v>
      </c>
      <c r="J245" s="686"/>
    </row>
    <row r="246" spans="1:10" ht="18" customHeight="1">
      <c r="A246" s="354"/>
      <c r="B246" s="63" t="s">
        <v>1809</v>
      </c>
      <c r="C246" s="70">
        <v>-42</v>
      </c>
      <c r="D246" s="68">
        <v>0.55000000000000004</v>
      </c>
      <c r="E246" s="68">
        <v>0.4</v>
      </c>
      <c r="F246" s="68">
        <v>7.4999999999999997E-2</v>
      </c>
      <c r="G246" s="67">
        <f t="shared" si="10"/>
        <v>-0.69</v>
      </c>
      <c r="H246" s="929" t="s">
        <v>2247</v>
      </c>
      <c r="J246" s="686"/>
    </row>
    <row r="247" spans="1:10" ht="18" customHeight="1">
      <c r="A247" s="354"/>
      <c r="B247" s="63" t="s">
        <v>1810</v>
      </c>
      <c r="C247" s="70">
        <v>-40</v>
      </c>
      <c r="D247" s="68">
        <v>0.55000000000000004</v>
      </c>
      <c r="E247" s="68">
        <v>0.4</v>
      </c>
      <c r="F247" s="68">
        <v>7.4999999999999997E-2</v>
      </c>
      <c r="G247" s="67">
        <f t="shared" si="10"/>
        <v>-0.66</v>
      </c>
      <c r="H247" s="929" t="s">
        <v>2247</v>
      </c>
      <c r="J247" s="686"/>
    </row>
    <row r="248" spans="1:10" ht="18" customHeight="1">
      <c r="A248" s="354"/>
      <c r="B248" s="63" t="s">
        <v>1885</v>
      </c>
      <c r="C248" s="70">
        <v>-18</v>
      </c>
      <c r="D248" s="68">
        <v>0.55000000000000004</v>
      </c>
      <c r="E248" s="68">
        <v>0.4</v>
      </c>
      <c r="F248" s="68">
        <v>7.4999999999999997E-2</v>
      </c>
      <c r="G248" s="67">
        <f t="shared" si="10"/>
        <v>-0.3</v>
      </c>
      <c r="H248" s="929" t="s">
        <v>2247</v>
      </c>
      <c r="J248" s="686"/>
    </row>
    <row r="249" spans="1:10" ht="18" customHeight="1">
      <c r="A249" s="354"/>
      <c r="B249" s="63" t="s">
        <v>1886</v>
      </c>
      <c r="C249" s="70">
        <v>-4</v>
      </c>
      <c r="D249" s="68">
        <v>0.55000000000000004</v>
      </c>
      <c r="E249" s="68">
        <v>0.4</v>
      </c>
      <c r="F249" s="68">
        <v>7.4999999999999997E-2</v>
      </c>
      <c r="G249" s="67">
        <f t="shared" si="10"/>
        <v>-7.0000000000000007E-2</v>
      </c>
      <c r="H249" s="929" t="s">
        <v>2247</v>
      </c>
      <c r="J249" s="686"/>
    </row>
    <row r="250" spans="1:10" ht="18" customHeight="1">
      <c r="A250" s="354"/>
      <c r="B250" s="63" t="s">
        <v>1887</v>
      </c>
      <c r="C250" s="70">
        <v>-4</v>
      </c>
      <c r="D250" s="68">
        <v>0.55000000000000004</v>
      </c>
      <c r="E250" s="68">
        <v>0.4</v>
      </c>
      <c r="F250" s="68">
        <v>7.4999999999999997E-2</v>
      </c>
      <c r="G250" s="67">
        <f t="shared" si="10"/>
        <v>-7.0000000000000007E-2</v>
      </c>
      <c r="H250" s="929" t="s">
        <v>2247</v>
      </c>
      <c r="J250" s="686"/>
    </row>
    <row r="251" spans="1:10" ht="18" customHeight="1">
      <c r="A251" s="354"/>
      <c r="B251" s="63" t="s">
        <v>1888</v>
      </c>
      <c r="C251" s="70">
        <v>-20</v>
      </c>
      <c r="D251" s="68">
        <v>0.55000000000000004</v>
      </c>
      <c r="E251" s="68">
        <v>0.4</v>
      </c>
      <c r="F251" s="68">
        <v>7.4999999999999997E-2</v>
      </c>
      <c r="G251" s="67">
        <f t="shared" si="10"/>
        <v>-0.33</v>
      </c>
      <c r="H251" s="929" t="s">
        <v>2247</v>
      </c>
      <c r="J251" s="686"/>
    </row>
    <row r="252" spans="1:10" ht="18" customHeight="1">
      <c r="A252" s="354"/>
      <c r="B252" s="63" t="s">
        <v>1889</v>
      </c>
      <c r="C252" s="70">
        <v>-4</v>
      </c>
      <c r="D252" s="68">
        <v>0.55000000000000004</v>
      </c>
      <c r="E252" s="68">
        <v>0.4</v>
      </c>
      <c r="F252" s="68">
        <v>7.4999999999999997E-2</v>
      </c>
      <c r="G252" s="67">
        <f t="shared" si="10"/>
        <v>-7.0000000000000007E-2</v>
      </c>
      <c r="H252" s="929" t="s">
        <v>2247</v>
      </c>
      <c r="J252" s="686"/>
    </row>
    <row r="253" spans="1:10" ht="18" customHeight="1">
      <c r="A253" s="354" t="s">
        <v>1280</v>
      </c>
      <c r="B253" s="63" t="s">
        <v>2036</v>
      </c>
      <c r="C253" s="70">
        <v>2</v>
      </c>
      <c r="D253" s="68">
        <v>11.538</v>
      </c>
      <c r="E253" s="68">
        <v>10</v>
      </c>
      <c r="F253" s="68">
        <v>7.4999999999999997E-2</v>
      </c>
      <c r="G253" s="67">
        <f t="shared" si="10"/>
        <v>17.309999999999999</v>
      </c>
      <c r="H253" s="929" t="s">
        <v>1280</v>
      </c>
      <c r="J253" s="686"/>
    </row>
    <row r="254" spans="1:10" ht="18" customHeight="1">
      <c r="A254" s="128"/>
      <c r="B254" s="63" t="s">
        <v>2037</v>
      </c>
      <c r="C254" s="70">
        <v>-2</v>
      </c>
      <c r="D254" s="68">
        <v>2.93</v>
      </c>
      <c r="E254" s="68">
        <v>4.37</v>
      </c>
      <c r="F254" s="68">
        <v>7.4999999999999997E-2</v>
      </c>
      <c r="G254" s="67">
        <f t="shared" si="10"/>
        <v>-1.92</v>
      </c>
      <c r="H254" s="929" t="s">
        <v>1280</v>
      </c>
      <c r="J254" s="686"/>
    </row>
    <row r="255" spans="1:10" ht="18" customHeight="1">
      <c r="A255" s="128"/>
      <c r="B255" s="63"/>
      <c r="C255" s="70">
        <v>2</v>
      </c>
      <c r="D255" s="68">
        <v>0.77</v>
      </c>
      <c r="E255" s="68">
        <v>1.4730000000000001</v>
      </c>
      <c r="F255" s="68">
        <v>7.4999999999999997E-2</v>
      </c>
      <c r="G255" s="67">
        <f t="shared" si="10"/>
        <v>0.17</v>
      </c>
      <c r="H255" s="929" t="s">
        <v>1280</v>
      </c>
      <c r="J255" s="686"/>
    </row>
    <row r="256" spans="1:10" ht="18" customHeight="1">
      <c r="A256" s="128"/>
      <c r="B256" s="63" t="s">
        <v>2038</v>
      </c>
      <c r="C256" s="70">
        <v>2</v>
      </c>
      <c r="D256" s="68">
        <v>6.1139999999999999</v>
      </c>
      <c r="E256" s="68">
        <v>3.0579999999999998</v>
      </c>
      <c r="F256" s="68">
        <v>7.4999999999999997E-2</v>
      </c>
      <c r="G256" s="67">
        <f t="shared" si="10"/>
        <v>2.8</v>
      </c>
      <c r="H256" s="929" t="s">
        <v>1280</v>
      </c>
      <c r="J256" s="686"/>
    </row>
    <row r="257" spans="1:10" ht="18" customHeight="1">
      <c r="A257" s="128"/>
      <c r="B257" s="63" t="s">
        <v>2039</v>
      </c>
      <c r="C257" s="70">
        <v>4</v>
      </c>
      <c r="D257" s="68">
        <v>4.67</v>
      </c>
      <c r="E257" s="68">
        <v>3.0219999999999998</v>
      </c>
      <c r="F257" s="68">
        <v>7.4999999999999997E-2</v>
      </c>
      <c r="G257" s="67">
        <f t="shared" si="10"/>
        <v>4.2300000000000004</v>
      </c>
      <c r="H257" s="929" t="s">
        <v>1280</v>
      </c>
      <c r="J257" s="686"/>
    </row>
    <row r="258" spans="1:10" ht="18" customHeight="1">
      <c r="A258" s="128"/>
      <c r="B258" s="63" t="s">
        <v>2040</v>
      </c>
      <c r="C258" s="70">
        <v>1</v>
      </c>
      <c r="D258" s="68">
        <v>6.04</v>
      </c>
      <c r="E258" s="68">
        <v>2.1</v>
      </c>
      <c r="F258" s="68">
        <v>7.4999999999999997E-2</v>
      </c>
      <c r="G258" s="67">
        <f t="shared" si="10"/>
        <v>0.95</v>
      </c>
      <c r="H258" s="929" t="s">
        <v>1280</v>
      </c>
      <c r="J258" s="686"/>
    </row>
    <row r="259" spans="1:10" ht="18" customHeight="1">
      <c r="A259" s="128"/>
      <c r="B259" s="63" t="s">
        <v>2041</v>
      </c>
      <c r="C259" s="70">
        <v>1</v>
      </c>
      <c r="D259" s="68">
        <v>6.04</v>
      </c>
      <c r="E259" s="68">
        <v>6.0949999999999998</v>
      </c>
      <c r="F259" s="68">
        <v>7.4999999999999997E-2</v>
      </c>
      <c r="G259" s="67">
        <f t="shared" si="10"/>
        <v>2.76</v>
      </c>
      <c r="H259" s="929" t="s">
        <v>1280</v>
      </c>
      <c r="J259" s="686"/>
    </row>
    <row r="260" spans="1:10" ht="18" customHeight="1">
      <c r="A260" s="128"/>
      <c r="B260" s="63" t="s">
        <v>2042</v>
      </c>
      <c r="C260" s="70">
        <v>1</v>
      </c>
      <c r="D260" s="68">
        <v>6.2309999999999999</v>
      </c>
      <c r="E260" s="68">
        <v>1.81</v>
      </c>
      <c r="F260" s="68">
        <v>7.4999999999999997E-2</v>
      </c>
      <c r="G260" s="67">
        <f t="shared" si="10"/>
        <v>0.85</v>
      </c>
      <c r="H260" s="929" t="s">
        <v>1280</v>
      </c>
      <c r="J260" s="686"/>
    </row>
    <row r="261" spans="1:10" ht="18" customHeight="1">
      <c r="A261" s="128"/>
      <c r="B261" s="63" t="s">
        <v>2043</v>
      </c>
      <c r="C261" s="70">
        <v>1</v>
      </c>
      <c r="D261" s="68">
        <v>1.67</v>
      </c>
      <c r="E261" s="68">
        <v>2.6549999999999998</v>
      </c>
      <c r="F261" s="68">
        <v>7.4999999999999997E-2</v>
      </c>
      <c r="G261" s="67">
        <f t="shared" si="10"/>
        <v>0.33</v>
      </c>
      <c r="H261" s="929" t="s">
        <v>1280</v>
      </c>
      <c r="J261" s="686"/>
    </row>
    <row r="262" spans="1:10" ht="18" customHeight="1">
      <c r="A262" s="128"/>
      <c r="B262" s="63" t="s">
        <v>954</v>
      </c>
      <c r="C262" s="70">
        <v>1</v>
      </c>
      <c r="D262" s="68">
        <v>0.47</v>
      </c>
      <c r="E262" s="68">
        <v>0.58499999999999996</v>
      </c>
      <c r="F262" s="68">
        <v>7.4999999999999997E-2</v>
      </c>
      <c r="G262" s="67">
        <f t="shared" si="10"/>
        <v>0.02</v>
      </c>
      <c r="H262" s="929" t="s">
        <v>1280</v>
      </c>
      <c r="J262" s="686"/>
    </row>
    <row r="263" spans="1:10" ht="18" customHeight="1">
      <c r="A263" s="128"/>
      <c r="B263" s="63" t="s">
        <v>2044</v>
      </c>
      <c r="C263" s="70">
        <v>1</v>
      </c>
      <c r="D263" s="68">
        <v>3.9550000000000001</v>
      </c>
      <c r="E263" s="68">
        <v>2.9849999999999999</v>
      </c>
      <c r="F263" s="68">
        <v>7.4999999999999997E-2</v>
      </c>
      <c r="G263" s="67">
        <f t="shared" si="10"/>
        <v>0.89</v>
      </c>
      <c r="H263" s="929" t="s">
        <v>1280</v>
      </c>
      <c r="J263" s="686"/>
    </row>
    <row r="264" spans="1:10" ht="18" customHeight="1">
      <c r="A264" s="128"/>
      <c r="B264" s="81"/>
      <c r="C264" s="70"/>
      <c r="D264" s="68"/>
      <c r="E264" s="68"/>
      <c r="F264" s="68"/>
      <c r="G264" s="67" t="str">
        <f t="shared" si="10"/>
        <v xml:space="preserve"> </v>
      </c>
      <c r="H264" s="929"/>
      <c r="J264" s="686"/>
    </row>
    <row r="265" spans="1:10" ht="18" customHeight="1">
      <c r="A265" s="354" t="s">
        <v>1306</v>
      </c>
      <c r="B265" s="718" t="s">
        <v>1338</v>
      </c>
      <c r="C265" s="70"/>
      <c r="D265" s="68"/>
      <c r="E265" s="68"/>
      <c r="F265" s="68"/>
      <c r="G265" s="67" t="str">
        <f t="shared" si="10"/>
        <v xml:space="preserve"> </v>
      </c>
      <c r="H265" s="929"/>
      <c r="J265" s="686"/>
    </row>
    <row r="266" spans="1:10" ht="18" customHeight="1">
      <c r="A266" s="354" t="s">
        <v>1306</v>
      </c>
      <c r="B266" s="548" t="s">
        <v>1343</v>
      </c>
      <c r="C266" s="70"/>
      <c r="D266" s="68"/>
      <c r="E266" s="68"/>
      <c r="F266" s="68"/>
      <c r="G266" s="67" t="str">
        <f t="shared" si="10"/>
        <v xml:space="preserve"> </v>
      </c>
      <c r="H266" s="929"/>
      <c r="J266" s="686"/>
    </row>
    <row r="267" spans="1:10" ht="18" customHeight="1">
      <c r="A267" s="354" t="s">
        <v>1306</v>
      </c>
      <c r="B267" s="607" t="s">
        <v>1194</v>
      </c>
      <c r="C267" s="70"/>
      <c r="D267" s="68"/>
      <c r="E267" s="68"/>
      <c r="F267" s="68"/>
      <c r="G267" s="67" t="str">
        <f t="shared" si="10"/>
        <v xml:space="preserve"> </v>
      </c>
      <c r="H267" s="929"/>
      <c r="J267" s="686"/>
    </row>
    <row r="268" spans="1:10" ht="18" customHeight="1">
      <c r="A268" s="354" t="s">
        <v>1306</v>
      </c>
      <c r="B268" s="406" t="s">
        <v>1339</v>
      </c>
      <c r="C268" s="70">
        <v>1</v>
      </c>
      <c r="D268" s="68">
        <f>2.298+4.6+3.825+3.2+6.45+6.45+6.45+6.45+3.2+3.825+4.6+2.298</f>
        <v>53.646000000000008</v>
      </c>
      <c r="E268" s="68">
        <f>0.345+0.075+0.075</f>
        <v>0.495</v>
      </c>
      <c r="F268" s="68">
        <v>7.4999999999999997E-2</v>
      </c>
      <c r="G268" s="67">
        <f t="shared" si="10"/>
        <v>1.99</v>
      </c>
      <c r="H268" s="929" t="s">
        <v>1306</v>
      </c>
      <c r="J268" s="686"/>
    </row>
    <row r="269" spans="1:10" ht="18" customHeight="1">
      <c r="A269" s="354" t="s">
        <v>1306</v>
      </c>
      <c r="B269" s="406" t="s">
        <v>1193</v>
      </c>
      <c r="C269" s="70">
        <v>1</v>
      </c>
      <c r="D269" s="68">
        <f>2.298+4.6+3.825+3.2+6.45+6.45+6.3+6.45+6.45+3.2+3.825+4.6+2.298</f>
        <v>59.946000000000012</v>
      </c>
      <c r="E269" s="68">
        <f>0.345+0.075+0.075</f>
        <v>0.495</v>
      </c>
      <c r="F269" s="68">
        <v>7.4999999999999997E-2</v>
      </c>
      <c r="G269" s="67">
        <f t="shared" si="10"/>
        <v>2.23</v>
      </c>
      <c r="H269" s="929" t="s">
        <v>1306</v>
      </c>
      <c r="J269" s="686"/>
    </row>
    <row r="270" spans="1:10" ht="18" customHeight="1">
      <c r="A270" s="354" t="s">
        <v>1306</v>
      </c>
      <c r="B270" s="406" t="s">
        <v>1340</v>
      </c>
      <c r="C270" s="70">
        <v>1</v>
      </c>
      <c r="D270" s="68">
        <f>2.025+4.6+3.775+6.45+6.4+6.4+3.25+3.175+4.125+5.187+6.622</f>
        <v>52.008999999999993</v>
      </c>
      <c r="E270" s="68">
        <f>0.345+0.075+0.075</f>
        <v>0.495</v>
      </c>
      <c r="F270" s="68">
        <v>7.4999999999999997E-2</v>
      </c>
      <c r="G270" s="67">
        <f t="shared" si="10"/>
        <v>1.93</v>
      </c>
      <c r="H270" s="929" t="s">
        <v>1306</v>
      </c>
      <c r="J270" s="686"/>
    </row>
    <row r="271" spans="1:10" ht="18" customHeight="1">
      <c r="A271" s="354" t="s">
        <v>1306</v>
      </c>
      <c r="B271" s="406" t="s">
        <v>1341</v>
      </c>
      <c r="C271" s="70">
        <v>1</v>
      </c>
      <c r="D271" s="68">
        <f>2.025+4.6+3.775+6.45+6.4+6.4+3.25+3.175+4.125+5.187+6.622</f>
        <v>52.008999999999993</v>
      </c>
      <c r="E271" s="68">
        <f>0.345+0.075+0.075</f>
        <v>0.495</v>
      </c>
      <c r="F271" s="68">
        <v>7.4999999999999997E-2</v>
      </c>
      <c r="G271" s="67">
        <f t="shared" si="10"/>
        <v>1.93</v>
      </c>
      <c r="H271" s="929" t="s">
        <v>1306</v>
      </c>
      <c r="J271" s="686"/>
    </row>
    <row r="272" spans="1:10" ht="18" customHeight="1">
      <c r="A272" s="354" t="s">
        <v>1306</v>
      </c>
      <c r="B272" s="406" t="s">
        <v>1342</v>
      </c>
      <c r="C272" s="70">
        <v>1</v>
      </c>
      <c r="D272" s="68">
        <v>2.4620000000000002</v>
      </c>
      <c r="E272" s="68">
        <f>0.345+0.075+0.075</f>
        <v>0.495</v>
      </c>
      <c r="F272" s="68">
        <v>7.4999999999999997E-2</v>
      </c>
      <c r="G272" s="67">
        <f t="shared" si="10"/>
        <v>0.09</v>
      </c>
      <c r="H272" s="929" t="s">
        <v>1306</v>
      </c>
      <c r="J272" s="686"/>
    </row>
    <row r="273" spans="1:10" ht="18" customHeight="1">
      <c r="A273" s="354" t="s">
        <v>1306</v>
      </c>
      <c r="B273" s="607" t="s">
        <v>1195</v>
      </c>
      <c r="C273" s="70"/>
      <c r="D273" s="68"/>
      <c r="E273" s="68"/>
      <c r="F273" s="68"/>
      <c r="G273" s="67" t="str">
        <f t="shared" si="10"/>
        <v xml:space="preserve"> </v>
      </c>
      <c r="H273" s="929" t="s">
        <v>1306</v>
      </c>
      <c r="J273" s="686"/>
    </row>
    <row r="274" spans="1:10" ht="18" customHeight="1">
      <c r="A274" s="354" t="s">
        <v>1306</v>
      </c>
      <c r="B274" s="406" t="s">
        <v>1196</v>
      </c>
      <c r="C274" s="70">
        <v>1</v>
      </c>
      <c r="D274" s="68">
        <f>6.45+6.45+6.3+6.45+6.45+1.6+1.6</f>
        <v>35.300000000000004</v>
      </c>
      <c r="E274" s="68">
        <f>0.345+0.075+0.075</f>
        <v>0.495</v>
      </c>
      <c r="F274" s="68">
        <v>7.4999999999999997E-2</v>
      </c>
      <c r="G274" s="67">
        <f t="shared" si="10"/>
        <v>1.31</v>
      </c>
      <c r="H274" s="929" t="s">
        <v>1306</v>
      </c>
      <c r="J274" s="686"/>
    </row>
    <row r="275" spans="1:10" ht="18" customHeight="1">
      <c r="A275" s="354" t="s">
        <v>1306</v>
      </c>
      <c r="B275" s="406" t="s">
        <v>1197</v>
      </c>
      <c r="C275" s="70">
        <v>1</v>
      </c>
      <c r="D275" s="68">
        <f>32.1+1.475+1.825+1.475+1.825</f>
        <v>38.70000000000001</v>
      </c>
      <c r="E275" s="68">
        <f>0.345+0.075+0.075</f>
        <v>0.495</v>
      </c>
      <c r="F275" s="68">
        <v>7.4999999999999997E-2</v>
      </c>
      <c r="G275" s="67">
        <f t="shared" si="10"/>
        <v>1.44</v>
      </c>
      <c r="H275" s="929" t="s">
        <v>1306</v>
      </c>
      <c r="J275" s="686"/>
    </row>
    <row r="276" spans="1:10" ht="18" customHeight="1">
      <c r="A276" s="354" t="s">
        <v>1306</v>
      </c>
      <c r="B276" s="63" t="s">
        <v>1198</v>
      </c>
      <c r="C276" s="70">
        <v>1</v>
      </c>
      <c r="D276" s="68">
        <f>1.6+1.775+6.4+6.4+1.475+1.825</f>
        <v>19.475000000000001</v>
      </c>
      <c r="E276" s="68">
        <f>0.345+0.075+0.075</f>
        <v>0.495</v>
      </c>
      <c r="F276" s="68">
        <v>7.4999999999999997E-2</v>
      </c>
      <c r="G276" s="67">
        <f t="shared" si="10"/>
        <v>0.72</v>
      </c>
      <c r="H276" s="929" t="s">
        <v>1306</v>
      </c>
      <c r="J276" s="686"/>
    </row>
    <row r="277" spans="1:10" ht="18" customHeight="1">
      <c r="A277" s="354" t="s">
        <v>1306</v>
      </c>
      <c r="B277" s="63" t="s">
        <v>1199</v>
      </c>
      <c r="C277" s="70">
        <v>1</v>
      </c>
      <c r="D277" s="68">
        <f>1.6+1.775+6.4+6.4+1.475+1.825</f>
        <v>19.475000000000001</v>
      </c>
      <c r="E277" s="68">
        <f>0.345+0.075+0.075</f>
        <v>0.495</v>
      </c>
      <c r="F277" s="68">
        <v>7.4999999999999997E-2</v>
      </c>
      <c r="G277" s="67">
        <f t="shared" si="10"/>
        <v>0.72</v>
      </c>
      <c r="H277" s="929" t="s">
        <v>1306</v>
      </c>
      <c r="J277" s="686"/>
    </row>
    <row r="278" spans="1:10" ht="18" customHeight="1">
      <c r="A278" s="354" t="s">
        <v>1306</v>
      </c>
      <c r="B278" s="548" t="s">
        <v>2248</v>
      </c>
      <c r="C278" s="70"/>
      <c r="D278" s="68"/>
      <c r="E278" s="68"/>
      <c r="F278" s="68"/>
      <c r="G278" s="67" t="str">
        <f t="shared" si="10"/>
        <v xml:space="preserve"> </v>
      </c>
      <c r="H278" s="929"/>
      <c r="J278" s="686"/>
    </row>
    <row r="279" spans="1:10" ht="18" customHeight="1">
      <c r="A279" s="354" t="s">
        <v>1306</v>
      </c>
      <c r="B279" s="607" t="s">
        <v>1194</v>
      </c>
      <c r="C279" s="70"/>
      <c r="D279" s="68"/>
      <c r="E279" s="68"/>
      <c r="F279" s="68"/>
      <c r="G279" s="67" t="str">
        <f t="shared" si="10"/>
        <v xml:space="preserve"> </v>
      </c>
      <c r="H279" s="929"/>
      <c r="J279" s="686"/>
    </row>
    <row r="280" spans="1:10" ht="18" customHeight="1">
      <c r="A280" s="354" t="s">
        <v>1306</v>
      </c>
      <c r="B280" s="406" t="s">
        <v>1339</v>
      </c>
      <c r="C280" s="70">
        <v>1</v>
      </c>
      <c r="D280" s="68">
        <f>2.298+4.6+3.825+3.2+6.45+6.45+6.45+6.45+3.2+3.825+4.6+2.298</f>
        <v>53.646000000000008</v>
      </c>
      <c r="E280" s="68">
        <f>0.6</f>
        <v>0.6</v>
      </c>
      <c r="F280" s="68">
        <v>7.4999999999999997E-2</v>
      </c>
      <c r="G280" s="67">
        <f t="shared" si="10"/>
        <v>2.41</v>
      </c>
      <c r="H280" s="929" t="s">
        <v>1306</v>
      </c>
      <c r="J280" s="686"/>
    </row>
    <row r="281" spans="1:10" ht="18" customHeight="1">
      <c r="A281" s="354" t="s">
        <v>1306</v>
      </c>
      <c r="B281" s="406" t="s">
        <v>1193</v>
      </c>
      <c r="C281" s="70">
        <v>1</v>
      </c>
      <c r="D281" s="68">
        <f>2.298+4.6+3.825+3.2+6.45+6.45+6.3+6.45+6.45+3.2+3.825+4.6+2.298</f>
        <v>59.946000000000012</v>
      </c>
      <c r="E281" s="68">
        <f t="shared" ref="E281:E289" si="11">0.6</f>
        <v>0.6</v>
      </c>
      <c r="F281" s="68">
        <v>7.4999999999999997E-2</v>
      </c>
      <c r="G281" s="67">
        <f t="shared" si="10"/>
        <v>2.7</v>
      </c>
      <c r="H281" s="929" t="s">
        <v>1306</v>
      </c>
      <c r="J281" s="686"/>
    </row>
    <row r="282" spans="1:10" ht="18" customHeight="1">
      <c r="A282" s="354" t="s">
        <v>1306</v>
      </c>
      <c r="B282" s="406" t="s">
        <v>1340</v>
      </c>
      <c r="C282" s="70">
        <v>1</v>
      </c>
      <c r="D282" s="68">
        <f>2.025+4.6+3.775+6.45+6.4+6.4+3.25+3.175+4.125+5.187+6.622</f>
        <v>52.008999999999993</v>
      </c>
      <c r="E282" s="68">
        <f t="shared" si="11"/>
        <v>0.6</v>
      </c>
      <c r="F282" s="68">
        <v>7.4999999999999997E-2</v>
      </c>
      <c r="G282" s="67">
        <f t="shared" si="10"/>
        <v>2.34</v>
      </c>
      <c r="H282" s="929" t="s">
        <v>1306</v>
      </c>
      <c r="J282" s="686"/>
    </row>
    <row r="283" spans="1:10" ht="18" customHeight="1">
      <c r="A283" s="354" t="s">
        <v>1306</v>
      </c>
      <c r="B283" s="406" t="s">
        <v>1341</v>
      </c>
      <c r="C283" s="70">
        <v>1</v>
      </c>
      <c r="D283" s="68">
        <f>2.025+4.6+3.775+6.45+6.4+6.4+3.25+3.175+4.125+5.187+6.622</f>
        <v>52.008999999999993</v>
      </c>
      <c r="E283" s="68">
        <f t="shared" si="11"/>
        <v>0.6</v>
      </c>
      <c r="F283" s="68">
        <v>7.4999999999999997E-2</v>
      </c>
      <c r="G283" s="67">
        <f t="shared" si="10"/>
        <v>2.34</v>
      </c>
      <c r="H283" s="929" t="s">
        <v>1306</v>
      </c>
      <c r="J283" s="686"/>
    </row>
    <row r="284" spans="1:10" ht="18" customHeight="1">
      <c r="A284" s="354" t="s">
        <v>1306</v>
      </c>
      <c r="B284" s="406" t="s">
        <v>1342</v>
      </c>
      <c r="C284" s="70">
        <v>1</v>
      </c>
      <c r="D284" s="68">
        <v>2.4620000000000002</v>
      </c>
      <c r="E284" s="68">
        <f t="shared" si="11"/>
        <v>0.6</v>
      </c>
      <c r="F284" s="68">
        <v>7.4999999999999997E-2</v>
      </c>
      <c r="G284" s="67">
        <f t="shared" si="10"/>
        <v>0.11</v>
      </c>
      <c r="H284" s="929" t="s">
        <v>1306</v>
      </c>
      <c r="J284" s="686"/>
    </row>
    <row r="285" spans="1:10" ht="18" customHeight="1">
      <c r="A285" s="354" t="s">
        <v>1306</v>
      </c>
      <c r="B285" s="607" t="s">
        <v>1195</v>
      </c>
      <c r="C285" s="70"/>
      <c r="D285" s="68"/>
      <c r="E285" s="68"/>
      <c r="F285" s="68"/>
      <c r="G285" s="67" t="str">
        <f t="shared" si="10"/>
        <v xml:space="preserve"> </v>
      </c>
      <c r="H285" s="929" t="s">
        <v>1306</v>
      </c>
      <c r="J285" s="686"/>
    </row>
    <row r="286" spans="1:10" ht="18" customHeight="1">
      <c r="A286" s="354" t="s">
        <v>1306</v>
      </c>
      <c r="B286" s="406" t="s">
        <v>1196</v>
      </c>
      <c r="C286" s="70">
        <v>1</v>
      </c>
      <c r="D286" s="68">
        <f>6.45+6.45+6.3+6.45+6.45+1.6+1.6</f>
        <v>35.300000000000004</v>
      </c>
      <c r="E286" s="68">
        <f t="shared" si="11"/>
        <v>0.6</v>
      </c>
      <c r="F286" s="68">
        <v>7.4999999999999997E-2</v>
      </c>
      <c r="G286" s="67">
        <f t="shared" si="10"/>
        <v>1.59</v>
      </c>
      <c r="H286" s="929" t="s">
        <v>1306</v>
      </c>
      <c r="J286" s="686"/>
    </row>
    <row r="287" spans="1:10" ht="18" customHeight="1">
      <c r="A287" s="354" t="s">
        <v>1306</v>
      </c>
      <c r="B287" s="406" t="s">
        <v>1197</v>
      </c>
      <c r="C287" s="70">
        <v>1</v>
      </c>
      <c r="D287" s="68">
        <f>32.1+1.475+1.825+1.475+1.825</f>
        <v>38.70000000000001</v>
      </c>
      <c r="E287" s="68">
        <f t="shared" si="11"/>
        <v>0.6</v>
      </c>
      <c r="F287" s="68">
        <v>7.4999999999999997E-2</v>
      </c>
      <c r="G287" s="67">
        <f t="shared" si="10"/>
        <v>1.74</v>
      </c>
      <c r="H287" s="929" t="s">
        <v>1306</v>
      </c>
      <c r="J287" s="686"/>
    </row>
    <row r="288" spans="1:10" ht="18" customHeight="1">
      <c r="A288" s="354" t="s">
        <v>1306</v>
      </c>
      <c r="B288" s="63" t="s">
        <v>1198</v>
      </c>
      <c r="C288" s="70">
        <v>1</v>
      </c>
      <c r="D288" s="68">
        <f>1.6+1.775+6.4+6.4+1.475+1.825</f>
        <v>19.475000000000001</v>
      </c>
      <c r="E288" s="68">
        <f t="shared" si="11"/>
        <v>0.6</v>
      </c>
      <c r="F288" s="68">
        <v>7.4999999999999997E-2</v>
      </c>
      <c r="G288" s="67">
        <f t="shared" si="10"/>
        <v>0.88</v>
      </c>
      <c r="H288" s="929" t="s">
        <v>1306</v>
      </c>
      <c r="J288" s="686"/>
    </row>
    <row r="289" spans="1:10" ht="18" customHeight="1">
      <c r="A289" s="354" t="s">
        <v>1306</v>
      </c>
      <c r="B289" s="63" t="s">
        <v>1199</v>
      </c>
      <c r="C289" s="70">
        <v>1</v>
      </c>
      <c r="D289" s="68">
        <f>1.6+1.775+6.4+6.4+1.475+1.825</f>
        <v>19.475000000000001</v>
      </c>
      <c r="E289" s="68">
        <f t="shared" si="11"/>
        <v>0.6</v>
      </c>
      <c r="F289" s="68">
        <v>7.4999999999999997E-2</v>
      </c>
      <c r="G289" s="67">
        <f t="shared" si="10"/>
        <v>0.88</v>
      </c>
      <c r="H289" s="929" t="s">
        <v>1306</v>
      </c>
      <c r="J289" s="686"/>
    </row>
    <row r="290" spans="1:10" ht="18" customHeight="1">
      <c r="A290" s="354" t="s">
        <v>1306</v>
      </c>
      <c r="B290" s="64" t="s">
        <v>1354</v>
      </c>
      <c r="C290" s="70"/>
      <c r="D290" s="68"/>
      <c r="E290" s="68"/>
      <c r="F290" s="68"/>
      <c r="G290" s="67" t="str">
        <f t="shared" si="10"/>
        <v xml:space="preserve"> </v>
      </c>
      <c r="H290" s="929" t="s">
        <v>1306</v>
      </c>
      <c r="J290" s="686"/>
    </row>
    <row r="291" spans="1:10" ht="18" customHeight="1">
      <c r="A291" s="354" t="s">
        <v>1306</v>
      </c>
      <c r="B291" s="63" t="s">
        <v>1349</v>
      </c>
      <c r="C291" s="70">
        <v>2</v>
      </c>
      <c r="D291" s="68">
        <f>6.45+6.45+6.3+6.45+6.45+2</f>
        <v>34.1</v>
      </c>
      <c r="E291" s="68">
        <v>0.38</v>
      </c>
      <c r="F291" s="68">
        <v>7.4999999999999997E-2</v>
      </c>
      <c r="G291" s="67">
        <f t="shared" si="10"/>
        <v>1.94</v>
      </c>
      <c r="H291" s="929" t="s">
        <v>1306</v>
      </c>
      <c r="J291" s="686"/>
    </row>
    <row r="292" spans="1:10" ht="18" customHeight="1">
      <c r="A292" s="354" t="s">
        <v>1306</v>
      </c>
      <c r="B292" s="63" t="s">
        <v>1350</v>
      </c>
      <c r="C292" s="70">
        <v>2</v>
      </c>
      <c r="D292" s="68">
        <f>6.4+6.4+1.475+1.825</f>
        <v>16.100000000000001</v>
      </c>
      <c r="E292" s="68">
        <v>0.38</v>
      </c>
      <c r="F292" s="68">
        <v>7.4999999999999997E-2</v>
      </c>
      <c r="G292" s="67">
        <f t="shared" si="10"/>
        <v>0.92</v>
      </c>
      <c r="H292" s="929" t="s">
        <v>1306</v>
      </c>
      <c r="J292" s="686"/>
    </row>
    <row r="293" spans="1:10" ht="18" customHeight="1">
      <c r="A293" s="354" t="s">
        <v>1306</v>
      </c>
      <c r="B293" s="63" t="s">
        <v>1351</v>
      </c>
      <c r="C293" s="70">
        <v>2</v>
      </c>
      <c r="D293" s="68">
        <f>1.775+6.4+4.925</f>
        <v>13.100000000000001</v>
      </c>
      <c r="E293" s="68">
        <v>0.38</v>
      </c>
      <c r="F293" s="68">
        <v>7.4999999999999997E-2</v>
      </c>
      <c r="G293" s="67">
        <f t="shared" si="10"/>
        <v>0.75</v>
      </c>
      <c r="H293" s="929" t="s">
        <v>1306</v>
      </c>
      <c r="J293" s="686"/>
    </row>
    <row r="294" spans="1:10" ht="18" customHeight="1">
      <c r="A294" s="354" t="s">
        <v>1306</v>
      </c>
      <c r="B294" s="63" t="s">
        <v>1352</v>
      </c>
      <c r="C294" s="70">
        <v>2</v>
      </c>
      <c r="D294" s="68">
        <v>10.5</v>
      </c>
      <c r="E294" s="68">
        <v>0.38</v>
      </c>
      <c r="F294" s="68">
        <v>7.4999999999999997E-2</v>
      </c>
      <c r="G294" s="67">
        <f t="shared" si="10"/>
        <v>0.6</v>
      </c>
      <c r="H294" s="929" t="s">
        <v>1306</v>
      </c>
      <c r="J294" s="686"/>
    </row>
    <row r="295" spans="1:10" ht="18" customHeight="1">
      <c r="A295" s="354" t="s">
        <v>1306</v>
      </c>
      <c r="B295" s="63" t="s">
        <v>1353</v>
      </c>
      <c r="C295" s="70">
        <v>2</v>
      </c>
      <c r="D295" s="68">
        <f>1.6+1.775+6.4+6.4+1.475+1.825</f>
        <v>19.475000000000001</v>
      </c>
      <c r="E295" s="68">
        <v>0.38</v>
      </c>
      <c r="F295" s="68">
        <v>7.4999999999999997E-2</v>
      </c>
      <c r="G295" s="67">
        <f t="shared" si="10"/>
        <v>1.1100000000000001</v>
      </c>
      <c r="H295" s="929" t="s">
        <v>1306</v>
      </c>
      <c r="J295" s="686"/>
    </row>
    <row r="296" spans="1:10" s="357" customFormat="1" ht="18" customHeight="1">
      <c r="A296" s="354" t="s">
        <v>1306</v>
      </c>
      <c r="B296" s="382" t="s">
        <v>2232</v>
      </c>
      <c r="C296" s="383"/>
      <c r="D296" s="384"/>
      <c r="E296" s="384"/>
      <c r="F296" s="384"/>
      <c r="G296" s="67" t="str">
        <f t="shared" si="10"/>
        <v xml:space="preserve"> </v>
      </c>
      <c r="H296" s="936"/>
      <c r="I296" s="1232"/>
      <c r="J296" s="700"/>
    </row>
    <row r="297" spans="1:10" s="357" customFormat="1" ht="18" customHeight="1">
      <c r="A297" s="354" t="s">
        <v>1306</v>
      </c>
      <c r="B297" s="390" t="s">
        <v>1349</v>
      </c>
      <c r="C297" s="383">
        <v>1</v>
      </c>
      <c r="D297" s="384">
        <f>6.45+6.45+6.3+6.45+6.45+2</f>
        <v>34.1</v>
      </c>
      <c r="E297" s="384">
        <v>1.2</v>
      </c>
      <c r="F297" s="68">
        <v>7.4999999999999997E-2</v>
      </c>
      <c r="G297" s="67">
        <f t="shared" si="10"/>
        <v>3.07</v>
      </c>
      <c r="H297" s="936" t="s">
        <v>1306</v>
      </c>
      <c r="I297" s="1232"/>
      <c r="J297" s="700"/>
    </row>
    <row r="298" spans="1:10" s="357" customFormat="1" ht="18" customHeight="1">
      <c r="A298" s="354" t="s">
        <v>1306</v>
      </c>
      <c r="B298" s="390" t="s">
        <v>1350</v>
      </c>
      <c r="C298" s="383">
        <v>1</v>
      </c>
      <c r="D298" s="384">
        <f>6.4+6.4+1.475+1.825</f>
        <v>16.100000000000001</v>
      </c>
      <c r="E298" s="384">
        <v>1.2</v>
      </c>
      <c r="F298" s="68">
        <v>7.4999999999999997E-2</v>
      </c>
      <c r="G298" s="67">
        <f t="shared" si="10"/>
        <v>1.45</v>
      </c>
      <c r="H298" s="936" t="s">
        <v>1306</v>
      </c>
      <c r="I298" s="1232"/>
      <c r="J298" s="700"/>
    </row>
    <row r="299" spans="1:10" s="357" customFormat="1" ht="18" customHeight="1">
      <c r="A299" s="354" t="s">
        <v>1306</v>
      </c>
      <c r="B299" s="390" t="s">
        <v>1351</v>
      </c>
      <c r="C299" s="383">
        <v>1</v>
      </c>
      <c r="D299" s="384">
        <f>1.775+6.4+4.925</f>
        <v>13.100000000000001</v>
      </c>
      <c r="E299" s="384">
        <v>1.5</v>
      </c>
      <c r="F299" s="68">
        <v>7.4999999999999997E-2</v>
      </c>
      <c r="G299" s="67">
        <f t="shared" si="10"/>
        <v>1.47</v>
      </c>
      <c r="H299" s="936" t="s">
        <v>1306</v>
      </c>
      <c r="I299" s="1232"/>
      <c r="J299" s="700"/>
    </row>
    <row r="300" spans="1:10" s="357" customFormat="1" ht="18" customHeight="1">
      <c r="A300" s="354" t="s">
        <v>1306</v>
      </c>
      <c r="B300" s="390" t="s">
        <v>1352</v>
      </c>
      <c r="C300" s="383">
        <v>1</v>
      </c>
      <c r="D300" s="384">
        <v>10.5</v>
      </c>
      <c r="E300" s="384">
        <v>1.2</v>
      </c>
      <c r="F300" s="68">
        <v>7.4999999999999997E-2</v>
      </c>
      <c r="G300" s="67">
        <f t="shared" si="10"/>
        <v>0.95</v>
      </c>
      <c r="H300" s="936" t="s">
        <v>1306</v>
      </c>
      <c r="I300" s="1232"/>
      <c r="J300" s="700"/>
    </row>
    <row r="301" spans="1:10" s="357" customFormat="1" ht="18" customHeight="1">
      <c r="A301" s="354" t="s">
        <v>1306</v>
      </c>
      <c r="B301" s="390" t="s">
        <v>1353</v>
      </c>
      <c r="C301" s="383">
        <v>1</v>
      </c>
      <c r="D301" s="384">
        <f>1.6+1.775+6.4+6.4+1.475+1.825</f>
        <v>19.475000000000001</v>
      </c>
      <c r="E301" s="384">
        <v>1.2</v>
      </c>
      <c r="F301" s="68">
        <v>7.4999999999999997E-2</v>
      </c>
      <c r="G301" s="67">
        <f t="shared" si="10"/>
        <v>1.75</v>
      </c>
      <c r="H301" s="936" t="s">
        <v>1306</v>
      </c>
      <c r="I301" s="1232"/>
      <c r="J301" s="700"/>
    </row>
    <row r="302" spans="1:10" ht="18" customHeight="1">
      <c r="A302" s="354" t="s">
        <v>1442</v>
      </c>
      <c r="B302" s="64" t="s">
        <v>1445</v>
      </c>
      <c r="C302" s="70"/>
      <c r="D302" s="68"/>
      <c r="E302" s="68"/>
      <c r="F302" s="68"/>
      <c r="G302" s="67" t="str">
        <f t="shared" si="10"/>
        <v xml:space="preserve"> </v>
      </c>
      <c r="H302" s="929"/>
      <c r="I302" s="1133"/>
    </row>
    <row r="303" spans="1:10" ht="18" customHeight="1">
      <c r="A303" s="354" t="s">
        <v>1442</v>
      </c>
      <c r="B303" s="63" t="s">
        <v>942</v>
      </c>
      <c r="C303" s="404">
        <v>1</v>
      </c>
      <c r="D303" s="405">
        <f>6.45+6.4+6.4+3.25-1.15-1.15</f>
        <v>20.200000000000003</v>
      </c>
      <c r="E303" s="405">
        <v>0.38</v>
      </c>
      <c r="F303" s="68">
        <v>7.4999999999999997E-2</v>
      </c>
      <c r="G303" s="67">
        <f t="shared" si="10"/>
        <v>0.57999999999999996</v>
      </c>
      <c r="H303" s="929"/>
      <c r="I303" s="1133"/>
    </row>
    <row r="304" spans="1:10" ht="18" customHeight="1">
      <c r="A304" s="354" t="s">
        <v>1442</v>
      </c>
      <c r="B304" s="63" t="s">
        <v>1086</v>
      </c>
      <c r="C304" s="404">
        <v>1</v>
      </c>
      <c r="D304" s="405">
        <f>6.45+6.4+6.4+3.25-1.15-1.15</f>
        <v>20.200000000000003</v>
      </c>
      <c r="E304" s="405">
        <v>0.38</v>
      </c>
      <c r="F304" s="68">
        <v>7.4999999999999997E-2</v>
      </c>
      <c r="G304" s="67">
        <f t="shared" si="10"/>
        <v>0.57999999999999996</v>
      </c>
      <c r="H304" s="929"/>
      <c r="I304" s="1133"/>
    </row>
    <row r="305" spans="1:9" ht="18" customHeight="1">
      <c r="A305" s="354" t="s">
        <v>1442</v>
      </c>
      <c r="B305" s="63" t="s">
        <v>1291</v>
      </c>
      <c r="C305" s="404">
        <v>2</v>
      </c>
      <c r="D305" s="405">
        <f>2.2+2</f>
        <v>4.2</v>
      </c>
      <c r="E305" s="405">
        <v>0.38</v>
      </c>
      <c r="F305" s="68">
        <v>7.4999999999999997E-2</v>
      </c>
      <c r="G305" s="67">
        <f t="shared" si="10"/>
        <v>0.24</v>
      </c>
      <c r="H305" s="929"/>
      <c r="I305" s="1133"/>
    </row>
    <row r="306" spans="1:9" ht="18" customHeight="1">
      <c r="A306" s="354" t="s">
        <v>1442</v>
      </c>
      <c r="B306" s="63" t="s">
        <v>1292</v>
      </c>
      <c r="C306" s="404">
        <v>2</v>
      </c>
      <c r="D306" s="405">
        <f>2.2+2</f>
        <v>4.2</v>
      </c>
      <c r="E306" s="405">
        <v>0.38</v>
      </c>
      <c r="F306" s="68">
        <v>7.4999999999999997E-2</v>
      </c>
      <c r="G306" s="67">
        <f t="shared" si="10"/>
        <v>0.24</v>
      </c>
      <c r="H306" s="929"/>
      <c r="I306" s="1133"/>
    </row>
    <row r="307" spans="1:9" ht="18" customHeight="1">
      <c r="A307" s="354" t="s">
        <v>1442</v>
      </c>
      <c r="B307" s="63" t="s">
        <v>1293</v>
      </c>
      <c r="C307" s="404">
        <v>1</v>
      </c>
      <c r="D307" s="567">
        <v>10.91</v>
      </c>
      <c r="E307" s="405">
        <v>0.38</v>
      </c>
      <c r="F307" s="68">
        <v>7.4999999999999997E-2</v>
      </c>
      <c r="G307" s="67">
        <f t="shared" ref="G307:G339" si="12">IF(C307&lt;&gt;0,ROUND(PRODUCT(D307:F307)*C307,2)," ")</f>
        <v>0.31</v>
      </c>
      <c r="H307" s="929"/>
      <c r="I307" s="1133"/>
    </row>
    <row r="308" spans="1:9" ht="18" customHeight="1">
      <c r="A308" s="354" t="s">
        <v>1442</v>
      </c>
      <c r="B308" s="63" t="s">
        <v>1294</v>
      </c>
      <c r="C308" s="404">
        <v>1</v>
      </c>
      <c r="D308" s="567">
        <v>10.91</v>
      </c>
      <c r="E308" s="405">
        <v>0.38</v>
      </c>
      <c r="F308" s="68">
        <v>7.4999999999999997E-2</v>
      </c>
      <c r="G308" s="67">
        <f t="shared" si="12"/>
        <v>0.31</v>
      </c>
      <c r="H308" s="929"/>
      <c r="I308" s="1133"/>
    </row>
    <row r="309" spans="1:9" ht="18" customHeight="1">
      <c r="A309" s="354" t="s">
        <v>1442</v>
      </c>
      <c r="B309" s="63" t="s">
        <v>1295</v>
      </c>
      <c r="C309" s="404">
        <v>1</v>
      </c>
      <c r="D309" s="567">
        <v>14.275</v>
      </c>
      <c r="E309" s="405">
        <v>0.38</v>
      </c>
      <c r="F309" s="68">
        <v>7.4999999999999997E-2</v>
      </c>
      <c r="G309" s="67">
        <f t="shared" si="12"/>
        <v>0.41</v>
      </c>
      <c r="H309" s="929"/>
      <c r="I309" s="1133"/>
    </row>
    <row r="310" spans="1:9" ht="18" customHeight="1">
      <c r="A310" s="354" t="s">
        <v>1442</v>
      </c>
      <c r="B310" s="63" t="s">
        <v>1296</v>
      </c>
      <c r="C310" s="404">
        <v>1</v>
      </c>
      <c r="D310" s="567">
        <v>14.275</v>
      </c>
      <c r="E310" s="405">
        <v>0.38</v>
      </c>
      <c r="F310" s="68">
        <v>7.4999999999999997E-2</v>
      </c>
      <c r="G310" s="67">
        <f t="shared" si="12"/>
        <v>0.41</v>
      </c>
      <c r="H310" s="929"/>
      <c r="I310" s="1133"/>
    </row>
    <row r="311" spans="1:9" ht="18" customHeight="1">
      <c r="A311" s="354" t="s">
        <v>1442</v>
      </c>
      <c r="B311" s="63" t="s">
        <v>1113</v>
      </c>
      <c r="C311" s="404">
        <v>1</v>
      </c>
      <c r="D311" s="405">
        <f>3.2+6.45+3.25-1.025-1.075</f>
        <v>10.8</v>
      </c>
      <c r="E311" s="405">
        <v>0.38</v>
      </c>
      <c r="F311" s="68">
        <v>7.4999999999999997E-2</v>
      </c>
      <c r="G311" s="67">
        <f t="shared" si="12"/>
        <v>0.31</v>
      </c>
      <c r="H311" s="929"/>
      <c r="I311" s="1133"/>
    </row>
    <row r="312" spans="1:9" ht="18" customHeight="1">
      <c r="A312" s="354" t="s">
        <v>1442</v>
      </c>
      <c r="B312" s="63" t="s">
        <v>1297</v>
      </c>
      <c r="C312" s="404">
        <v>1</v>
      </c>
      <c r="D312" s="405">
        <f>3.2+6.45+3.25-1.025-1.075</f>
        <v>10.8</v>
      </c>
      <c r="E312" s="405">
        <v>0.38</v>
      </c>
      <c r="F312" s="68">
        <v>7.4999999999999997E-2</v>
      </c>
      <c r="G312" s="67">
        <f t="shared" si="12"/>
        <v>0.31</v>
      </c>
      <c r="H312" s="929"/>
      <c r="I312" s="1133"/>
    </row>
    <row r="313" spans="1:9" ht="18" customHeight="1">
      <c r="A313" s="354" t="s">
        <v>1442</v>
      </c>
      <c r="B313" s="63" t="s">
        <v>1111</v>
      </c>
      <c r="C313" s="404">
        <v>1</v>
      </c>
      <c r="D313" s="405">
        <f>3.2+6.45+6.45-1.025-1.05</f>
        <v>14.025</v>
      </c>
      <c r="E313" s="405">
        <v>0.38</v>
      </c>
      <c r="F313" s="68">
        <v>7.4999999999999997E-2</v>
      </c>
      <c r="G313" s="67">
        <f t="shared" si="12"/>
        <v>0.4</v>
      </c>
      <c r="H313" s="929"/>
      <c r="I313" s="1133"/>
    </row>
    <row r="314" spans="1:9" ht="18" customHeight="1">
      <c r="A314" s="354" t="s">
        <v>1442</v>
      </c>
      <c r="B314" s="63" t="s">
        <v>1112</v>
      </c>
      <c r="C314" s="404">
        <v>1</v>
      </c>
      <c r="D314" s="405">
        <f>3.2+6.45+6.45-1.025-1.05</f>
        <v>14.025</v>
      </c>
      <c r="E314" s="405">
        <v>0.38</v>
      </c>
      <c r="F314" s="68">
        <v>7.4999999999999997E-2</v>
      </c>
      <c r="G314" s="67">
        <f t="shared" si="12"/>
        <v>0.4</v>
      </c>
      <c r="H314" s="929"/>
      <c r="I314" s="1133"/>
    </row>
    <row r="315" spans="1:9" ht="18" customHeight="1">
      <c r="A315" s="354" t="s">
        <v>1442</v>
      </c>
      <c r="B315" s="63" t="s">
        <v>1363</v>
      </c>
      <c r="C315" s="404">
        <v>1</v>
      </c>
      <c r="D315" s="405">
        <v>6.3</v>
      </c>
      <c r="E315" s="405">
        <v>0.38</v>
      </c>
      <c r="F315" s="68">
        <v>7.4999999999999997E-2</v>
      </c>
      <c r="G315" s="67">
        <f t="shared" si="12"/>
        <v>0.18</v>
      </c>
      <c r="H315" s="929"/>
      <c r="I315" s="1133"/>
    </row>
    <row r="316" spans="1:9" ht="18" customHeight="1">
      <c r="A316" s="354" t="s">
        <v>1442</v>
      </c>
      <c r="B316" s="63" t="s">
        <v>1365</v>
      </c>
      <c r="C316" s="568">
        <f>0*2</f>
        <v>0</v>
      </c>
      <c r="D316" s="567">
        <v>3.1749999999999998</v>
      </c>
      <c r="E316" s="567">
        <v>0.38</v>
      </c>
      <c r="F316" s="567">
        <v>7.4999999999999997E-2</v>
      </c>
      <c r="G316" s="67" t="str">
        <f t="shared" si="12"/>
        <v xml:space="preserve"> </v>
      </c>
      <c r="H316" s="937"/>
      <c r="I316" s="1133"/>
    </row>
    <row r="317" spans="1:9" ht="18" customHeight="1">
      <c r="A317" s="354" t="s">
        <v>1442</v>
      </c>
      <c r="B317" s="64" t="s">
        <v>1446</v>
      </c>
      <c r="C317" s="70"/>
      <c r="D317" s="68"/>
      <c r="E317" s="68"/>
      <c r="F317" s="68"/>
      <c r="G317" s="67" t="str">
        <f t="shared" si="12"/>
        <v xml:space="preserve"> </v>
      </c>
      <c r="H317" s="929"/>
      <c r="I317" s="1133"/>
    </row>
    <row r="318" spans="1:9" ht="18" customHeight="1">
      <c r="A318" s="354" t="s">
        <v>1442</v>
      </c>
      <c r="B318" s="63" t="s">
        <v>942</v>
      </c>
      <c r="C318" s="404">
        <v>1</v>
      </c>
      <c r="D318" s="405">
        <f>6.45+6.4+6.4+3.25-1.15-1.15</f>
        <v>20.200000000000003</v>
      </c>
      <c r="E318" s="567">
        <v>0.6</v>
      </c>
      <c r="F318" s="68">
        <v>7.4999999999999997E-2</v>
      </c>
      <c r="G318" s="67">
        <f t="shared" si="12"/>
        <v>0.91</v>
      </c>
      <c r="H318" s="929"/>
      <c r="I318" s="1133"/>
    </row>
    <row r="319" spans="1:9" ht="18" customHeight="1">
      <c r="A319" s="354" t="s">
        <v>1442</v>
      </c>
      <c r="B319" s="63" t="s">
        <v>1086</v>
      </c>
      <c r="C319" s="404">
        <v>1</v>
      </c>
      <c r="D319" s="405">
        <f>6.45+6.4+6.4+3.25-1.15-1.15</f>
        <v>20.200000000000003</v>
      </c>
      <c r="E319" s="567">
        <v>0.6</v>
      </c>
      <c r="F319" s="68">
        <v>7.4999999999999997E-2</v>
      </c>
      <c r="G319" s="67">
        <f t="shared" si="12"/>
        <v>0.91</v>
      </c>
      <c r="H319" s="929"/>
      <c r="I319" s="1133"/>
    </row>
    <row r="320" spans="1:9" ht="18" customHeight="1">
      <c r="A320" s="354" t="s">
        <v>1442</v>
      </c>
      <c r="B320" s="63" t="s">
        <v>1291</v>
      </c>
      <c r="C320" s="404">
        <v>2</v>
      </c>
      <c r="D320" s="405">
        <f>2.2+2</f>
        <v>4.2</v>
      </c>
      <c r="E320" s="567">
        <v>0.6</v>
      </c>
      <c r="F320" s="68">
        <v>7.4999999999999997E-2</v>
      </c>
      <c r="G320" s="67">
        <f t="shared" si="12"/>
        <v>0.38</v>
      </c>
      <c r="H320" s="929"/>
      <c r="I320" s="1133"/>
    </row>
    <row r="321" spans="1:9" ht="18" customHeight="1">
      <c r="A321" s="354" t="s">
        <v>1442</v>
      </c>
      <c r="B321" s="63" t="s">
        <v>1292</v>
      </c>
      <c r="C321" s="404">
        <v>2</v>
      </c>
      <c r="D321" s="405">
        <f>2.2+2</f>
        <v>4.2</v>
      </c>
      <c r="E321" s="567">
        <v>0.6</v>
      </c>
      <c r="F321" s="68">
        <v>7.4999999999999997E-2</v>
      </c>
      <c r="G321" s="67">
        <f t="shared" si="12"/>
        <v>0.38</v>
      </c>
      <c r="H321" s="929"/>
      <c r="I321" s="1133"/>
    </row>
    <row r="322" spans="1:9" ht="18" customHeight="1">
      <c r="A322" s="354" t="s">
        <v>1442</v>
      </c>
      <c r="B322" s="63" t="s">
        <v>1293</v>
      </c>
      <c r="C322" s="404">
        <v>1</v>
      </c>
      <c r="D322" s="567">
        <v>10.91</v>
      </c>
      <c r="E322" s="567">
        <v>0.6</v>
      </c>
      <c r="F322" s="68">
        <v>7.4999999999999997E-2</v>
      </c>
      <c r="G322" s="67">
        <f t="shared" si="12"/>
        <v>0.49</v>
      </c>
      <c r="H322" s="929"/>
      <c r="I322" s="1133"/>
    </row>
    <row r="323" spans="1:9" ht="18" customHeight="1">
      <c r="A323" s="354" t="s">
        <v>1442</v>
      </c>
      <c r="B323" s="63" t="s">
        <v>1294</v>
      </c>
      <c r="C323" s="404">
        <v>1</v>
      </c>
      <c r="D323" s="567">
        <v>10.91</v>
      </c>
      <c r="E323" s="567">
        <v>0.6</v>
      </c>
      <c r="F323" s="68">
        <v>7.4999999999999997E-2</v>
      </c>
      <c r="G323" s="67">
        <f t="shared" si="12"/>
        <v>0.49</v>
      </c>
      <c r="H323" s="929"/>
      <c r="I323" s="1133"/>
    </row>
    <row r="324" spans="1:9" ht="18" customHeight="1">
      <c r="A324" s="354" t="s">
        <v>1442</v>
      </c>
      <c r="B324" s="63" t="s">
        <v>1295</v>
      </c>
      <c r="C324" s="404">
        <v>1</v>
      </c>
      <c r="D324" s="567">
        <v>14.275</v>
      </c>
      <c r="E324" s="567">
        <v>0.6</v>
      </c>
      <c r="F324" s="68">
        <v>7.4999999999999997E-2</v>
      </c>
      <c r="G324" s="67">
        <f t="shared" si="12"/>
        <v>0.64</v>
      </c>
      <c r="H324" s="929"/>
      <c r="I324" s="1133"/>
    </row>
    <row r="325" spans="1:9" ht="18" customHeight="1">
      <c r="A325" s="354" t="s">
        <v>1442</v>
      </c>
      <c r="B325" s="63" t="s">
        <v>1296</v>
      </c>
      <c r="C325" s="404">
        <v>1</v>
      </c>
      <c r="D325" s="567">
        <v>14.275</v>
      </c>
      <c r="E325" s="567">
        <v>0.6</v>
      </c>
      <c r="F325" s="68">
        <v>7.4999999999999997E-2</v>
      </c>
      <c r="G325" s="67">
        <f t="shared" si="12"/>
        <v>0.64</v>
      </c>
      <c r="H325" s="929"/>
      <c r="I325" s="1133"/>
    </row>
    <row r="326" spans="1:9" ht="18" customHeight="1">
      <c r="A326" s="354" t="s">
        <v>1442</v>
      </c>
      <c r="B326" s="63" t="s">
        <v>1113</v>
      </c>
      <c r="C326" s="404">
        <v>1</v>
      </c>
      <c r="D326" s="405">
        <f>3.2+6.45+3.25-1.025-1.075</f>
        <v>10.8</v>
      </c>
      <c r="E326" s="567">
        <v>0.6</v>
      </c>
      <c r="F326" s="68">
        <v>7.4999999999999997E-2</v>
      </c>
      <c r="G326" s="67">
        <f t="shared" si="12"/>
        <v>0.49</v>
      </c>
      <c r="H326" s="929"/>
      <c r="I326" s="1133"/>
    </row>
    <row r="327" spans="1:9" ht="18" customHeight="1">
      <c r="A327" s="354" t="s">
        <v>1442</v>
      </c>
      <c r="B327" s="63" t="s">
        <v>1297</v>
      </c>
      <c r="C327" s="404">
        <v>1</v>
      </c>
      <c r="D327" s="405">
        <f>3.2+6.45+3.25-1.025-1.075</f>
        <v>10.8</v>
      </c>
      <c r="E327" s="567">
        <v>0.6</v>
      </c>
      <c r="F327" s="68">
        <v>7.4999999999999997E-2</v>
      </c>
      <c r="G327" s="67">
        <f t="shared" si="12"/>
        <v>0.49</v>
      </c>
      <c r="H327" s="929"/>
      <c r="I327" s="1133"/>
    </row>
    <row r="328" spans="1:9" ht="18" customHeight="1">
      <c r="A328" s="354" t="s">
        <v>1442</v>
      </c>
      <c r="B328" s="63" t="s">
        <v>1111</v>
      </c>
      <c r="C328" s="404">
        <v>1</v>
      </c>
      <c r="D328" s="405">
        <f>3.2+6.45+6.45-1.025-1.05</f>
        <v>14.025</v>
      </c>
      <c r="E328" s="567">
        <v>0.6</v>
      </c>
      <c r="F328" s="68">
        <v>7.4999999999999997E-2</v>
      </c>
      <c r="G328" s="67">
        <f t="shared" si="12"/>
        <v>0.63</v>
      </c>
      <c r="H328" s="929"/>
      <c r="I328" s="1133"/>
    </row>
    <row r="329" spans="1:9" ht="18" customHeight="1">
      <c r="A329" s="354" t="s">
        <v>1442</v>
      </c>
      <c r="B329" s="63" t="s">
        <v>1112</v>
      </c>
      <c r="C329" s="404">
        <v>1</v>
      </c>
      <c r="D329" s="405">
        <f>3.2+6.45+6.45-1.025-1.05</f>
        <v>14.025</v>
      </c>
      <c r="E329" s="567">
        <v>0.6</v>
      </c>
      <c r="F329" s="68">
        <v>7.4999999999999997E-2</v>
      </c>
      <c r="G329" s="67">
        <f t="shared" si="12"/>
        <v>0.63</v>
      </c>
      <c r="H329" s="929"/>
      <c r="I329" s="1133"/>
    </row>
    <row r="330" spans="1:9" ht="18" customHeight="1">
      <c r="A330" s="354" t="s">
        <v>1442</v>
      </c>
      <c r="B330" s="63" t="s">
        <v>1363</v>
      </c>
      <c r="C330" s="404">
        <v>1</v>
      </c>
      <c r="D330" s="405">
        <v>6.3</v>
      </c>
      <c r="E330" s="567">
        <v>0.6</v>
      </c>
      <c r="F330" s="68">
        <v>7.4999999999999997E-2</v>
      </c>
      <c r="G330" s="67">
        <f t="shared" si="12"/>
        <v>0.28000000000000003</v>
      </c>
      <c r="H330" s="929"/>
      <c r="I330" s="1133"/>
    </row>
    <row r="331" spans="1:9" ht="18" customHeight="1">
      <c r="A331" s="354" t="s">
        <v>1442</v>
      </c>
      <c r="B331" s="63" t="s">
        <v>1365</v>
      </c>
      <c r="C331" s="568">
        <f>0*2</f>
        <v>0</v>
      </c>
      <c r="D331" s="567">
        <v>2.9929999999999999</v>
      </c>
      <c r="E331" s="567">
        <v>0.6</v>
      </c>
      <c r="F331" s="567">
        <v>7.4999999999999997E-2</v>
      </c>
      <c r="G331" s="67" t="str">
        <f t="shared" si="12"/>
        <v xml:space="preserve"> </v>
      </c>
      <c r="H331" s="937"/>
      <c r="I331" s="1133"/>
    </row>
    <row r="332" spans="1:9" ht="18" customHeight="1">
      <c r="A332" s="354" t="s">
        <v>1442</v>
      </c>
      <c r="B332" s="63" t="s">
        <v>1444</v>
      </c>
      <c r="C332" s="404">
        <v>1</v>
      </c>
      <c r="D332" s="405">
        <f>2.3+0.1+0.1</f>
        <v>2.5</v>
      </c>
      <c r="E332" s="405">
        <f>2.3+0.1+0.1</f>
        <v>2.5</v>
      </c>
      <c r="F332" s="68">
        <v>0.1</v>
      </c>
      <c r="G332" s="67">
        <f t="shared" si="12"/>
        <v>0.63</v>
      </c>
      <c r="H332" s="929"/>
      <c r="I332" s="1133"/>
    </row>
    <row r="333" spans="1:9" ht="18" customHeight="1">
      <c r="A333" s="354" t="s">
        <v>1442</v>
      </c>
      <c r="B333" s="63" t="s">
        <v>1444</v>
      </c>
      <c r="C333" s="404">
        <v>1</v>
      </c>
      <c r="D333" s="405">
        <f>2.4+0.1+0.1</f>
        <v>2.6</v>
      </c>
      <c r="E333" s="405">
        <f>3.6+0.1+0.1</f>
        <v>3.8000000000000003</v>
      </c>
      <c r="F333" s="68">
        <v>0.1</v>
      </c>
      <c r="G333" s="67">
        <f t="shared" si="12"/>
        <v>0.99</v>
      </c>
      <c r="H333" s="929"/>
    </row>
    <row r="334" spans="1:9" s="488" customFormat="1" ht="18" customHeight="1">
      <c r="A334" s="354" t="s">
        <v>1442</v>
      </c>
      <c r="B334" s="80" t="s">
        <v>1773</v>
      </c>
      <c r="C334" s="578">
        <v>1</v>
      </c>
      <c r="D334" s="253">
        <v>11.5</v>
      </c>
      <c r="E334" s="576">
        <v>10.97</v>
      </c>
      <c r="F334" s="433">
        <v>7.4999999999999997E-2</v>
      </c>
      <c r="G334" s="67">
        <f t="shared" si="12"/>
        <v>9.4600000000000009</v>
      </c>
      <c r="H334" s="938"/>
      <c r="I334" s="1229"/>
    </row>
    <row r="335" spans="1:9" s="488" customFormat="1" ht="18" customHeight="1">
      <c r="A335" s="354" t="s">
        <v>1442</v>
      </c>
      <c r="B335" s="63" t="s">
        <v>1761</v>
      </c>
      <c r="C335" s="578">
        <v>1</v>
      </c>
      <c r="D335" s="579">
        <v>20</v>
      </c>
      <c r="E335" s="253">
        <v>6</v>
      </c>
      <c r="F335" s="433">
        <v>7.4999999999999997E-2</v>
      </c>
      <c r="G335" s="67">
        <f t="shared" si="12"/>
        <v>9</v>
      </c>
      <c r="H335" s="938"/>
      <c r="I335" s="1229"/>
    </row>
    <row r="336" spans="1:9" s="488" customFormat="1" ht="24.75" customHeight="1">
      <c r="A336" s="354" t="s">
        <v>1442</v>
      </c>
      <c r="B336" s="63" t="s">
        <v>1619</v>
      </c>
      <c r="C336" s="578">
        <v>2</v>
      </c>
      <c r="D336" s="579">
        <v>4.625</v>
      </c>
      <c r="E336" s="253">
        <v>1</v>
      </c>
      <c r="F336" s="433">
        <v>7.4999999999999997E-2</v>
      </c>
      <c r="G336" s="67">
        <f t="shared" si="12"/>
        <v>0.69</v>
      </c>
      <c r="H336" s="938"/>
      <c r="I336" s="1229"/>
    </row>
    <row r="337" spans="1:9" s="494" customFormat="1" ht="18" customHeight="1">
      <c r="A337" s="354" t="s">
        <v>1442</v>
      </c>
      <c r="B337" s="63"/>
      <c r="C337" s="578">
        <v>2</v>
      </c>
      <c r="D337" s="579">
        <v>3.5750000000000002</v>
      </c>
      <c r="E337" s="253">
        <v>1</v>
      </c>
      <c r="F337" s="433">
        <v>7.4999999999999997E-2</v>
      </c>
      <c r="G337" s="67">
        <f t="shared" si="12"/>
        <v>0.54</v>
      </c>
      <c r="H337" s="938"/>
      <c r="I337" s="1230"/>
    </row>
    <row r="338" spans="1:9" s="494" customFormat="1" ht="18" customHeight="1">
      <c r="A338" s="354" t="s">
        <v>1442</v>
      </c>
      <c r="B338" s="63" t="s">
        <v>1620</v>
      </c>
      <c r="C338" s="578">
        <v>2</v>
      </c>
      <c r="D338" s="579">
        <v>4.625</v>
      </c>
      <c r="E338" s="579">
        <v>0.38</v>
      </c>
      <c r="F338" s="433">
        <v>7.4999999999999997E-2</v>
      </c>
      <c r="G338" s="67">
        <f t="shared" si="12"/>
        <v>0.26</v>
      </c>
      <c r="H338" s="929"/>
      <c r="I338" s="1230"/>
    </row>
    <row r="339" spans="1:9" s="494" customFormat="1" ht="18" customHeight="1">
      <c r="A339" s="354" t="s">
        <v>1442</v>
      </c>
      <c r="B339" s="63"/>
      <c r="C339" s="578">
        <v>2</v>
      </c>
      <c r="D339" s="579">
        <v>3.5750000000000002</v>
      </c>
      <c r="E339" s="579">
        <v>0.38</v>
      </c>
      <c r="F339" s="433">
        <v>7.4999999999999997E-2</v>
      </c>
      <c r="G339" s="67">
        <f t="shared" si="12"/>
        <v>0.2</v>
      </c>
      <c r="H339" s="929"/>
      <c r="I339" s="1230"/>
    </row>
    <row r="340" spans="1:9" ht="14.25">
      <c r="A340" s="380"/>
      <c r="B340" s="874" t="s">
        <v>2188</v>
      </c>
      <c r="C340" s="841"/>
      <c r="D340" s="842"/>
      <c r="E340" s="842"/>
      <c r="F340" s="713"/>
      <c r="G340" s="842">
        <f>SUM(G116:G339)</f>
        <v>309.24000000000007</v>
      </c>
      <c r="H340" s="945" t="s">
        <v>347</v>
      </c>
      <c r="I340" s="1226" t="s">
        <v>334</v>
      </c>
    </row>
    <row r="341" spans="1:9" s="79" customFormat="1" ht="18" customHeight="1">
      <c r="A341" s="934"/>
      <c r="B341" s="566"/>
      <c r="C341" s="565"/>
      <c r="D341" s="254"/>
      <c r="E341" s="254"/>
      <c r="F341" s="254"/>
      <c r="G341" s="715"/>
      <c r="H341" s="935"/>
      <c r="I341" s="1231"/>
    </row>
    <row r="342" spans="1:9" ht="18" customHeight="1">
      <c r="A342" s="380" t="s">
        <v>335</v>
      </c>
      <c r="B342" s="436" t="s">
        <v>1281</v>
      </c>
      <c r="C342" s="70"/>
      <c r="D342" s="67"/>
      <c r="E342" s="67"/>
      <c r="F342" s="67"/>
      <c r="G342" s="67"/>
      <c r="H342" s="929"/>
    </row>
    <row r="343" spans="1:9" ht="18" customHeight="1">
      <c r="A343" s="354" t="s">
        <v>1804</v>
      </c>
      <c r="B343" s="614" t="s">
        <v>298</v>
      </c>
      <c r="C343" s="70"/>
      <c r="D343" s="68"/>
      <c r="E343" s="68"/>
      <c r="F343" s="68"/>
      <c r="G343" s="68"/>
      <c r="H343" s="929"/>
    </row>
    <row r="344" spans="1:9" ht="18" customHeight="1">
      <c r="A344" s="354" t="s">
        <v>1804</v>
      </c>
      <c r="B344" s="63" t="s">
        <v>1796</v>
      </c>
      <c r="C344" s="70">
        <v>30</v>
      </c>
      <c r="D344" s="67">
        <f>2*(1.8+1.8)</f>
        <v>7.2</v>
      </c>
      <c r="E344" s="68"/>
      <c r="F344" s="67">
        <v>0.4</v>
      </c>
      <c r="G344" s="67">
        <f t="shared" ref="G344:G368" si="13">IF(C344&lt;&gt;0,ROUND(PRODUCT(D344:F344)*C344,2)," ")</f>
        <v>86.4</v>
      </c>
      <c r="H344" s="929"/>
    </row>
    <row r="345" spans="1:9" ht="18" customHeight="1">
      <c r="A345" s="354" t="s">
        <v>1804</v>
      </c>
      <c r="B345" s="63"/>
      <c r="C345" s="70"/>
      <c r="D345" s="67"/>
      <c r="E345" s="68"/>
      <c r="F345" s="67"/>
      <c r="G345" s="67" t="str">
        <f t="shared" si="13"/>
        <v xml:space="preserve"> </v>
      </c>
      <c r="H345" s="929"/>
    </row>
    <row r="346" spans="1:9" ht="18" customHeight="1">
      <c r="A346" s="354" t="s">
        <v>1804</v>
      </c>
      <c r="B346" s="63" t="s">
        <v>1797</v>
      </c>
      <c r="C346" s="70">
        <v>40</v>
      </c>
      <c r="D346" s="67">
        <f>2*(2.1+2.1)</f>
        <v>8.4</v>
      </c>
      <c r="E346" s="68"/>
      <c r="F346" s="67">
        <v>0.5</v>
      </c>
      <c r="G346" s="67">
        <f t="shared" si="13"/>
        <v>168</v>
      </c>
      <c r="H346" s="929"/>
    </row>
    <row r="347" spans="1:9" ht="18" customHeight="1">
      <c r="A347" s="354" t="s">
        <v>1804</v>
      </c>
      <c r="B347" s="63"/>
      <c r="C347" s="70"/>
      <c r="D347" s="67"/>
      <c r="E347" s="68"/>
      <c r="F347" s="67"/>
      <c r="G347" s="67" t="str">
        <f t="shared" si="13"/>
        <v xml:space="preserve"> </v>
      </c>
      <c r="H347" s="929"/>
    </row>
    <row r="348" spans="1:9" ht="18" customHeight="1">
      <c r="A348" s="354" t="s">
        <v>1804</v>
      </c>
      <c r="B348" s="63" t="s">
        <v>1798</v>
      </c>
      <c r="C348" s="70">
        <v>18</v>
      </c>
      <c r="D348" s="67">
        <f>2*(2.4+2.4)</f>
        <v>9.6</v>
      </c>
      <c r="E348" s="68"/>
      <c r="F348" s="67">
        <v>0.3</v>
      </c>
      <c r="G348" s="67">
        <f t="shared" si="13"/>
        <v>51.84</v>
      </c>
      <c r="H348" s="929"/>
    </row>
    <row r="349" spans="1:9" ht="18" customHeight="1">
      <c r="A349" s="354" t="s">
        <v>1804</v>
      </c>
      <c r="B349" s="63"/>
      <c r="C349" s="70"/>
      <c r="D349" s="67"/>
      <c r="E349" s="68"/>
      <c r="F349" s="67"/>
      <c r="G349" s="67" t="str">
        <f t="shared" si="13"/>
        <v xml:space="preserve"> </v>
      </c>
      <c r="H349" s="929"/>
    </row>
    <row r="350" spans="1:9" ht="18" customHeight="1">
      <c r="A350" s="354" t="s">
        <v>1804</v>
      </c>
      <c r="B350" s="63" t="s">
        <v>1799</v>
      </c>
      <c r="C350" s="70">
        <v>4</v>
      </c>
      <c r="D350" s="67">
        <f>2*(2.7+2.7)</f>
        <v>10.8</v>
      </c>
      <c r="E350" s="68"/>
      <c r="F350" s="67">
        <v>0.4</v>
      </c>
      <c r="G350" s="67">
        <f t="shared" si="13"/>
        <v>17.28</v>
      </c>
      <c r="H350" s="929"/>
    </row>
    <row r="351" spans="1:9" ht="18" customHeight="1">
      <c r="A351" s="354" t="s">
        <v>1804</v>
      </c>
      <c r="B351" s="63"/>
      <c r="C351" s="70"/>
      <c r="D351" s="67"/>
      <c r="E351" s="68"/>
      <c r="F351" s="67"/>
      <c r="G351" s="67" t="str">
        <f t="shared" si="13"/>
        <v xml:space="preserve"> </v>
      </c>
      <c r="H351" s="929"/>
    </row>
    <row r="352" spans="1:9" ht="18" customHeight="1">
      <c r="A352" s="354" t="s">
        <v>1804</v>
      </c>
      <c r="B352" s="63" t="s">
        <v>1800</v>
      </c>
      <c r="C352" s="70">
        <v>4</v>
      </c>
      <c r="D352" s="67">
        <f>2*(3.25+2.25)</f>
        <v>11</v>
      </c>
      <c r="E352" s="68"/>
      <c r="F352" s="67">
        <v>0.5</v>
      </c>
      <c r="G352" s="67">
        <f t="shared" si="13"/>
        <v>22</v>
      </c>
      <c r="H352" s="929"/>
    </row>
    <row r="353" spans="1:9" ht="18" customHeight="1">
      <c r="A353" s="354" t="s">
        <v>1804</v>
      </c>
      <c r="B353" s="63"/>
      <c r="C353" s="70"/>
      <c r="D353" s="67"/>
      <c r="E353" s="68"/>
      <c r="F353" s="67"/>
      <c r="G353" s="67" t="str">
        <f t="shared" si="13"/>
        <v xml:space="preserve"> </v>
      </c>
      <c r="H353" s="929"/>
    </row>
    <row r="354" spans="1:9" ht="18" customHeight="1">
      <c r="A354" s="354" t="s">
        <v>1804</v>
      </c>
      <c r="B354" s="63" t="s">
        <v>1801</v>
      </c>
      <c r="C354" s="70">
        <v>10</v>
      </c>
      <c r="D354" s="67">
        <f>2*(4.8+2.4)</f>
        <v>14.399999999999999</v>
      </c>
      <c r="E354" s="68"/>
      <c r="F354" s="67">
        <v>0.45</v>
      </c>
      <c r="G354" s="67">
        <f t="shared" si="13"/>
        <v>64.8</v>
      </c>
      <c r="H354" s="929"/>
    </row>
    <row r="355" spans="1:9" ht="18" customHeight="1">
      <c r="A355" s="354" t="s">
        <v>1804</v>
      </c>
      <c r="B355" s="63"/>
      <c r="C355" s="70"/>
      <c r="D355" s="67"/>
      <c r="E355" s="68"/>
      <c r="F355" s="67"/>
      <c r="G355" s="67" t="str">
        <f t="shared" si="13"/>
        <v xml:space="preserve"> </v>
      </c>
      <c r="H355" s="929"/>
    </row>
    <row r="356" spans="1:9" ht="18" customHeight="1">
      <c r="A356" s="354" t="s">
        <v>1804</v>
      </c>
      <c r="B356" s="63" t="s">
        <v>1806</v>
      </c>
      <c r="C356" s="70">
        <v>20</v>
      </c>
      <c r="D356" s="67">
        <v>4.8</v>
      </c>
      <c r="E356" s="68"/>
      <c r="F356" s="67">
        <f>0.75-0.45</f>
        <v>0.3</v>
      </c>
      <c r="G356" s="67">
        <f t="shared" si="13"/>
        <v>28.8</v>
      </c>
      <c r="H356" s="929"/>
    </row>
    <row r="357" spans="1:9" ht="18" customHeight="1">
      <c r="A357" s="354" t="s">
        <v>1804</v>
      </c>
      <c r="B357" s="63"/>
      <c r="C357" s="70"/>
      <c r="D357" s="67"/>
      <c r="E357" s="68"/>
      <c r="F357" s="67"/>
      <c r="G357" s="67" t="str">
        <f t="shared" si="13"/>
        <v xml:space="preserve"> </v>
      </c>
      <c r="H357" s="929"/>
    </row>
    <row r="358" spans="1:9" ht="18" customHeight="1">
      <c r="A358" s="354" t="s">
        <v>1804</v>
      </c>
      <c r="B358" s="63" t="s">
        <v>1653</v>
      </c>
      <c r="C358" s="70">
        <v>20</v>
      </c>
      <c r="D358" s="67">
        <v>0.6</v>
      </c>
      <c r="E358" s="68"/>
      <c r="F358" s="67">
        <f>0.75-0.45</f>
        <v>0.3</v>
      </c>
      <c r="G358" s="67">
        <f t="shared" si="13"/>
        <v>3.6</v>
      </c>
      <c r="H358" s="929"/>
    </row>
    <row r="359" spans="1:9" ht="18" customHeight="1">
      <c r="A359" s="354" t="s">
        <v>1804</v>
      </c>
      <c r="B359" s="63"/>
      <c r="C359" s="70"/>
      <c r="D359" s="67"/>
      <c r="E359" s="68"/>
      <c r="F359" s="67"/>
      <c r="G359" s="67" t="str">
        <f t="shared" si="13"/>
        <v xml:space="preserve"> </v>
      </c>
      <c r="H359" s="929"/>
    </row>
    <row r="360" spans="1:9" ht="18" customHeight="1">
      <c r="A360" s="354" t="s">
        <v>1804</v>
      </c>
      <c r="B360" s="63" t="s">
        <v>1802</v>
      </c>
      <c r="C360" s="70">
        <v>2</v>
      </c>
      <c r="D360" s="67">
        <f>2*(4.5+2.7)</f>
        <v>14.4</v>
      </c>
      <c r="E360" s="68"/>
      <c r="F360" s="67">
        <v>0.45</v>
      </c>
      <c r="G360" s="67">
        <f t="shared" si="13"/>
        <v>12.96</v>
      </c>
      <c r="H360" s="929"/>
    </row>
    <row r="361" spans="1:9" ht="18" customHeight="1">
      <c r="A361" s="354" t="s">
        <v>1804</v>
      </c>
      <c r="B361" s="63"/>
      <c r="C361" s="70"/>
      <c r="D361" s="67"/>
      <c r="E361" s="68"/>
      <c r="F361" s="67"/>
      <c r="G361" s="67" t="str">
        <f t="shared" si="13"/>
        <v xml:space="preserve"> </v>
      </c>
      <c r="H361" s="929"/>
    </row>
    <row r="362" spans="1:9" ht="18" customHeight="1">
      <c r="A362" s="354" t="s">
        <v>1804</v>
      </c>
      <c r="B362" s="63" t="s">
        <v>1807</v>
      </c>
      <c r="C362" s="70">
        <v>4</v>
      </c>
      <c r="D362" s="67">
        <v>4.5</v>
      </c>
      <c r="E362" s="68"/>
      <c r="F362" s="67">
        <f>0.75-0.45</f>
        <v>0.3</v>
      </c>
      <c r="G362" s="67">
        <f t="shared" si="13"/>
        <v>5.4</v>
      </c>
      <c r="H362" s="929"/>
    </row>
    <row r="363" spans="1:9" ht="18" customHeight="1">
      <c r="A363" s="354" t="s">
        <v>1804</v>
      </c>
      <c r="B363" s="63"/>
      <c r="C363" s="70"/>
      <c r="D363" s="67"/>
      <c r="E363" s="68"/>
      <c r="F363" s="67"/>
      <c r="G363" s="67" t="str">
        <f t="shared" si="13"/>
        <v xml:space="preserve"> </v>
      </c>
      <c r="H363" s="929"/>
    </row>
    <row r="364" spans="1:9" ht="18" customHeight="1">
      <c r="A364" s="354" t="s">
        <v>1804</v>
      </c>
      <c r="B364" s="63" t="s">
        <v>1653</v>
      </c>
      <c r="C364" s="70">
        <v>4</v>
      </c>
      <c r="D364" s="67">
        <v>0.75</v>
      </c>
      <c r="E364" s="68"/>
      <c r="F364" s="67">
        <f>0.75-0.45</f>
        <v>0.3</v>
      </c>
      <c r="G364" s="67">
        <f t="shared" si="13"/>
        <v>0.9</v>
      </c>
      <c r="H364" s="929"/>
    </row>
    <row r="365" spans="1:9" ht="18" customHeight="1">
      <c r="A365" s="354" t="s">
        <v>1804</v>
      </c>
      <c r="B365" s="64" t="s">
        <v>1808</v>
      </c>
      <c r="C365" s="70"/>
      <c r="D365" s="67"/>
      <c r="E365" s="68"/>
      <c r="F365" s="67"/>
      <c r="G365" s="67" t="str">
        <f t="shared" si="13"/>
        <v xml:space="preserve"> </v>
      </c>
      <c r="H365" s="929"/>
    </row>
    <row r="366" spans="1:9" ht="18" customHeight="1">
      <c r="A366" s="380" t="s">
        <v>1804</v>
      </c>
      <c r="B366" s="496" t="s">
        <v>1809</v>
      </c>
      <c r="C366" s="540">
        <f>0*30</f>
        <v>0</v>
      </c>
      <c r="D366" s="645">
        <f>2*(0.55+0.4)</f>
        <v>1.9000000000000001</v>
      </c>
      <c r="E366" s="539"/>
      <c r="F366" s="645">
        <v>2.08</v>
      </c>
      <c r="G366" s="645" t="str">
        <f t="shared" si="13"/>
        <v xml:space="preserve"> </v>
      </c>
      <c r="H366" s="929"/>
      <c r="I366" s="1226" t="s">
        <v>2207</v>
      </c>
    </row>
    <row r="367" spans="1:9" ht="18" customHeight="1">
      <c r="A367" s="380" t="s">
        <v>1804</v>
      </c>
      <c r="B367" s="496"/>
      <c r="C367" s="540"/>
      <c r="D367" s="645"/>
      <c r="E367" s="539"/>
      <c r="F367" s="645"/>
      <c r="G367" s="645" t="str">
        <f t="shared" si="13"/>
        <v xml:space="preserve"> </v>
      </c>
      <c r="H367" s="929"/>
    </row>
    <row r="368" spans="1:9" ht="18" customHeight="1">
      <c r="A368" s="380" t="s">
        <v>1804</v>
      </c>
      <c r="B368" s="496" t="s">
        <v>1810</v>
      </c>
      <c r="C368" s="540">
        <f>0*14</f>
        <v>0</v>
      </c>
      <c r="D368" s="645">
        <f>2*(0.55+0.4)</f>
        <v>1.9000000000000001</v>
      </c>
      <c r="E368" s="539"/>
      <c r="F368" s="645">
        <v>1.98</v>
      </c>
      <c r="G368" s="645" t="str">
        <f t="shared" si="13"/>
        <v xml:space="preserve"> </v>
      </c>
      <c r="H368" s="929"/>
      <c r="I368" s="1226" t="s">
        <v>2207</v>
      </c>
    </row>
    <row r="369" spans="1:8" ht="18" customHeight="1">
      <c r="A369" s="354" t="s">
        <v>1804</v>
      </c>
      <c r="B369" s="409"/>
      <c r="C369" s="70"/>
      <c r="D369" s="67"/>
      <c r="E369" s="68"/>
      <c r="F369" s="67"/>
      <c r="G369" s="67"/>
      <c r="H369" s="929"/>
    </row>
    <row r="370" spans="1:8" ht="19.5" customHeight="1">
      <c r="A370" s="354"/>
      <c r="B370" s="614" t="s">
        <v>298</v>
      </c>
      <c r="C370" s="475"/>
      <c r="D370" s="68"/>
      <c r="E370" s="68"/>
      <c r="F370" s="68"/>
      <c r="G370" s="67"/>
      <c r="H370" s="929"/>
    </row>
    <row r="371" spans="1:8" ht="19.5" customHeight="1">
      <c r="A371" s="354" t="s">
        <v>1868</v>
      </c>
      <c r="B371" s="63" t="s">
        <v>1796</v>
      </c>
      <c r="C371" s="475">
        <v>42</v>
      </c>
      <c r="D371" s="68">
        <f>2*(1.8+1.8)</f>
        <v>7.2</v>
      </c>
      <c r="E371" s="68"/>
      <c r="F371" s="68">
        <v>0.4</v>
      </c>
      <c r="G371" s="67">
        <f t="shared" ref="G371:G389" si="14">IF(C371&lt;&gt;0,ROUND(PRODUCT(D371:F371)*C371,2)," ")</f>
        <v>120.96</v>
      </c>
      <c r="H371" s="929"/>
    </row>
    <row r="372" spans="1:8" ht="19.5" customHeight="1">
      <c r="A372" s="354" t="s">
        <v>1868</v>
      </c>
      <c r="B372" s="63" t="s">
        <v>1797</v>
      </c>
      <c r="C372" s="475">
        <v>40</v>
      </c>
      <c r="D372" s="68">
        <f>2*(2.1+2.1)</f>
        <v>8.4</v>
      </c>
      <c r="E372" s="68"/>
      <c r="F372" s="68">
        <v>0.5</v>
      </c>
      <c r="G372" s="67">
        <f t="shared" si="14"/>
        <v>168</v>
      </c>
      <c r="H372" s="929"/>
    </row>
    <row r="373" spans="1:8" ht="19.5" customHeight="1">
      <c r="A373" s="354" t="s">
        <v>1868</v>
      </c>
      <c r="B373" s="63" t="s">
        <v>1798</v>
      </c>
      <c r="C373" s="475">
        <v>18</v>
      </c>
      <c r="D373" s="68">
        <f>2*(2.4+2.4)</f>
        <v>9.6</v>
      </c>
      <c r="E373" s="68"/>
      <c r="F373" s="68">
        <v>0.3</v>
      </c>
      <c r="G373" s="67">
        <f t="shared" si="14"/>
        <v>51.84</v>
      </c>
      <c r="H373" s="929"/>
    </row>
    <row r="374" spans="1:8" ht="19.5" customHeight="1">
      <c r="A374" s="354" t="s">
        <v>1868</v>
      </c>
      <c r="B374" s="63" t="s">
        <v>1799</v>
      </c>
      <c r="C374" s="475">
        <v>4</v>
      </c>
      <c r="D374" s="68">
        <f>2*(2.7+2.7)</f>
        <v>10.8</v>
      </c>
      <c r="E374" s="68"/>
      <c r="F374" s="68">
        <v>0.4</v>
      </c>
      <c r="G374" s="67">
        <f t="shared" si="14"/>
        <v>17.28</v>
      </c>
      <c r="H374" s="929"/>
    </row>
    <row r="375" spans="1:8" ht="19.5" customHeight="1">
      <c r="A375" s="354" t="s">
        <v>1868</v>
      </c>
      <c r="B375" s="63" t="s">
        <v>1800</v>
      </c>
      <c r="C375" s="475">
        <v>4</v>
      </c>
      <c r="D375" s="68">
        <f>2*(3.25+2.25)</f>
        <v>11</v>
      </c>
      <c r="E375" s="68"/>
      <c r="F375" s="68">
        <v>0.5</v>
      </c>
      <c r="G375" s="67">
        <f t="shared" si="14"/>
        <v>22</v>
      </c>
      <c r="H375" s="929"/>
    </row>
    <row r="376" spans="1:8" ht="19.5" customHeight="1">
      <c r="A376" s="354" t="s">
        <v>1868</v>
      </c>
      <c r="B376" s="63" t="s">
        <v>1801</v>
      </c>
      <c r="C376" s="691">
        <v>20</v>
      </c>
      <c r="D376" s="68">
        <f>2*(4.8+2.4)</f>
        <v>14.399999999999999</v>
      </c>
      <c r="E376" s="68"/>
      <c r="F376" s="68">
        <v>0.45</v>
      </c>
      <c r="G376" s="67">
        <f t="shared" si="14"/>
        <v>129.6</v>
      </c>
      <c r="H376" s="929"/>
    </row>
    <row r="377" spans="1:8" ht="19.5" customHeight="1">
      <c r="A377" s="354" t="s">
        <v>1868</v>
      </c>
      <c r="B377" s="63" t="s">
        <v>1806</v>
      </c>
      <c r="C377" s="475">
        <v>20</v>
      </c>
      <c r="D377" s="68">
        <v>4.8</v>
      </c>
      <c r="E377" s="68"/>
      <c r="F377" s="68">
        <f>0.75-0.45</f>
        <v>0.3</v>
      </c>
      <c r="G377" s="67">
        <f t="shared" si="14"/>
        <v>28.8</v>
      </c>
      <c r="H377" s="929"/>
    </row>
    <row r="378" spans="1:8" ht="19.5" customHeight="1">
      <c r="A378" s="354" t="s">
        <v>1868</v>
      </c>
      <c r="B378" s="63" t="s">
        <v>1653</v>
      </c>
      <c r="C378" s="475">
        <v>20</v>
      </c>
      <c r="D378" s="68">
        <v>0.6</v>
      </c>
      <c r="E378" s="68"/>
      <c r="F378" s="68">
        <f>0.75-0.45</f>
        <v>0.3</v>
      </c>
      <c r="G378" s="67">
        <f t="shared" si="14"/>
        <v>3.6</v>
      </c>
      <c r="H378" s="929"/>
    </row>
    <row r="379" spans="1:8" ht="19.5" customHeight="1">
      <c r="A379" s="354" t="s">
        <v>1868</v>
      </c>
      <c r="B379" s="63" t="s">
        <v>1802</v>
      </c>
      <c r="C379" s="475">
        <v>4</v>
      </c>
      <c r="D379" s="68">
        <f>2*(4.5+2.7)</f>
        <v>14.4</v>
      </c>
      <c r="E379" s="68"/>
      <c r="F379" s="68">
        <v>0.45</v>
      </c>
      <c r="G379" s="67">
        <f t="shared" si="14"/>
        <v>25.92</v>
      </c>
      <c r="H379" s="929"/>
    </row>
    <row r="380" spans="1:8" ht="19.5" customHeight="1">
      <c r="A380" s="354" t="s">
        <v>1868</v>
      </c>
      <c r="B380" s="63" t="s">
        <v>1807</v>
      </c>
      <c r="C380" s="475">
        <v>4</v>
      </c>
      <c r="D380" s="68">
        <v>4.5</v>
      </c>
      <c r="E380" s="68"/>
      <c r="F380" s="68">
        <f>0.75-0.45</f>
        <v>0.3</v>
      </c>
      <c r="G380" s="67">
        <f t="shared" si="14"/>
        <v>5.4</v>
      </c>
      <c r="H380" s="929"/>
    </row>
    <row r="381" spans="1:8" ht="19.5" customHeight="1">
      <c r="A381" s="354" t="s">
        <v>1868</v>
      </c>
      <c r="B381" s="63" t="s">
        <v>1653</v>
      </c>
      <c r="C381" s="475">
        <v>4</v>
      </c>
      <c r="D381" s="68">
        <v>0.75</v>
      </c>
      <c r="E381" s="68"/>
      <c r="F381" s="68">
        <f>0.75-0.45</f>
        <v>0.3</v>
      </c>
      <c r="G381" s="67">
        <f t="shared" si="14"/>
        <v>0.9</v>
      </c>
      <c r="H381" s="929"/>
    </row>
    <row r="382" spans="1:8" ht="19.5" customHeight="1">
      <c r="A382" s="354" t="s">
        <v>1868</v>
      </c>
      <c r="B382" s="64" t="s">
        <v>1808</v>
      </c>
      <c r="C382" s="475"/>
      <c r="D382" s="68"/>
      <c r="E382" s="68"/>
      <c r="F382" s="68"/>
      <c r="G382" s="67" t="str">
        <f t="shared" si="14"/>
        <v xml:space="preserve"> </v>
      </c>
      <c r="H382" s="929"/>
    </row>
    <row r="383" spans="1:8" ht="19.5" customHeight="1">
      <c r="A383" s="354" t="s">
        <v>1868</v>
      </c>
      <c r="B383" s="63" t="s">
        <v>1809</v>
      </c>
      <c r="C383" s="475">
        <v>42</v>
      </c>
      <c r="D383" s="68">
        <f t="shared" ref="D383:D389" si="15">2*(0.55+0.4)</f>
        <v>1.9000000000000001</v>
      </c>
      <c r="E383" s="68"/>
      <c r="F383" s="68">
        <f>2.095-0.075-0.4+0.45+0.066</f>
        <v>2.1360000000000001</v>
      </c>
      <c r="G383" s="67">
        <f t="shared" si="14"/>
        <v>170.45</v>
      </c>
      <c r="H383" s="929"/>
    </row>
    <row r="384" spans="1:8" ht="19.5" customHeight="1">
      <c r="A384" s="354" t="s">
        <v>1868</v>
      </c>
      <c r="B384" s="63" t="s">
        <v>1810</v>
      </c>
      <c r="C384" s="475">
        <v>40</v>
      </c>
      <c r="D384" s="68">
        <f t="shared" si="15"/>
        <v>1.9000000000000001</v>
      </c>
      <c r="E384" s="68"/>
      <c r="F384" s="68">
        <f>2.095-0.075-0.5+0.45+0.066</f>
        <v>2.036</v>
      </c>
      <c r="G384" s="67">
        <f t="shared" si="14"/>
        <v>154.74</v>
      </c>
      <c r="H384" s="929"/>
    </row>
    <row r="385" spans="1:9" ht="19.5" customHeight="1">
      <c r="A385" s="354" t="s">
        <v>1868</v>
      </c>
      <c r="B385" s="63" t="s">
        <v>1885</v>
      </c>
      <c r="C385" s="475">
        <v>18</v>
      </c>
      <c r="D385" s="68">
        <f t="shared" si="15"/>
        <v>1.9000000000000001</v>
      </c>
      <c r="E385" s="68"/>
      <c r="F385" s="68">
        <f>2.095-0.075-0.55+0.45+0.066</f>
        <v>1.986</v>
      </c>
      <c r="G385" s="67">
        <f t="shared" si="14"/>
        <v>67.92</v>
      </c>
      <c r="H385" s="929"/>
    </row>
    <row r="386" spans="1:9" ht="19.5" customHeight="1">
      <c r="A386" s="354" t="s">
        <v>1868</v>
      </c>
      <c r="B386" s="63" t="s">
        <v>1886</v>
      </c>
      <c r="C386" s="475">
        <v>4</v>
      </c>
      <c r="D386" s="68">
        <f t="shared" si="15"/>
        <v>1.9000000000000001</v>
      </c>
      <c r="E386" s="68"/>
      <c r="F386" s="68">
        <f>2.095-0.075-0.7+0.45+0.066</f>
        <v>1.8360000000000001</v>
      </c>
      <c r="G386" s="67">
        <f t="shared" si="14"/>
        <v>13.95</v>
      </c>
      <c r="H386" s="929"/>
    </row>
    <row r="387" spans="1:9" ht="19.5" customHeight="1">
      <c r="A387" s="354" t="s">
        <v>1868</v>
      </c>
      <c r="B387" s="63" t="s">
        <v>1887</v>
      </c>
      <c r="C387" s="475">
        <v>4</v>
      </c>
      <c r="D387" s="68">
        <f t="shared" si="15"/>
        <v>1.9000000000000001</v>
      </c>
      <c r="E387" s="68"/>
      <c r="F387" s="68">
        <f>2.095-0.075-0.75+0.45+0.066</f>
        <v>1.786</v>
      </c>
      <c r="G387" s="67">
        <f t="shared" si="14"/>
        <v>13.57</v>
      </c>
      <c r="H387" s="929"/>
    </row>
    <row r="388" spans="1:9" ht="19.5" customHeight="1">
      <c r="A388" s="354" t="s">
        <v>1868</v>
      </c>
      <c r="B388" s="63" t="s">
        <v>1888</v>
      </c>
      <c r="C388" s="475">
        <v>20</v>
      </c>
      <c r="D388" s="68">
        <f t="shared" si="15"/>
        <v>1.9000000000000001</v>
      </c>
      <c r="E388" s="68"/>
      <c r="F388" s="68">
        <f>2.095-0.075-0.75+0.45+0.066</f>
        <v>1.786</v>
      </c>
      <c r="G388" s="67">
        <f t="shared" si="14"/>
        <v>67.87</v>
      </c>
      <c r="H388" s="929"/>
    </row>
    <row r="389" spans="1:9" ht="19.5" customHeight="1">
      <c r="A389" s="354" t="s">
        <v>1868</v>
      </c>
      <c r="B389" s="63" t="s">
        <v>1889</v>
      </c>
      <c r="C389" s="475">
        <v>4</v>
      </c>
      <c r="D389" s="68">
        <f t="shared" si="15"/>
        <v>1.9000000000000001</v>
      </c>
      <c r="E389" s="68"/>
      <c r="F389" s="68">
        <f>2.095-0.075-0.75+0.45+0.066</f>
        <v>1.786</v>
      </c>
      <c r="G389" s="67">
        <f t="shared" si="14"/>
        <v>13.57</v>
      </c>
      <c r="H389" s="929"/>
    </row>
    <row r="390" spans="1:9" ht="18" customHeight="1">
      <c r="A390" s="354"/>
      <c r="B390" s="64" t="s">
        <v>1910</v>
      </c>
      <c r="C390" s="70"/>
      <c r="D390" s="68"/>
      <c r="E390" s="68"/>
      <c r="F390" s="68"/>
      <c r="G390" s="68"/>
      <c r="H390" s="929"/>
    </row>
    <row r="391" spans="1:9" ht="18" customHeight="1">
      <c r="A391" s="354" t="s">
        <v>1909</v>
      </c>
      <c r="B391" s="63" t="s">
        <v>1809</v>
      </c>
      <c r="C391" s="70">
        <v>42</v>
      </c>
      <c r="D391" s="68">
        <f t="shared" ref="D391:D397" si="16">2*(0.55+0.4)</f>
        <v>1.9000000000000001</v>
      </c>
      <c r="E391" s="68"/>
      <c r="F391" s="68">
        <v>0.05</v>
      </c>
      <c r="G391" s="67">
        <f t="shared" ref="G391:G397" si="17">IF(C391&lt;&gt;0,ROUND(PRODUCT(D391:F391)*C391,2)," ")</f>
        <v>3.99</v>
      </c>
      <c r="H391" s="929"/>
    </row>
    <row r="392" spans="1:9" ht="18" customHeight="1">
      <c r="A392" s="354" t="s">
        <v>1909</v>
      </c>
      <c r="B392" s="63" t="s">
        <v>1810</v>
      </c>
      <c r="C392" s="70">
        <v>40</v>
      </c>
      <c r="D392" s="68">
        <f t="shared" si="16"/>
        <v>1.9000000000000001</v>
      </c>
      <c r="E392" s="68"/>
      <c r="F392" s="68">
        <v>0.05</v>
      </c>
      <c r="G392" s="67">
        <f t="shared" si="17"/>
        <v>3.8</v>
      </c>
      <c r="H392" s="929"/>
    </row>
    <row r="393" spans="1:9" ht="18" customHeight="1">
      <c r="A393" s="354" t="s">
        <v>1909</v>
      </c>
      <c r="B393" s="63" t="s">
        <v>1885</v>
      </c>
      <c r="C393" s="70">
        <v>18</v>
      </c>
      <c r="D393" s="68">
        <f t="shared" si="16"/>
        <v>1.9000000000000001</v>
      </c>
      <c r="E393" s="68"/>
      <c r="F393" s="68">
        <v>0.05</v>
      </c>
      <c r="G393" s="67">
        <f t="shared" si="17"/>
        <v>1.71</v>
      </c>
      <c r="H393" s="929"/>
    </row>
    <row r="394" spans="1:9" ht="18" customHeight="1">
      <c r="A394" s="354" t="s">
        <v>1909</v>
      </c>
      <c r="B394" s="63" t="s">
        <v>1886</v>
      </c>
      <c r="C394" s="70">
        <v>4</v>
      </c>
      <c r="D394" s="68">
        <f t="shared" si="16"/>
        <v>1.9000000000000001</v>
      </c>
      <c r="E394" s="68"/>
      <c r="F394" s="68">
        <v>0.05</v>
      </c>
      <c r="G394" s="67">
        <f t="shared" si="17"/>
        <v>0.38</v>
      </c>
      <c r="H394" s="929"/>
    </row>
    <row r="395" spans="1:9" ht="18" customHeight="1">
      <c r="A395" s="354" t="s">
        <v>1909</v>
      </c>
      <c r="B395" s="63" t="s">
        <v>1887</v>
      </c>
      <c r="C395" s="70">
        <v>4</v>
      </c>
      <c r="D395" s="68">
        <f t="shared" si="16"/>
        <v>1.9000000000000001</v>
      </c>
      <c r="E395" s="68"/>
      <c r="F395" s="68">
        <v>0.05</v>
      </c>
      <c r="G395" s="67">
        <f t="shared" si="17"/>
        <v>0.38</v>
      </c>
      <c r="H395" s="929"/>
    </row>
    <row r="396" spans="1:9" ht="18" customHeight="1">
      <c r="A396" s="354" t="s">
        <v>1909</v>
      </c>
      <c r="B396" s="63" t="s">
        <v>1888</v>
      </c>
      <c r="C396" s="70">
        <v>20</v>
      </c>
      <c r="D396" s="68">
        <f t="shared" si="16"/>
        <v>1.9000000000000001</v>
      </c>
      <c r="E396" s="68"/>
      <c r="F396" s="68">
        <v>0.05</v>
      </c>
      <c r="G396" s="67">
        <f t="shared" si="17"/>
        <v>1.9</v>
      </c>
      <c r="H396" s="929"/>
    </row>
    <row r="397" spans="1:9" ht="18" customHeight="1">
      <c r="A397" s="354" t="s">
        <v>1909</v>
      </c>
      <c r="B397" s="63" t="s">
        <v>1889</v>
      </c>
      <c r="C397" s="70">
        <v>4</v>
      </c>
      <c r="D397" s="68">
        <f t="shared" si="16"/>
        <v>1.9000000000000001</v>
      </c>
      <c r="E397" s="68"/>
      <c r="F397" s="68">
        <v>0.05</v>
      </c>
      <c r="G397" s="67">
        <f t="shared" si="17"/>
        <v>0.38</v>
      </c>
      <c r="H397" s="929"/>
    </row>
    <row r="398" spans="1:9" s="556" customFormat="1" ht="24.95" customHeight="1">
      <c r="A398" s="635" t="s">
        <v>2045</v>
      </c>
      <c r="B398" s="636" t="s">
        <v>2046</v>
      </c>
      <c r="C398" s="632"/>
      <c r="D398" s="585"/>
      <c r="E398" s="585"/>
      <c r="F398" s="585"/>
      <c r="G398" s="585">
        <f>PRODUCT(C398:F398)</f>
        <v>0</v>
      </c>
      <c r="H398" s="939"/>
      <c r="I398" s="1233"/>
    </row>
    <row r="399" spans="1:9" s="556" customFormat="1" ht="24.95" customHeight="1">
      <c r="A399" s="635" t="s">
        <v>2045</v>
      </c>
      <c r="B399" s="636" t="s">
        <v>2047</v>
      </c>
      <c r="C399" s="632"/>
      <c r="D399" s="585"/>
      <c r="E399" s="585"/>
      <c r="F399" s="585"/>
      <c r="G399" s="585"/>
      <c r="H399" s="939"/>
      <c r="I399" s="1233"/>
    </row>
    <row r="400" spans="1:9" s="556" customFormat="1" ht="24.95" customHeight="1">
      <c r="A400" s="635" t="s">
        <v>2045</v>
      </c>
      <c r="B400" s="631" t="s">
        <v>967</v>
      </c>
      <c r="C400" s="632">
        <v>6</v>
      </c>
      <c r="D400" s="585">
        <f>0.2+0.2</f>
        <v>0.4</v>
      </c>
      <c r="E400" s="585"/>
      <c r="F400" s="585">
        <v>2.1</v>
      </c>
      <c r="G400" s="633">
        <f t="shared" ref="G400:G416" si="18">IF(C400&lt;&gt;0,ROUND(PRODUCT(D400:F400)*C400,2),)</f>
        <v>5.04</v>
      </c>
      <c r="H400" s="939"/>
      <c r="I400" s="1233"/>
    </row>
    <row r="401" spans="1:9" s="556" customFormat="1" ht="24.95" customHeight="1">
      <c r="A401" s="635" t="s">
        <v>2045</v>
      </c>
      <c r="B401" s="631" t="s">
        <v>965</v>
      </c>
      <c r="C401" s="632">
        <v>6</v>
      </c>
      <c r="D401" s="585">
        <f t="shared" ref="D401:D411" si="19">0.2+0.2</f>
        <v>0.4</v>
      </c>
      <c r="E401" s="585"/>
      <c r="F401" s="585">
        <v>2.1</v>
      </c>
      <c r="G401" s="633">
        <f t="shared" si="18"/>
        <v>5.04</v>
      </c>
      <c r="H401" s="939"/>
      <c r="I401" s="1233"/>
    </row>
    <row r="402" spans="1:9" s="556" customFormat="1" ht="24.95" customHeight="1">
      <c r="A402" s="635" t="s">
        <v>2045</v>
      </c>
      <c r="B402" s="631" t="s">
        <v>2048</v>
      </c>
      <c r="C402" s="632">
        <v>6</v>
      </c>
      <c r="D402" s="585">
        <f t="shared" si="19"/>
        <v>0.4</v>
      </c>
      <c r="E402" s="585"/>
      <c r="F402" s="585">
        <v>2.1</v>
      </c>
      <c r="G402" s="633">
        <f t="shared" si="18"/>
        <v>5.04</v>
      </c>
      <c r="H402" s="939"/>
      <c r="I402" s="1233"/>
    </row>
    <row r="403" spans="1:9" s="556" customFormat="1" ht="24.95" customHeight="1">
      <c r="A403" s="635" t="s">
        <v>2045</v>
      </c>
      <c r="B403" s="631" t="s">
        <v>1283</v>
      </c>
      <c r="C403" s="632">
        <v>8</v>
      </c>
      <c r="D403" s="585">
        <f t="shared" si="19"/>
        <v>0.4</v>
      </c>
      <c r="E403" s="585"/>
      <c r="F403" s="585">
        <v>2.1</v>
      </c>
      <c r="G403" s="633">
        <f t="shared" si="18"/>
        <v>6.72</v>
      </c>
      <c r="H403" s="939"/>
      <c r="I403" s="1233"/>
    </row>
    <row r="404" spans="1:9" s="556" customFormat="1" ht="24.95" customHeight="1">
      <c r="A404" s="635" t="s">
        <v>2045</v>
      </c>
      <c r="B404" s="631" t="s">
        <v>2049</v>
      </c>
      <c r="C404" s="632">
        <v>2</v>
      </c>
      <c r="D404" s="585">
        <f t="shared" si="19"/>
        <v>0.4</v>
      </c>
      <c r="E404" s="585"/>
      <c r="F404" s="585">
        <v>2.1</v>
      </c>
      <c r="G404" s="633">
        <f t="shared" si="18"/>
        <v>1.68</v>
      </c>
      <c r="H404" s="939"/>
      <c r="I404" s="1233"/>
    </row>
    <row r="405" spans="1:9" s="556" customFormat="1" ht="24.95" customHeight="1">
      <c r="A405" s="635" t="s">
        <v>2045</v>
      </c>
      <c r="B405" s="631" t="s">
        <v>1284</v>
      </c>
      <c r="C405" s="632">
        <v>2</v>
      </c>
      <c r="D405" s="585">
        <f t="shared" si="19"/>
        <v>0.4</v>
      </c>
      <c r="E405" s="585"/>
      <c r="F405" s="585">
        <v>1.25</v>
      </c>
      <c r="G405" s="633">
        <f t="shared" si="18"/>
        <v>1</v>
      </c>
      <c r="H405" s="939"/>
      <c r="I405" s="1233"/>
    </row>
    <row r="406" spans="1:9" s="556" customFormat="1" ht="24.95" customHeight="1">
      <c r="A406" s="635" t="s">
        <v>2045</v>
      </c>
      <c r="B406" s="631" t="s">
        <v>2050</v>
      </c>
      <c r="C406" s="632">
        <v>2</v>
      </c>
      <c r="D406" s="585">
        <f t="shared" si="19"/>
        <v>0.4</v>
      </c>
      <c r="E406" s="585"/>
      <c r="F406" s="585">
        <v>1.25</v>
      </c>
      <c r="G406" s="633">
        <f t="shared" si="18"/>
        <v>1</v>
      </c>
      <c r="H406" s="939"/>
      <c r="I406" s="1233"/>
    </row>
    <row r="407" spans="1:9" s="556" customFormat="1" ht="24.95" customHeight="1">
      <c r="A407" s="635" t="s">
        <v>2045</v>
      </c>
      <c r="B407" s="631" t="s">
        <v>1285</v>
      </c>
      <c r="C407" s="632">
        <v>2</v>
      </c>
      <c r="D407" s="585">
        <f t="shared" si="19"/>
        <v>0.4</v>
      </c>
      <c r="E407" s="585"/>
      <c r="F407" s="585">
        <v>1.25</v>
      </c>
      <c r="G407" s="633">
        <f t="shared" si="18"/>
        <v>1</v>
      </c>
      <c r="H407" s="939"/>
      <c r="I407" s="1233"/>
    </row>
    <row r="408" spans="1:9" s="556" customFormat="1" ht="24.95" customHeight="1">
      <c r="A408" s="635" t="s">
        <v>2045</v>
      </c>
      <c r="B408" s="631" t="s">
        <v>1071</v>
      </c>
      <c r="C408" s="632">
        <v>2</v>
      </c>
      <c r="D408" s="585">
        <f t="shared" si="19"/>
        <v>0.4</v>
      </c>
      <c r="E408" s="585"/>
      <c r="F408" s="585">
        <v>1.25</v>
      </c>
      <c r="G408" s="633">
        <f t="shared" si="18"/>
        <v>1</v>
      </c>
      <c r="H408" s="939"/>
      <c r="I408" s="1233"/>
    </row>
    <row r="409" spans="1:9" s="556" customFormat="1" ht="24.95" customHeight="1">
      <c r="A409" s="635" t="s">
        <v>2045</v>
      </c>
      <c r="B409" s="631" t="s">
        <v>1144</v>
      </c>
      <c r="C409" s="632">
        <v>4</v>
      </c>
      <c r="D409" s="585">
        <f t="shared" si="19"/>
        <v>0.4</v>
      </c>
      <c r="E409" s="585"/>
      <c r="F409" s="585">
        <v>1.25</v>
      </c>
      <c r="G409" s="633">
        <f t="shared" si="18"/>
        <v>2</v>
      </c>
      <c r="H409" s="939"/>
      <c r="I409" s="1233"/>
    </row>
    <row r="410" spans="1:9" s="556" customFormat="1" ht="24.95" customHeight="1">
      <c r="A410" s="635" t="s">
        <v>2045</v>
      </c>
      <c r="B410" s="631" t="s">
        <v>1096</v>
      </c>
      <c r="C410" s="632">
        <v>3</v>
      </c>
      <c r="D410" s="585">
        <f t="shared" si="19"/>
        <v>0.4</v>
      </c>
      <c r="E410" s="585"/>
      <c r="F410" s="585">
        <v>1.25</v>
      </c>
      <c r="G410" s="633">
        <f t="shared" si="18"/>
        <v>1.5</v>
      </c>
      <c r="H410" s="939"/>
      <c r="I410" s="1233"/>
    </row>
    <row r="411" spans="1:9" s="556" customFormat="1" ht="24.95" customHeight="1">
      <c r="A411" s="635" t="s">
        <v>2045</v>
      </c>
      <c r="B411" s="631" t="s">
        <v>1286</v>
      </c>
      <c r="C411" s="632">
        <v>3</v>
      </c>
      <c r="D411" s="585">
        <f t="shared" si="19"/>
        <v>0.4</v>
      </c>
      <c r="E411" s="585"/>
      <c r="F411" s="585">
        <v>1.25</v>
      </c>
      <c r="G411" s="633">
        <f t="shared" si="18"/>
        <v>1.5</v>
      </c>
      <c r="H411" s="939"/>
      <c r="I411" s="1233"/>
    </row>
    <row r="412" spans="1:9" ht="19.5" customHeight="1">
      <c r="A412" s="354"/>
      <c r="B412" s="409"/>
      <c r="C412" s="475"/>
      <c r="D412" s="68"/>
      <c r="E412" s="68"/>
      <c r="F412" s="68"/>
      <c r="G412" s="633">
        <f t="shared" si="18"/>
        <v>0</v>
      </c>
      <c r="H412" s="929"/>
    </row>
    <row r="413" spans="1:9" ht="18" customHeight="1">
      <c r="A413" s="354" t="s">
        <v>1442</v>
      </c>
      <c r="B413" s="63" t="s">
        <v>1444</v>
      </c>
      <c r="C413" s="404">
        <v>2</v>
      </c>
      <c r="D413" s="405">
        <v>2.2999999999999998</v>
      </c>
      <c r="E413" s="405">
        <v>0.6</v>
      </c>
      <c r="F413" s="68"/>
      <c r="G413" s="633">
        <f t="shared" si="18"/>
        <v>2.76</v>
      </c>
      <c r="H413" s="929" t="s">
        <v>1442</v>
      </c>
      <c r="I413" s="1133"/>
    </row>
    <row r="414" spans="1:9" ht="18" customHeight="1">
      <c r="A414" s="354" t="s">
        <v>1442</v>
      </c>
      <c r="B414" s="63"/>
      <c r="C414" s="404">
        <v>2</v>
      </c>
      <c r="D414" s="405">
        <v>2.2999999999999998</v>
      </c>
      <c r="E414" s="405">
        <v>0.6</v>
      </c>
      <c r="F414" s="68"/>
      <c r="G414" s="633">
        <f t="shared" si="18"/>
        <v>2.76</v>
      </c>
      <c r="H414" s="929" t="s">
        <v>1442</v>
      </c>
      <c r="I414" s="1133"/>
    </row>
    <row r="415" spans="1:9" ht="18" customHeight="1">
      <c r="A415" s="354" t="s">
        <v>1442</v>
      </c>
      <c r="B415" s="63" t="s">
        <v>1444</v>
      </c>
      <c r="C415" s="404">
        <v>2</v>
      </c>
      <c r="D415" s="405">
        <v>2.4</v>
      </c>
      <c r="E415" s="405">
        <v>0.6</v>
      </c>
      <c r="F415" s="68"/>
      <c r="G415" s="633">
        <f t="shared" si="18"/>
        <v>2.88</v>
      </c>
      <c r="H415" s="929" t="s">
        <v>1442</v>
      </c>
    </row>
    <row r="416" spans="1:9" ht="18" customHeight="1">
      <c r="A416" s="75"/>
      <c r="B416" s="63"/>
      <c r="C416" s="404">
        <v>2</v>
      </c>
      <c r="D416" s="405">
        <v>3.6</v>
      </c>
      <c r="E416" s="405">
        <v>0.6</v>
      </c>
      <c r="F416" s="68"/>
      <c r="G416" s="633">
        <f t="shared" si="18"/>
        <v>4.32</v>
      </c>
      <c r="H416" s="929" t="s">
        <v>1442</v>
      </c>
    </row>
    <row r="417" spans="1:9" ht="18" customHeight="1">
      <c r="A417" s="843"/>
      <c r="B417" s="874" t="s">
        <v>2188</v>
      </c>
      <c r="C417" s="540"/>
      <c r="D417" s="539"/>
      <c r="E417" s="539"/>
      <c r="F417" s="539"/>
      <c r="G417" s="842">
        <f>SUM(G344:G416)</f>
        <v>1596.1300000000006</v>
      </c>
      <c r="H417" s="945" t="s">
        <v>350</v>
      </c>
      <c r="I417" s="1226" t="s">
        <v>335</v>
      </c>
    </row>
    <row r="418" spans="1:9" ht="18" customHeight="1">
      <c r="A418" s="75"/>
      <c r="B418" s="63"/>
      <c r="C418" s="70"/>
      <c r="D418" s="68"/>
      <c r="E418" s="68"/>
      <c r="F418" s="68"/>
      <c r="G418" s="715"/>
      <c r="H418" s="935"/>
    </row>
    <row r="419" spans="1:9" ht="18" customHeight="1">
      <c r="A419" s="453" t="s">
        <v>339</v>
      </c>
      <c r="B419" s="436" t="s">
        <v>1774</v>
      </c>
      <c r="C419" s="70"/>
      <c r="D419" s="68"/>
      <c r="E419" s="68"/>
      <c r="F419" s="68"/>
      <c r="G419" s="68"/>
      <c r="H419" s="929"/>
    </row>
    <row r="420" spans="1:9" ht="18" customHeight="1">
      <c r="A420" s="354"/>
      <c r="B420" s="63" t="s">
        <v>1228</v>
      </c>
      <c r="C420" s="70">
        <v>4</v>
      </c>
      <c r="D420" s="68">
        <f>3.2+0.7+4.9+0.7+3.2+0.2+0.2-0.4-0.4-0.4-0.4</f>
        <v>11.499999999999996</v>
      </c>
      <c r="E420" s="68"/>
      <c r="F420" s="68">
        <v>0.6</v>
      </c>
      <c r="G420" s="67">
        <f t="shared" ref="G420:G483" si="20">IF(C420&lt;&gt;0,ROUND(PRODUCT(D420:F420)*C420,2)," ")</f>
        <v>27.6</v>
      </c>
      <c r="H420" s="929" t="s">
        <v>2247</v>
      </c>
    </row>
    <row r="421" spans="1:9" s="78" customFormat="1" ht="18" customHeight="1">
      <c r="A421" s="75"/>
      <c r="B421" s="356" t="s">
        <v>1229</v>
      </c>
      <c r="C421" s="76">
        <v>4</v>
      </c>
      <c r="D421" s="77">
        <f>2.298+3.6+1+2.25+1.575+0.275+0.275-0.55-0.55-0.55</f>
        <v>9.6229999999999976</v>
      </c>
      <c r="E421" s="68"/>
      <c r="F421" s="68">
        <v>0.45</v>
      </c>
      <c r="G421" s="67">
        <f t="shared" si="20"/>
        <v>17.32</v>
      </c>
      <c r="H421" s="929" t="s">
        <v>2247</v>
      </c>
      <c r="I421" s="1227"/>
    </row>
    <row r="422" spans="1:9" ht="18" customHeight="1">
      <c r="A422" s="354"/>
      <c r="B422" s="63" t="s">
        <v>1230</v>
      </c>
      <c r="C422" s="70">
        <v>4</v>
      </c>
      <c r="D422" s="68">
        <v>11.27</v>
      </c>
      <c r="E422" s="68"/>
      <c r="F422" s="68">
        <v>0.6</v>
      </c>
      <c r="G422" s="67">
        <f t="shared" si="20"/>
        <v>27.05</v>
      </c>
      <c r="H422" s="929" t="s">
        <v>2247</v>
      </c>
    </row>
    <row r="423" spans="1:9" s="78" customFormat="1" ht="18" customHeight="1">
      <c r="A423" s="75"/>
      <c r="B423" s="356" t="s">
        <v>1231</v>
      </c>
      <c r="C423" s="76">
        <v>4</v>
      </c>
      <c r="D423" s="77">
        <v>10.045</v>
      </c>
      <c r="E423" s="68"/>
      <c r="F423" s="68">
        <v>0.45</v>
      </c>
      <c r="G423" s="67">
        <f t="shared" si="20"/>
        <v>18.079999999999998</v>
      </c>
      <c r="H423" s="929" t="s">
        <v>2247</v>
      </c>
      <c r="I423" s="1227"/>
    </row>
    <row r="424" spans="1:9" s="78" customFormat="1" ht="18" customHeight="1">
      <c r="A424" s="75"/>
      <c r="B424" s="356" t="s">
        <v>1232</v>
      </c>
      <c r="C424" s="76">
        <v>2</v>
      </c>
      <c r="D424" s="77">
        <v>54.048000000000002</v>
      </c>
      <c r="E424" s="68"/>
      <c r="F424" s="68">
        <v>0.45</v>
      </c>
      <c r="G424" s="67">
        <f t="shared" si="20"/>
        <v>48.64</v>
      </c>
      <c r="H424" s="929" t="s">
        <v>2247</v>
      </c>
      <c r="I424" s="1227"/>
    </row>
    <row r="425" spans="1:9" s="78" customFormat="1" ht="18" customHeight="1">
      <c r="A425" s="75"/>
      <c r="B425" s="356" t="s">
        <v>1233</v>
      </c>
      <c r="C425" s="76">
        <v>4</v>
      </c>
      <c r="D425" s="77">
        <v>6.1920000000000002</v>
      </c>
      <c r="E425" s="68"/>
      <c r="F425" s="68">
        <v>0.6</v>
      </c>
      <c r="G425" s="67">
        <f t="shared" si="20"/>
        <v>14.86</v>
      </c>
      <c r="H425" s="929" t="s">
        <v>2247</v>
      </c>
      <c r="I425" s="1227"/>
    </row>
    <row r="426" spans="1:9" s="78" customFormat="1" ht="18" customHeight="1">
      <c r="A426" s="75"/>
      <c r="B426" s="356" t="s">
        <v>1234</v>
      </c>
      <c r="C426" s="76">
        <v>4</v>
      </c>
      <c r="D426" s="77">
        <v>3.2749999999999999</v>
      </c>
      <c r="E426" s="68"/>
      <c r="F426" s="68">
        <v>0.45</v>
      </c>
      <c r="G426" s="67">
        <f t="shared" si="20"/>
        <v>5.9</v>
      </c>
      <c r="H426" s="929" t="s">
        <v>2247</v>
      </c>
      <c r="I426" s="1227"/>
    </row>
    <row r="427" spans="1:9" s="78" customFormat="1" ht="18" customHeight="1">
      <c r="A427" s="75"/>
      <c r="B427" s="356" t="s">
        <v>1235</v>
      </c>
      <c r="C427" s="76">
        <v>2</v>
      </c>
      <c r="D427" s="68">
        <v>34.75</v>
      </c>
      <c r="E427" s="68"/>
      <c r="F427" s="68">
        <v>0.45</v>
      </c>
      <c r="G427" s="67">
        <f t="shared" si="20"/>
        <v>31.28</v>
      </c>
      <c r="H427" s="929" t="s">
        <v>2247</v>
      </c>
      <c r="I427" s="1227"/>
    </row>
    <row r="428" spans="1:9" s="78" customFormat="1" ht="18" customHeight="1">
      <c r="A428" s="75"/>
      <c r="B428" s="356" t="s">
        <v>1236</v>
      </c>
      <c r="C428" s="76">
        <v>4</v>
      </c>
      <c r="D428" s="77">
        <v>4.2549999999999999</v>
      </c>
      <c r="E428" s="68"/>
      <c r="F428" s="68">
        <v>0.45</v>
      </c>
      <c r="G428" s="67">
        <f t="shared" si="20"/>
        <v>7.66</v>
      </c>
      <c r="H428" s="929" t="s">
        <v>2247</v>
      </c>
      <c r="I428" s="1227"/>
    </row>
    <row r="429" spans="1:9" s="78" customFormat="1" ht="18" customHeight="1">
      <c r="A429" s="75"/>
      <c r="B429" s="356" t="s">
        <v>1892</v>
      </c>
      <c r="C429" s="76">
        <v>4</v>
      </c>
      <c r="D429" s="77">
        <v>6.1929999999999996</v>
      </c>
      <c r="E429" s="77"/>
      <c r="F429" s="77">
        <v>0.6</v>
      </c>
      <c r="G429" s="67">
        <f t="shared" si="20"/>
        <v>14.86</v>
      </c>
      <c r="H429" s="929" t="s">
        <v>2247</v>
      </c>
      <c r="I429" s="1227"/>
    </row>
    <row r="430" spans="1:9" s="78" customFormat="1" ht="18" customHeight="1">
      <c r="A430" s="75"/>
      <c r="B430" s="356" t="s">
        <v>1238</v>
      </c>
      <c r="C430" s="76">
        <v>4</v>
      </c>
      <c r="D430" s="77">
        <v>5.9530000000000003</v>
      </c>
      <c r="E430" s="68"/>
      <c r="F430" s="68">
        <v>0.45</v>
      </c>
      <c r="G430" s="67">
        <f t="shared" si="20"/>
        <v>10.72</v>
      </c>
      <c r="H430" s="929" t="s">
        <v>2247</v>
      </c>
      <c r="I430" s="1227"/>
    </row>
    <row r="431" spans="1:9" s="78" customFormat="1" ht="18" customHeight="1">
      <c r="A431" s="75"/>
      <c r="B431" s="63" t="s">
        <v>1239</v>
      </c>
      <c r="C431" s="70">
        <v>2</v>
      </c>
      <c r="D431" s="68">
        <f>6.45+3.25+3.2+0.7+4.9+0.7+3.2+3.25+6.45+0.2+0.2-8*0.4</f>
        <v>29.300000000000008</v>
      </c>
      <c r="E431" s="68"/>
      <c r="F431" s="68">
        <v>0.45</v>
      </c>
      <c r="G431" s="67">
        <f t="shared" si="20"/>
        <v>26.37</v>
      </c>
      <c r="H431" s="929" t="s">
        <v>2247</v>
      </c>
      <c r="I431" s="1227"/>
    </row>
    <row r="432" spans="1:9" s="78" customFormat="1" ht="18" customHeight="1">
      <c r="A432" s="75"/>
      <c r="B432" s="356" t="s">
        <v>1240</v>
      </c>
      <c r="C432" s="76">
        <v>4</v>
      </c>
      <c r="D432" s="77">
        <v>9.6850000000000005</v>
      </c>
      <c r="E432" s="68"/>
      <c r="F432" s="68">
        <v>0.45</v>
      </c>
      <c r="G432" s="67">
        <f t="shared" si="20"/>
        <v>17.43</v>
      </c>
      <c r="H432" s="929" t="s">
        <v>2247</v>
      </c>
      <c r="I432" s="1227"/>
    </row>
    <row r="433" spans="1:9" s="78" customFormat="1" ht="18" customHeight="1">
      <c r="A433" s="75"/>
      <c r="B433" s="63" t="s">
        <v>1241</v>
      </c>
      <c r="C433" s="70">
        <v>2</v>
      </c>
      <c r="D433" s="68">
        <v>4.5</v>
      </c>
      <c r="E433" s="68"/>
      <c r="F433" s="68">
        <v>0.45</v>
      </c>
      <c r="G433" s="67">
        <f t="shared" si="20"/>
        <v>4.05</v>
      </c>
      <c r="H433" s="929" t="s">
        <v>2247</v>
      </c>
      <c r="I433" s="1227"/>
    </row>
    <row r="434" spans="1:9" s="78" customFormat="1" ht="18" customHeight="1">
      <c r="A434" s="75"/>
      <c r="B434" s="356" t="s">
        <v>1242</v>
      </c>
      <c r="C434" s="76">
        <v>8</v>
      </c>
      <c r="D434" s="77">
        <v>9.8000000000000007</v>
      </c>
      <c r="E434" s="77"/>
      <c r="F434" s="77">
        <v>0.45</v>
      </c>
      <c r="G434" s="67">
        <f t="shared" si="20"/>
        <v>35.28</v>
      </c>
      <c r="H434" s="929" t="s">
        <v>2247</v>
      </c>
      <c r="I434" s="1227"/>
    </row>
    <row r="435" spans="1:9" s="78" customFormat="1" ht="18" customHeight="1">
      <c r="A435" s="75"/>
      <c r="B435" s="517" t="s">
        <v>1243</v>
      </c>
      <c r="C435" s="76">
        <v>4</v>
      </c>
      <c r="D435" s="77">
        <f>1.575+3.025+0.175-0.4</f>
        <v>4.3749999999999991</v>
      </c>
      <c r="E435" s="77"/>
      <c r="F435" s="77">
        <v>0.45</v>
      </c>
      <c r="G435" s="67">
        <f t="shared" si="20"/>
        <v>7.88</v>
      </c>
      <c r="H435" s="929" t="s">
        <v>2247</v>
      </c>
      <c r="I435" s="1227"/>
    </row>
    <row r="436" spans="1:9" s="78" customFormat="1" ht="18" customHeight="1">
      <c r="A436" s="75"/>
      <c r="B436" s="356" t="s">
        <v>1893</v>
      </c>
      <c r="C436" s="76">
        <v>2</v>
      </c>
      <c r="D436" s="77">
        <v>12.2</v>
      </c>
      <c r="E436" s="77"/>
      <c r="F436" s="77">
        <v>0.45</v>
      </c>
      <c r="G436" s="67">
        <f t="shared" si="20"/>
        <v>10.98</v>
      </c>
      <c r="H436" s="929" t="s">
        <v>2247</v>
      </c>
      <c r="I436" s="1227"/>
    </row>
    <row r="437" spans="1:9" s="78" customFormat="1" ht="18" customHeight="1">
      <c r="A437" s="75"/>
      <c r="B437" s="356" t="s">
        <v>1245</v>
      </c>
      <c r="C437" s="76">
        <v>2</v>
      </c>
      <c r="D437" s="77">
        <f>4.9+0.7+0.7-0.4</f>
        <v>5.9</v>
      </c>
      <c r="E437" s="77"/>
      <c r="F437" s="77">
        <v>0.45</v>
      </c>
      <c r="G437" s="67">
        <f t="shared" si="20"/>
        <v>5.31</v>
      </c>
      <c r="H437" s="929" t="s">
        <v>2247</v>
      </c>
      <c r="I437" s="1227"/>
    </row>
    <row r="438" spans="1:9" s="78" customFormat="1" ht="18" customHeight="1">
      <c r="A438" s="75"/>
      <c r="B438" s="356" t="s">
        <v>1246</v>
      </c>
      <c r="C438" s="76">
        <v>2</v>
      </c>
      <c r="D438" s="77">
        <v>11.625</v>
      </c>
      <c r="E438" s="77"/>
      <c r="F438" s="77">
        <v>0.45</v>
      </c>
      <c r="G438" s="67">
        <f t="shared" si="20"/>
        <v>10.46</v>
      </c>
      <c r="H438" s="929" t="s">
        <v>2247</v>
      </c>
      <c r="I438" s="1227"/>
    </row>
    <row r="439" spans="1:9" s="78" customFormat="1" ht="18" customHeight="1">
      <c r="A439" s="75"/>
      <c r="B439" s="63" t="s">
        <v>1247</v>
      </c>
      <c r="C439" s="70">
        <v>4</v>
      </c>
      <c r="D439" s="68">
        <f>3.6+1-0.55</f>
        <v>4.05</v>
      </c>
      <c r="E439" s="77"/>
      <c r="F439" s="77">
        <v>0.45</v>
      </c>
      <c r="G439" s="67">
        <f t="shared" si="20"/>
        <v>7.29</v>
      </c>
      <c r="H439" s="929" t="s">
        <v>2247</v>
      </c>
      <c r="I439" s="1227"/>
    </row>
    <row r="440" spans="1:9" s="78" customFormat="1" ht="18" customHeight="1">
      <c r="A440" s="75"/>
      <c r="B440" s="63" t="s">
        <v>1248</v>
      </c>
      <c r="C440" s="70">
        <v>2</v>
      </c>
      <c r="D440" s="68">
        <v>6.2329999999999997</v>
      </c>
      <c r="E440" s="77"/>
      <c r="F440" s="77">
        <v>0.45</v>
      </c>
      <c r="G440" s="67">
        <f t="shared" si="20"/>
        <v>5.61</v>
      </c>
      <c r="H440" s="929" t="s">
        <v>2247</v>
      </c>
      <c r="I440" s="1227"/>
    </row>
    <row r="441" spans="1:9" s="78" customFormat="1" ht="18" customHeight="1">
      <c r="A441" s="75"/>
      <c r="B441" s="63" t="s">
        <v>1249</v>
      </c>
      <c r="C441" s="70">
        <v>2</v>
      </c>
      <c r="D441" s="68">
        <v>38.39</v>
      </c>
      <c r="E441" s="77"/>
      <c r="F441" s="77">
        <v>0.45</v>
      </c>
      <c r="G441" s="67">
        <f t="shared" si="20"/>
        <v>34.549999999999997</v>
      </c>
      <c r="H441" s="929" t="s">
        <v>2247</v>
      </c>
      <c r="I441" s="1227"/>
    </row>
    <row r="442" spans="1:9" s="78" customFormat="1" ht="18" customHeight="1">
      <c r="A442" s="75"/>
      <c r="B442" s="63" t="s">
        <v>1250</v>
      </c>
      <c r="C442" s="70">
        <v>2</v>
      </c>
      <c r="D442" s="68">
        <v>2.87</v>
      </c>
      <c r="E442" s="77"/>
      <c r="F442" s="77">
        <v>0.45</v>
      </c>
      <c r="G442" s="67">
        <f t="shared" si="20"/>
        <v>2.58</v>
      </c>
      <c r="H442" s="929" t="s">
        <v>2247</v>
      </c>
      <c r="I442" s="1227"/>
    </row>
    <row r="443" spans="1:9" s="78" customFormat="1" ht="18" customHeight="1">
      <c r="A443" s="75"/>
      <c r="B443" s="63" t="s">
        <v>1251</v>
      </c>
      <c r="C443" s="70">
        <v>2</v>
      </c>
      <c r="D443" s="68">
        <v>0.47</v>
      </c>
      <c r="E443" s="77"/>
      <c r="F443" s="77">
        <v>0.45</v>
      </c>
      <c r="G443" s="67">
        <f t="shared" si="20"/>
        <v>0.42</v>
      </c>
      <c r="H443" s="929" t="s">
        <v>2247</v>
      </c>
      <c r="I443" s="1227"/>
    </row>
    <row r="444" spans="1:9" s="78" customFormat="1" ht="18" customHeight="1">
      <c r="A444" s="75"/>
      <c r="B444" s="63" t="s">
        <v>1252</v>
      </c>
      <c r="C444" s="70">
        <v>2</v>
      </c>
      <c r="D444" s="68">
        <v>1.67</v>
      </c>
      <c r="E444" s="77"/>
      <c r="F444" s="77">
        <v>0.45</v>
      </c>
      <c r="G444" s="67">
        <f t="shared" si="20"/>
        <v>1.5</v>
      </c>
      <c r="H444" s="929" t="s">
        <v>2247</v>
      </c>
      <c r="I444" s="1227"/>
    </row>
    <row r="445" spans="1:9" s="78" customFormat="1" ht="18" customHeight="1">
      <c r="A445" s="75"/>
      <c r="B445" s="63" t="s">
        <v>1253</v>
      </c>
      <c r="C445" s="70">
        <v>2</v>
      </c>
      <c r="D445" s="68">
        <v>41.984999999999999</v>
      </c>
      <c r="E445" s="77"/>
      <c r="F445" s="77">
        <v>0.45</v>
      </c>
      <c r="G445" s="67">
        <f t="shared" si="20"/>
        <v>37.79</v>
      </c>
      <c r="H445" s="929" t="s">
        <v>2247</v>
      </c>
      <c r="I445" s="1227"/>
    </row>
    <row r="446" spans="1:9" s="78" customFormat="1" ht="18" customHeight="1">
      <c r="A446" s="75"/>
      <c r="B446" s="63" t="s">
        <v>1254</v>
      </c>
      <c r="C446" s="76">
        <v>2</v>
      </c>
      <c r="D446" s="68">
        <f>3.025+0.175+6.45+3.25+3.2+0.7+4.9+0.7+3.2+3.25+6.45+0.175+3.025+0.2+0.2-8*0.4</f>
        <v>35.700000000000003</v>
      </c>
      <c r="E446" s="77"/>
      <c r="F446" s="77">
        <v>0.45</v>
      </c>
      <c r="G446" s="67">
        <f t="shared" si="20"/>
        <v>32.130000000000003</v>
      </c>
      <c r="H446" s="929" t="s">
        <v>2247</v>
      </c>
      <c r="I446" s="1227"/>
    </row>
    <row r="447" spans="1:9" s="78" customFormat="1" ht="18" customHeight="1">
      <c r="A447" s="75"/>
      <c r="B447" s="63" t="s">
        <v>1255</v>
      </c>
      <c r="C447" s="70">
        <v>2</v>
      </c>
      <c r="D447" s="68">
        <f>0.7+4.9+0.7-0.4</f>
        <v>5.9</v>
      </c>
      <c r="E447" s="77"/>
      <c r="F447" s="77">
        <v>0.45</v>
      </c>
      <c r="G447" s="67">
        <f t="shared" si="20"/>
        <v>5.31</v>
      </c>
      <c r="H447" s="929" t="s">
        <v>2247</v>
      </c>
      <c r="I447" s="1227"/>
    </row>
    <row r="448" spans="1:9" s="78" customFormat="1" ht="18" customHeight="1">
      <c r="A448" s="75"/>
      <c r="B448" s="63" t="s">
        <v>1256</v>
      </c>
      <c r="C448" s="70">
        <v>2</v>
      </c>
      <c r="D448" s="68">
        <f>0.7+4.9+0.7-0.4</f>
        <v>5.9</v>
      </c>
      <c r="E448" s="77"/>
      <c r="F448" s="77">
        <v>0.6</v>
      </c>
      <c r="G448" s="67">
        <f t="shared" si="20"/>
        <v>7.08</v>
      </c>
      <c r="H448" s="929" t="s">
        <v>2247</v>
      </c>
      <c r="I448" s="1227"/>
    </row>
    <row r="449" spans="1:9" s="78" customFormat="1" ht="18" customHeight="1">
      <c r="A449" s="75"/>
      <c r="B449" s="373" t="s">
        <v>1257</v>
      </c>
      <c r="C449" s="76">
        <v>4</v>
      </c>
      <c r="D449" s="367">
        <v>10.798</v>
      </c>
      <c r="E449" s="77"/>
      <c r="F449" s="77">
        <v>0.45</v>
      </c>
      <c r="G449" s="67">
        <f t="shared" si="20"/>
        <v>19.440000000000001</v>
      </c>
      <c r="H449" s="929" t="s">
        <v>2247</v>
      </c>
      <c r="I449" s="1227"/>
    </row>
    <row r="450" spans="1:9" s="78" customFormat="1" ht="18" customHeight="1">
      <c r="A450" s="75"/>
      <c r="B450" s="356" t="s">
        <v>1258</v>
      </c>
      <c r="C450" s="76">
        <v>4</v>
      </c>
      <c r="D450" s="77">
        <f>3.075+1.6+1.775+6.4+4.925+1.475+1.825+1.425-0.1-0.2-0.4-0.4-0.4</f>
        <v>21.000000000000007</v>
      </c>
      <c r="E450" s="77"/>
      <c r="F450" s="77">
        <v>0.45</v>
      </c>
      <c r="G450" s="67">
        <f t="shared" si="20"/>
        <v>37.799999999999997</v>
      </c>
      <c r="H450" s="929" t="s">
        <v>2247</v>
      </c>
      <c r="I450" s="1227"/>
    </row>
    <row r="451" spans="1:9" s="78" customFormat="1" ht="18" customHeight="1">
      <c r="A451" s="75"/>
      <c r="B451" s="356" t="s">
        <v>1259</v>
      </c>
      <c r="C451" s="76">
        <v>4</v>
      </c>
      <c r="D451" s="77">
        <v>4.9420000000000002</v>
      </c>
      <c r="E451" s="77"/>
      <c r="F451" s="77">
        <v>0.45</v>
      </c>
      <c r="G451" s="67">
        <f t="shared" si="20"/>
        <v>8.9</v>
      </c>
      <c r="H451" s="929" t="s">
        <v>2247</v>
      </c>
      <c r="I451" s="1227"/>
    </row>
    <row r="452" spans="1:9" s="78" customFormat="1" ht="18" customHeight="1">
      <c r="A452" s="75"/>
      <c r="B452" s="374" t="s">
        <v>1260</v>
      </c>
      <c r="C452" s="76">
        <v>4</v>
      </c>
      <c r="D452" s="77">
        <v>8.1280000000000001</v>
      </c>
      <c r="E452" s="77"/>
      <c r="F452" s="77">
        <v>0.6</v>
      </c>
      <c r="G452" s="67">
        <f t="shared" si="20"/>
        <v>19.510000000000002</v>
      </c>
      <c r="H452" s="929" t="s">
        <v>2247</v>
      </c>
      <c r="I452" s="1227"/>
    </row>
    <row r="453" spans="1:9" s="78" customFormat="1" ht="18" customHeight="1">
      <c r="A453" s="75"/>
      <c r="B453" s="63" t="s">
        <v>1261</v>
      </c>
      <c r="C453" s="70">
        <v>4</v>
      </c>
      <c r="D453" s="68">
        <v>2.8149999999999999</v>
      </c>
      <c r="E453" s="77"/>
      <c r="F453" s="77">
        <v>0.45</v>
      </c>
      <c r="G453" s="67">
        <f t="shared" si="20"/>
        <v>5.07</v>
      </c>
      <c r="H453" s="929" t="s">
        <v>2247</v>
      </c>
      <c r="I453" s="1227"/>
    </row>
    <row r="454" spans="1:9" s="78" customFormat="1" ht="18" customHeight="1">
      <c r="A454" s="75"/>
      <c r="B454" s="63" t="s">
        <v>1262</v>
      </c>
      <c r="C454" s="70">
        <v>4</v>
      </c>
      <c r="D454" s="68">
        <v>3.22</v>
      </c>
      <c r="E454" s="77"/>
      <c r="F454" s="77">
        <v>0.45</v>
      </c>
      <c r="G454" s="67">
        <f t="shared" si="20"/>
        <v>5.8</v>
      </c>
      <c r="H454" s="929" t="s">
        <v>2247</v>
      </c>
      <c r="I454" s="1227"/>
    </row>
    <row r="455" spans="1:9" s="78" customFormat="1" ht="18" customHeight="1">
      <c r="A455" s="75"/>
      <c r="B455" s="63" t="s">
        <v>1263</v>
      </c>
      <c r="C455" s="70">
        <v>4</v>
      </c>
      <c r="D455" s="68">
        <f>2.25+1.525-0.4</f>
        <v>3.375</v>
      </c>
      <c r="E455" s="77"/>
      <c r="F455" s="77">
        <v>0.45</v>
      </c>
      <c r="G455" s="67">
        <f t="shared" si="20"/>
        <v>6.08</v>
      </c>
      <c r="H455" s="929" t="s">
        <v>2247</v>
      </c>
      <c r="I455" s="1227"/>
    </row>
    <row r="456" spans="1:9" s="78" customFormat="1" ht="18" customHeight="1">
      <c r="A456" s="75"/>
      <c r="B456" s="63" t="s">
        <v>1264</v>
      </c>
      <c r="C456" s="70">
        <v>4</v>
      </c>
      <c r="D456" s="621">
        <f>3.075+1.6+1.775+6.4+4.925+1.475+1.825+1.425-0.4-1.2</f>
        <v>20.900000000000006</v>
      </c>
      <c r="E456" s="77"/>
      <c r="F456" s="77">
        <v>0.45</v>
      </c>
      <c r="G456" s="67">
        <f t="shared" si="20"/>
        <v>37.619999999999997</v>
      </c>
      <c r="H456" s="929" t="s">
        <v>2247</v>
      </c>
      <c r="I456" s="1227"/>
    </row>
    <row r="457" spans="1:9" s="78" customFormat="1" ht="18" customHeight="1">
      <c r="A457" s="75"/>
      <c r="B457" s="63" t="s">
        <v>1265</v>
      </c>
      <c r="C457" s="70">
        <v>4</v>
      </c>
      <c r="D457" s="68">
        <f>2.25+1.525+3.075+1.6+1.775-0.2-0.55-0.55-0.13</f>
        <v>8.7949999999999982</v>
      </c>
      <c r="E457" s="77"/>
      <c r="F457" s="77">
        <v>0.45</v>
      </c>
      <c r="G457" s="67">
        <f t="shared" si="20"/>
        <v>15.83</v>
      </c>
      <c r="H457" s="929" t="s">
        <v>2247</v>
      </c>
      <c r="I457" s="1227"/>
    </row>
    <row r="458" spans="1:9" s="78" customFormat="1" ht="18" customHeight="1">
      <c r="A458" s="75"/>
      <c r="B458" s="63" t="s">
        <v>1266</v>
      </c>
      <c r="C458" s="70">
        <v>4</v>
      </c>
      <c r="D458" s="68">
        <f>6.4+4.925+1.475-0.2-0.2-0.4</f>
        <v>12</v>
      </c>
      <c r="E458" s="77"/>
      <c r="F458" s="77">
        <v>0.45</v>
      </c>
      <c r="G458" s="67">
        <f t="shared" si="20"/>
        <v>21.6</v>
      </c>
      <c r="H458" s="929" t="s">
        <v>2247</v>
      </c>
      <c r="I458" s="1227"/>
    </row>
    <row r="459" spans="1:9" s="78" customFormat="1" ht="18" customHeight="1">
      <c r="A459" s="75"/>
      <c r="B459" s="63" t="s">
        <v>1267</v>
      </c>
      <c r="C459" s="70">
        <v>4</v>
      </c>
      <c r="D459" s="68">
        <f>1.825+1.425-0.1-0.2</f>
        <v>2.9499999999999997</v>
      </c>
      <c r="E459" s="77"/>
      <c r="F459" s="77">
        <v>0.45</v>
      </c>
      <c r="G459" s="67">
        <f t="shared" si="20"/>
        <v>5.31</v>
      </c>
      <c r="H459" s="929" t="s">
        <v>2247</v>
      </c>
      <c r="I459" s="1227"/>
    </row>
    <row r="460" spans="1:9" s="78" customFormat="1" ht="18" customHeight="1">
      <c r="A460" s="75"/>
      <c r="B460" s="63" t="s">
        <v>1268</v>
      </c>
      <c r="C460" s="70">
        <v>4</v>
      </c>
      <c r="D460" s="68">
        <f>4.6-0.275-0.2</f>
        <v>4.1249999999999991</v>
      </c>
      <c r="E460" s="77"/>
      <c r="F460" s="77">
        <v>0.45</v>
      </c>
      <c r="G460" s="67">
        <f t="shared" si="20"/>
        <v>7.43</v>
      </c>
      <c r="H460" s="929" t="s">
        <v>2247</v>
      </c>
      <c r="I460" s="1227"/>
    </row>
    <row r="461" spans="1:9" s="78" customFormat="1" ht="18" customHeight="1">
      <c r="A461" s="75"/>
      <c r="B461" s="63" t="s">
        <v>1269</v>
      </c>
      <c r="C461" s="70">
        <v>4</v>
      </c>
      <c r="D461" s="68">
        <f>1.825+1.425+3.175-0.2-0.4-0.115-0.23</f>
        <v>5.4799999999999986</v>
      </c>
      <c r="E461" s="77"/>
      <c r="F461" s="77">
        <v>0.45</v>
      </c>
      <c r="G461" s="67">
        <f t="shared" si="20"/>
        <v>9.86</v>
      </c>
      <c r="H461" s="929" t="s">
        <v>2247</v>
      </c>
      <c r="I461" s="1227"/>
    </row>
    <row r="462" spans="1:9" s="78" customFormat="1" ht="18" customHeight="1">
      <c r="A462" s="75"/>
      <c r="B462" s="63" t="s">
        <v>1270</v>
      </c>
      <c r="C462" s="70">
        <v>4</v>
      </c>
      <c r="D462" s="68">
        <v>1.835</v>
      </c>
      <c r="E462" s="77"/>
      <c r="F462" s="77">
        <v>0.45</v>
      </c>
      <c r="G462" s="67">
        <f t="shared" si="20"/>
        <v>3.3</v>
      </c>
      <c r="H462" s="929" t="s">
        <v>2247</v>
      </c>
      <c r="I462" s="1227"/>
    </row>
    <row r="463" spans="1:9" s="78" customFormat="1" ht="18" customHeight="1">
      <c r="A463" s="75"/>
      <c r="B463" s="63" t="s">
        <v>1271</v>
      </c>
      <c r="C463" s="70">
        <v>4</v>
      </c>
      <c r="D463" s="67">
        <f>1.875+2.725+2.462-0.2-0.2-0.23</f>
        <v>6.4319999999999986</v>
      </c>
      <c r="E463" s="77"/>
      <c r="F463" s="68">
        <v>0.6</v>
      </c>
      <c r="G463" s="67">
        <f t="shared" si="20"/>
        <v>15.44</v>
      </c>
      <c r="H463" s="929" t="s">
        <v>2247</v>
      </c>
      <c r="I463" s="1227"/>
    </row>
    <row r="464" spans="1:9" s="78" customFormat="1" ht="18" customHeight="1">
      <c r="A464" s="75"/>
      <c r="B464" s="406" t="s">
        <v>1272</v>
      </c>
      <c r="C464" s="70">
        <v>4</v>
      </c>
      <c r="D464" s="67">
        <v>35.741999999999997</v>
      </c>
      <c r="E464" s="77"/>
      <c r="F464" s="77">
        <v>0.45</v>
      </c>
      <c r="G464" s="67">
        <f t="shared" si="20"/>
        <v>64.34</v>
      </c>
      <c r="H464" s="929" t="s">
        <v>2247</v>
      </c>
      <c r="I464" s="1227"/>
    </row>
    <row r="465" spans="1:9" s="78" customFormat="1" ht="18" customHeight="1">
      <c r="A465" s="75"/>
      <c r="B465" s="353" t="s">
        <v>1273</v>
      </c>
      <c r="C465" s="70">
        <v>8</v>
      </c>
      <c r="D465" s="68">
        <v>9.6720000000000006</v>
      </c>
      <c r="E465" s="77"/>
      <c r="F465" s="77">
        <v>0.45</v>
      </c>
      <c r="G465" s="67">
        <f t="shared" si="20"/>
        <v>34.82</v>
      </c>
      <c r="H465" s="929" t="s">
        <v>2247</v>
      </c>
      <c r="I465" s="1227"/>
    </row>
    <row r="466" spans="1:9" s="78" customFormat="1" ht="18" customHeight="1">
      <c r="A466" s="75"/>
      <c r="B466" s="63" t="s">
        <v>1274</v>
      </c>
      <c r="C466" s="70">
        <v>2</v>
      </c>
      <c r="D466" s="68">
        <v>4.54</v>
      </c>
      <c r="E466" s="77"/>
      <c r="F466" s="77">
        <v>0.45</v>
      </c>
      <c r="G466" s="67">
        <f t="shared" si="20"/>
        <v>4.09</v>
      </c>
      <c r="H466" s="929" t="s">
        <v>2247</v>
      </c>
      <c r="I466" s="1227"/>
    </row>
    <row r="467" spans="1:9" s="78" customFormat="1" ht="18" customHeight="1">
      <c r="A467" s="75"/>
      <c r="B467" s="406" t="s">
        <v>1275</v>
      </c>
      <c r="C467" s="70">
        <v>4</v>
      </c>
      <c r="D467" s="68">
        <v>7.7839999999999998</v>
      </c>
      <c r="E467" s="77"/>
      <c r="F467" s="77">
        <v>0.6</v>
      </c>
      <c r="G467" s="67">
        <f t="shared" si="20"/>
        <v>18.68</v>
      </c>
      <c r="H467" s="929" t="s">
        <v>2247</v>
      </c>
      <c r="I467" s="1227"/>
    </row>
    <row r="468" spans="1:9" s="78" customFormat="1" ht="18" customHeight="1">
      <c r="A468" s="75"/>
      <c r="B468" s="63" t="s">
        <v>1276</v>
      </c>
      <c r="C468" s="70">
        <v>4</v>
      </c>
      <c r="D468" s="68">
        <v>14.62</v>
      </c>
      <c r="E468" s="77"/>
      <c r="F468" s="77">
        <v>0.45</v>
      </c>
      <c r="G468" s="67">
        <f t="shared" si="20"/>
        <v>26.32</v>
      </c>
      <c r="H468" s="929" t="s">
        <v>2247</v>
      </c>
      <c r="I468" s="1227"/>
    </row>
    <row r="469" spans="1:9" s="78" customFormat="1" ht="18" customHeight="1">
      <c r="A469" s="75"/>
      <c r="B469" s="409" t="s">
        <v>1277</v>
      </c>
      <c r="C469" s="70">
        <v>4</v>
      </c>
      <c r="D469" s="68">
        <v>7.9749999999999996</v>
      </c>
      <c r="E469" s="77"/>
      <c r="F469" s="77">
        <v>0.6</v>
      </c>
      <c r="G469" s="67">
        <f t="shared" si="20"/>
        <v>19.14</v>
      </c>
      <c r="H469" s="929" t="s">
        <v>2247</v>
      </c>
      <c r="I469" s="1227"/>
    </row>
    <row r="470" spans="1:9" s="78" customFormat="1" ht="18" customHeight="1">
      <c r="A470" s="75"/>
      <c r="B470" s="409" t="s">
        <v>1894</v>
      </c>
      <c r="C470" s="70">
        <v>4</v>
      </c>
      <c r="D470" s="68">
        <v>12.87</v>
      </c>
      <c r="E470" s="77"/>
      <c r="F470" s="77">
        <v>0.45</v>
      </c>
      <c r="G470" s="67">
        <f t="shared" si="20"/>
        <v>23.17</v>
      </c>
      <c r="H470" s="929" t="s">
        <v>2247</v>
      </c>
      <c r="I470" s="1227"/>
    </row>
    <row r="471" spans="1:9" s="78" customFormat="1" ht="18" customHeight="1">
      <c r="A471" s="75"/>
      <c r="B471" s="63" t="s">
        <v>1279</v>
      </c>
      <c r="C471" s="70">
        <v>4</v>
      </c>
      <c r="D471" s="68">
        <v>4.54</v>
      </c>
      <c r="E471" s="77"/>
      <c r="F471" s="77">
        <v>0.45</v>
      </c>
      <c r="G471" s="67">
        <f t="shared" si="20"/>
        <v>8.17</v>
      </c>
      <c r="H471" s="929" t="s">
        <v>2247</v>
      </c>
      <c r="I471" s="1227"/>
    </row>
    <row r="472" spans="1:9" s="78" customFormat="1" ht="18" customHeight="1">
      <c r="A472" s="75"/>
      <c r="B472" s="63" t="s">
        <v>1866</v>
      </c>
      <c r="C472" s="70">
        <v>72</v>
      </c>
      <c r="D472" s="68">
        <v>0.6</v>
      </c>
      <c r="E472" s="68"/>
      <c r="F472" s="68">
        <v>0.45</v>
      </c>
      <c r="G472" s="67">
        <f t="shared" si="20"/>
        <v>19.440000000000001</v>
      </c>
      <c r="H472" s="929" t="s">
        <v>2247</v>
      </c>
      <c r="I472" s="1227"/>
    </row>
    <row r="473" spans="1:9" s="78" customFormat="1" ht="18" customHeight="1">
      <c r="A473" s="75"/>
      <c r="B473" s="63" t="s">
        <v>1895</v>
      </c>
      <c r="C473" s="70">
        <v>4</v>
      </c>
      <c r="D473" s="68">
        <v>9.7379999999999995</v>
      </c>
      <c r="E473" s="68"/>
      <c r="F473" s="68">
        <v>0.45</v>
      </c>
      <c r="G473" s="67">
        <f t="shared" si="20"/>
        <v>17.53</v>
      </c>
      <c r="H473" s="929" t="s">
        <v>2247</v>
      </c>
      <c r="I473" s="1227"/>
    </row>
    <row r="474" spans="1:9" s="78" customFormat="1" ht="18" customHeight="1">
      <c r="A474" s="75"/>
      <c r="B474" s="63" t="s">
        <v>1896</v>
      </c>
      <c r="C474" s="70">
        <v>8</v>
      </c>
      <c r="D474" s="68">
        <v>1.18</v>
      </c>
      <c r="E474" s="68"/>
      <c r="F474" s="68">
        <v>0.45</v>
      </c>
      <c r="G474" s="67">
        <f t="shared" si="20"/>
        <v>4.25</v>
      </c>
      <c r="H474" s="929" t="s">
        <v>2247</v>
      </c>
      <c r="I474" s="1227"/>
    </row>
    <row r="475" spans="1:9" s="79" customFormat="1" ht="18" customHeight="1">
      <c r="A475" s="719" t="s">
        <v>2208</v>
      </c>
      <c r="B475" s="548" t="s">
        <v>1957</v>
      </c>
      <c r="C475" s="404"/>
      <c r="D475" s="405"/>
      <c r="E475" s="405"/>
      <c r="F475" s="405"/>
      <c r="G475" s="67" t="str">
        <f t="shared" si="20"/>
        <v xml:space="preserve"> </v>
      </c>
      <c r="H475" s="935"/>
      <c r="I475" s="1231"/>
    </row>
    <row r="476" spans="1:9" s="79" customFormat="1" ht="18" customHeight="1">
      <c r="A476" s="407"/>
      <c r="B476" s="548" t="s">
        <v>1047</v>
      </c>
      <c r="C476" s="404"/>
      <c r="D476" s="405"/>
      <c r="E476" s="405"/>
      <c r="F476" s="405"/>
      <c r="G476" s="67" t="str">
        <f t="shared" si="20"/>
        <v xml:space="preserve"> </v>
      </c>
      <c r="H476" s="935" t="s">
        <v>2208</v>
      </c>
      <c r="I476" s="1231"/>
    </row>
    <row r="477" spans="1:9" s="79" customFormat="1" ht="18" customHeight="1">
      <c r="A477" s="407"/>
      <c r="B477" s="548" t="s">
        <v>1649</v>
      </c>
      <c r="C477" s="404"/>
      <c r="D477" s="405"/>
      <c r="E477" s="405"/>
      <c r="F477" s="405"/>
      <c r="G477" s="67" t="str">
        <f t="shared" si="20"/>
        <v xml:space="preserve"> </v>
      </c>
      <c r="H477" s="935" t="s">
        <v>2208</v>
      </c>
      <c r="I477" s="1231"/>
    </row>
    <row r="478" spans="1:9" s="79" customFormat="1" ht="18" customHeight="1">
      <c r="A478" s="407"/>
      <c r="B478" s="81" t="s">
        <v>1963</v>
      </c>
      <c r="C478" s="404">
        <v>4</v>
      </c>
      <c r="D478" s="405">
        <f>2.25+1.875+2.725+2.462+0.1</f>
        <v>9.411999999999999</v>
      </c>
      <c r="E478" s="405">
        <f>0.4+0.2</f>
        <v>0.60000000000000009</v>
      </c>
      <c r="F478" s="405"/>
      <c r="G478" s="67">
        <f t="shared" si="20"/>
        <v>22.59</v>
      </c>
      <c r="H478" s="935" t="s">
        <v>2208</v>
      </c>
      <c r="I478" s="1231"/>
    </row>
    <row r="479" spans="1:9" s="79" customFormat="1" ht="18" customHeight="1">
      <c r="A479" s="407"/>
      <c r="B479" s="81" t="s">
        <v>965</v>
      </c>
      <c r="C479" s="404">
        <v>2</v>
      </c>
      <c r="D479" s="405">
        <v>10.593</v>
      </c>
      <c r="E479" s="405">
        <f>0.4+0.2</f>
        <v>0.60000000000000009</v>
      </c>
      <c r="F479" s="405"/>
      <c r="G479" s="67">
        <f t="shared" si="20"/>
        <v>12.71</v>
      </c>
      <c r="H479" s="935" t="s">
        <v>2208</v>
      </c>
      <c r="I479" s="1231"/>
    </row>
    <row r="480" spans="1:9" s="79" customFormat="1" ht="18" customHeight="1">
      <c r="A480" s="407"/>
      <c r="B480" s="81" t="s">
        <v>960</v>
      </c>
      <c r="C480" s="404">
        <v>2</v>
      </c>
      <c r="D480" s="405">
        <f>2.298+3.6+1</f>
        <v>6.8979999999999997</v>
      </c>
      <c r="E480" s="405">
        <f>0.4+0.2</f>
        <v>0.60000000000000009</v>
      </c>
      <c r="F480" s="405"/>
      <c r="G480" s="67">
        <f t="shared" si="20"/>
        <v>8.2799999999999994</v>
      </c>
      <c r="H480" s="935" t="s">
        <v>2208</v>
      </c>
      <c r="I480" s="1231"/>
    </row>
    <row r="481" spans="1:9" s="79" customFormat="1" ht="18" customHeight="1">
      <c r="A481" s="407"/>
      <c r="B481" s="81" t="s">
        <v>1964</v>
      </c>
      <c r="C481" s="404">
        <v>2</v>
      </c>
      <c r="D481" s="405">
        <v>5.5049999999999999</v>
      </c>
      <c r="E481" s="405">
        <f>0.4+0.2</f>
        <v>0.60000000000000009</v>
      </c>
      <c r="F481" s="405"/>
      <c r="G481" s="67">
        <f t="shared" si="20"/>
        <v>6.61</v>
      </c>
      <c r="H481" s="935" t="s">
        <v>2208</v>
      </c>
      <c r="I481" s="1231"/>
    </row>
    <row r="482" spans="1:9" s="79" customFormat="1" ht="18" customHeight="1">
      <c r="A482" s="407"/>
      <c r="B482" s="81" t="s">
        <v>1283</v>
      </c>
      <c r="C482" s="404">
        <v>2</v>
      </c>
      <c r="D482" s="405">
        <f>3.6+1+2.25+1.575+3.025</f>
        <v>11.45</v>
      </c>
      <c r="E482" s="405">
        <f>0.4+0.2</f>
        <v>0.60000000000000009</v>
      </c>
      <c r="F482" s="405"/>
      <c r="G482" s="67">
        <f t="shared" si="20"/>
        <v>13.74</v>
      </c>
      <c r="H482" s="935" t="s">
        <v>2208</v>
      </c>
      <c r="I482" s="1231"/>
    </row>
    <row r="483" spans="1:9" ht="18" customHeight="1">
      <c r="A483" s="624" t="s">
        <v>1280</v>
      </c>
      <c r="B483" s="64" t="s">
        <v>2249</v>
      </c>
      <c r="C483" s="70"/>
      <c r="D483" s="68"/>
      <c r="E483" s="68"/>
      <c r="F483" s="68"/>
      <c r="G483" s="67" t="str">
        <f t="shared" si="20"/>
        <v xml:space="preserve"> </v>
      </c>
      <c r="H483" s="929"/>
    </row>
    <row r="484" spans="1:9" ht="18" customHeight="1">
      <c r="A484" s="128"/>
      <c r="B484" s="63" t="s">
        <v>1144</v>
      </c>
      <c r="C484" s="70">
        <v>2</v>
      </c>
      <c r="D484" s="68">
        <f>3.03+3.03+3.03-0.6</f>
        <v>8.49</v>
      </c>
      <c r="E484" s="68"/>
      <c r="F484" s="68">
        <v>0.15</v>
      </c>
      <c r="G484" s="67">
        <f t="shared" ref="G484:G547" si="21">IF(C484&lt;&gt;0,ROUND(PRODUCT(D484:F484)*C484,2)," ")</f>
        <v>2.5499999999999998</v>
      </c>
      <c r="H484" s="929" t="s">
        <v>1280</v>
      </c>
    </row>
    <row r="485" spans="1:9" ht="18" customHeight="1">
      <c r="A485" s="128"/>
      <c r="B485" s="63" t="s">
        <v>1287</v>
      </c>
      <c r="C485" s="70">
        <v>2</v>
      </c>
      <c r="D485" s="68">
        <f>3.03+3.03+3.03-0.6</f>
        <v>8.49</v>
      </c>
      <c r="E485" s="68"/>
      <c r="F485" s="68">
        <v>0.15</v>
      </c>
      <c r="G485" s="67">
        <f t="shared" si="21"/>
        <v>2.5499999999999998</v>
      </c>
      <c r="H485" s="929" t="s">
        <v>1280</v>
      </c>
    </row>
    <row r="486" spans="1:9" ht="18" customHeight="1">
      <c r="A486" s="128"/>
      <c r="B486" s="63" t="s">
        <v>1096</v>
      </c>
      <c r="C486" s="70">
        <v>2</v>
      </c>
      <c r="D486" s="68">
        <v>12.44</v>
      </c>
      <c r="E486" s="68"/>
      <c r="F486" s="68">
        <v>0.15</v>
      </c>
      <c r="G486" s="67">
        <f t="shared" si="21"/>
        <v>3.73</v>
      </c>
      <c r="H486" s="929" t="s">
        <v>1280</v>
      </c>
    </row>
    <row r="487" spans="1:9" ht="18" customHeight="1">
      <c r="A487" s="128"/>
      <c r="B487" s="63" t="s">
        <v>1071</v>
      </c>
      <c r="C487" s="70">
        <v>2</v>
      </c>
      <c r="D487" s="68">
        <f>4.9-0.2</f>
        <v>4.7</v>
      </c>
      <c r="E487" s="68"/>
      <c r="F487" s="68">
        <v>0.15</v>
      </c>
      <c r="G487" s="67">
        <f t="shared" si="21"/>
        <v>1.41</v>
      </c>
      <c r="H487" s="929" t="s">
        <v>1280</v>
      </c>
    </row>
    <row r="488" spans="1:9" ht="18" customHeight="1">
      <c r="A488" s="128"/>
      <c r="B488" s="63" t="s">
        <v>1285</v>
      </c>
      <c r="C488" s="70">
        <v>2</v>
      </c>
      <c r="D488" s="68">
        <f>6.3-0.2</f>
        <v>6.1</v>
      </c>
      <c r="E488" s="68"/>
      <c r="F488" s="68">
        <v>0.15</v>
      </c>
      <c r="G488" s="67">
        <f t="shared" si="21"/>
        <v>1.83</v>
      </c>
      <c r="H488" s="929" t="s">
        <v>1280</v>
      </c>
    </row>
    <row r="489" spans="1:9" ht="18" customHeight="1">
      <c r="A489" s="128"/>
      <c r="B489" s="63" t="s">
        <v>1284</v>
      </c>
      <c r="C489" s="70">
        <v>2</v>
      </c>
      <c r="D489" s="68">
        <f>6.3-0.2</f>
        <v>6.1</v>
      </c>
      <c r="E489" s="68"/>
      <c r="F489" s="68">
        <v>0.15</v>
      </c>
      <c r="G489" s="67">
        <f t="shared" si="21"/>
        <v>1.83</v>
      </c>
      <c r="H489" s="929" t="s">
        <v>1280</v>
      </c>
    </row>
    <row r="490" spans="1:9" ht="18" customHeight="1">
      <c r="A490" s="128"/>
      <c r="B490" s="63" t="s">
        <v>1288</v>
      </c>
      <c r="C490" s="70">
        <v>4</v>
      </c>
      <c r="D490" s="68">
        <v>3.3</v>
      </c>
      <c r="E490" s="68"/>
      <c r="F490" s="68">
        <v>0.15</v>
      </c>
      <c r="G490" s="67">
        <f t="shared" si="21"/>
        <v>1.98</v>
      </c>
      <c r="H490" s="929" t="s">
        <v>1280</v>
      </c>
    </row>
    <row r="491" spans="1:9" ht="18" customHeight="1">
      <c r="A491" s="128"/>
      <c r="B491" s="582" t="s">
        <v>1289</v>
      </c>
      <c r="C491" s="70"/>
      <c r="D491" s="68"/>
      <c r="E491" s="68"/>
      <c r="F491" s="68"/>
      <c r="G491" s="67" t="str">
        <f t="shared" si="21"/>
        <v xml:space="preserve"> </v>
      </c>
      <c r="H491" s="929" t="s">
        <v>1280</v>
      </c>
    </row>
    <row r="492" spans="1:9" ht="18" customHeight="1">
      <c r="A492" s="128"/>
      <c r="B492" s="63" t="s">
        <v>967</v>
      </c>
      <c r="C492" s="70">
        <v>4</v>
      </c>
      <c r="D492" s="68">
        <v>9.5280000000000005</v>
      </c>
      <c r="E492" s="68"/>
      <c r="F492" s="68">
        <v>0.15</v>
      </c>
      <c r="G492" s="67">
        <f t="shared" si="21"/>
        <v>5.72</v>
      </c>
      <c r="H492" s="929" t="s">
        <v>1280</v>
      </c>
    </row>
    <row r="493" spans="1:9" ht="18" customHeight="1">
      <c r="A493" s="128"/>
      <c r="B493" s="63" t="s">
        <v>1108</v>
      </c>
      <c r="C493" s="70">
        <v>4</v>
      </c>
      <c r="D493" s="68">
        <v>9.5280000000000005</v>
      </c>
      <c r="E493" s="68"/>
      <c r="F493" s="68">
        <v>0.15</v>
      </c>
      <c r="G493" s="67">
        <f t="shared" si="21"/>
        <v>5.72</v>
      </c>
      <c r="H493" s="929" t="s">
        <v>1280</v>
      </c>
    </row>
    <row r="494" spans="1:9" ht="18" customHeight="1">
      <c r="A494" s="128"/>
      <c r="B494" s="63" t="s">
        <v>965</v>
      </c>
      <c r="C494" s="70">
        <v>4</v>
      </c>
      <c r="D494" s="68">
        <f>3.575+3.575+3.575-0.6</f>
        <v>10.125000000000002</v>
      </c>
      <c r="E494" s="68"/>
      <c r="F494" s="68">
        <v>0.15</v>
      </c>
      <c r="G494" s="67">
        <f t="shared" si="21"/>
        <v>6.08</v>
      </c>
      <c r="H494" s="929" t="s">
        <v>1280</v>
      </c>
    </row>
    <row r="495" spans="1:9" ht="18" customHeight="1">
      <c r="A495" s="128"/>
      <c r="B495" s="63" t="s">
        <v>1283</v>
      </c>
      <c r="C495" s="70">
        <v>4</v>
      </c>
      <c r="D495" s="68">
        <f>3.745+3.745+3.745-0.6</f>
        <v>10.635</v>
      </c>
      <c r="E495" s="68"/>
      <c r="F495" s="68">
        <v>0.15</v>
      </c>
      <c r="G495" s="67">
        <f t="shared" si="21"/>
        <v>6.38</v>
      </c>
      <c r="H495" s="929" t="s">
        <v>1280</v>
      </c>
    </row>
    <row r="496" spans="1:9" ht="18" customHeight="1">
      <c r="A496" s="128"/>
      <c r="B496" s="63" t="s">
        <v>1290</v>
      </c>
      <c r="C496" s="70">
        <v>4</v>
      </c>
      <c r="D496" s="68">
        <f>5.25-0.2</f>
        <v>5.05</v>
      </c>
      <c r="E496" s="68"/>
      <c r="F496" s="68">
        <v>0.15</v>
      </c>
      <c r="G496" s="67">
        <f t="shared" si="21"/>
        <v>3.03</v>
      </c>
      <c r="H496" s="929" t="s">
        <v>1280</v>
      </c>
    </row>
    <row r="497" spans="1:8" ht="18" customHeight="1">
      <c r="A497" s="128"/>
      <c r="B497" s="64" t="s">
        <v>2051</v>
      </c>
      <c r="C497" s="70"/>
      <c r="D497" s="68"/>
      <c r="E497" s="68"/>
      <c r="F497" s="68"/>
      <c r="G497" s="67" t="str">
        <f t="shared" si="21"/>
        <v xml:space="preserve"> </v>
      </c>
      <c r="H497" s="929" t="s">
        <v>1280</v>
      </c>
    </row>
    <row r="498" spans="1:8" ht="18" customHeight="1">
      <c r="A498" s="128"/>
      <c r="B498" s="64" t="s">
        <v>1145</v>
      </c>
      <c r="C498" s="70"/>
      <c r="D498" s="68"/>
      <c r="E498" s="68"/>
      <c r="F498" s="68"/>
      <c r="G498" s="67" t="str">
        <f t="shared" si="21"/>
        <v xml:space="preserve"> </v>
      </c>
      <c r="H498" s="929" t="s">
        <v>1280</v>
      </c>
    </row>
    <row r="499" spans="1:8" ht="18" customHeight="1">
      <c r="A499" s="128"/>
      <c r="B499" s="63" t="s">
        <v>942</v>
      </c>
      <c r="C499" s="70">
        <v>1</v>
      </c>
      <c r="D499" s="68">
        <f>6.45+6.4+6.4+3.25-1.15-1.15</f>
        <v>20.200000000000003</v>
      </c>
      <c r="E499" s="68">
        <v>0.65</v>
      </c>
      <c r="F499" s="638"/>
      <c r="G499" s="67">
        <f t="shared" si="21"/>
        <v>13.13</v>
      </c>
      <c r="H499" s="929" t="s">
        <v>1280</v>
      </c>
    </row>
    <row r="500" spans="1:8" ht="18" customHeight="1">
      <c r="A500" s="128"/>
      <c r="B500" s="63"/>
      <c r="C500" s="70">
        <v>2</v>
      </c>
      <c r="D500" s="68">
        <v>0.6</v>
      </c>
      <c r="E500" s="68">
        <v>0.05</v>
      </c>
      <c r="F500" s="638"/>
      <c r="G500" s="67">
        <f t="shared" si="21"/>
        <v>0.06</v>
      </c>
      <c r="H500" s="929" t="s">
        <v>1280</v>
      </c>
    </row>
    <row r="501" spans="1:8" ht="18" customHeight="1">
      <c r="A501" s="128"/>
      <c r="B501" s="63" t="s">
        <v>1086</v>
      </c>
      <c r="C501" s="70">
        <v>1</v>
      </c>
      <c r="D501" s="68">
        <f>6.45+6.4+6.4+3.25-1.15-1.15</f>
        <v>20.200000000000003</v>
      </c>
      <c r="E501" s="68">
        <v>0.65</v>
      </c>
      <c r="F501" s="638"/>
      <c r="G501" s="67">
        <f t="shared" si="21"/>
        <v>13.13</v>
      </c>
      <c r="H501" s="929" t="s">
        <v>1280</v>
      </c>
    </row>
    <row r="502" spans="1:8" ht="18" customHeight="1">
      <c r="A502" s="128"/>
      <c r="B502" s="63"/>
      <c r="C502" s="70">
        <v>2</v>
      </c>
      <c r="D502" s="68">
        <v>0.6</v>
      </c>
      <c r="E502" s="68">
        <v>0.05</v>
      </c>
      <c r="F502" s="638"/>
      <c r="G502" s="67">
        <f t="shared" si="21"/>
        <v>0.06</v>
      </c>
      <c r="H502" s="929" t="s">
        <v>1280</v>
      </c>
    </row>
    <row r="503" spans="1:8" ht="18" customHeight="1">
      <c r="A503" s="128"/>
      <c r="B503" s="63" t="s">
        <v>1291</v>
      </c>
      <c r="C503" s="70">
        <v>2</v>
      </c>
      <c r="D503" s="68">
        <f>2.2+2</f>
        <v>4.2</v>
      </c>
      <c r="E503" s="68">
        <v>0.65</v>
      </c>
      <c r="F503" s="638"/>
      <c r="G503" s="67">
        <f t="shared" si="21"/>
        <v>5.46</v>
      </c>
      <c r="H503" s="929" t="s">
        <v>1280</v>
      </c>
    </row>
    <row r="504" spans="1:8" ht="18" customHeight="1">
      <c r="A504" s="128"/>
      <c r="B504" s="63"/>
      <c r="C504" s="70">
        <v>4</v>
      </c>
      <c r="D504" s="68">
        <v>0.6</v>
      </c>
      <c r="E504" s="68">
        <v>0.05</v>
      </c>
      <c r="F504" s="638"/>
      <c r="G504" s="67">
        <f t="shared" si="21"/>
        <v>0.12</v>
      </c>
      <c r="H504" s="929" t="s">
        <v>1280</v>
      </c>
    </row>
    <row r="505" spans="1:8" ht="18" customHeight="1">
      <c r="A505" s="128"/>
      <c r="B505" s="63" t="s">
        <v>1292</v>
      </c>
      <c r="C505" s="70">
        <v>2</v>
      </c>
      <c r="D505" s="68">
        <f>2.2+2</f>
        <v>4.2</v>
      </c>
      <c r="E505" s="68">
        <v>0.65</v>
      </c>
      <c r="F505" s="638"/>
      <c r="G505" s="67">
        <f t="shared" si="21"/>
        <v>5.46</v>
      </c>
      <c r="H505" s="929" t="s">
        <v>1280</v>
      </c>
    </row>
    <row r="506" spans="1:8" ht="18" customHeight="1">
      <c r="A506" s="128"/>
      <c r="B506" s="63"/>
      <c r="C506" s="70">
        <v>4</v>
      </c>
      <c r="D506" s="68">
        <v>0.6</v>
      </c>
      <c r="E506" s="68">
        <v>0.05</v>
      </c>
      <c r="F506" s="638"/>
      <c r="G506" s="67">
        <f t="shared" si="21"/>
        <v>0.12</v>
      </c>
      <c r="H506" s="929" t="s">
        <v>1280</v>
      </c>
    </row>
    <row r="507" spans="1:8" ht="18" customHeight="1">
      <c r="A507" s="128"/>
      <c r="B507" s="63" t="s">
        <v>1293</v>
      </c>
      <c r="C507" s="70">
        <v>1</v>
      </c>
      <c r="D507" s="68">
        <v>10.612</v>
      </c>
      <c r="E507" s="68">
        <v>0.65</v>
      </c>
      <c r="F507" s="638"/>
      <c r="G507" s="67">
        <f t="shared" si="21"/>
        <v>6.9</v>
      </c>
      <c r="H507" s="929" t="s">
        <v>1280</v>
      </c>
    </row>
    <row r="508" spans="1:8" ht="18" customHeight="1">
      <c r="A508" s="128"/>
      <c r="B508" s="63"/>
      <c r="C508" s="70">
        <v>2</v>
      </c>
      <c r="D508" s="68">
        <v>0.6</v>
      </c>
      <c r="E508" s="68">
        <v>0.05</v>
      </c>
      <c r="F508" s="638"/>
      <c r="G508" s="67">
        <f t="shared" si="21"/>
        <v>0.06</v>
      </c>
      <c r="H508" s="929" t="s">
        <v>1280</v>
      </c>
    </row>
    <row r="509" spans="1:8" ht="18" customHeight="1">
      <c r="A509" s="128"/>
      <c r="B509" s="63" t="s">
        <v>1294</v>
      </c>
      <c r="C509" s="70">
        <v>1</v>
      </c>
      <c r="D509" s="68">
        <v>10.612</v>
      </c>
      <c r="E509" s="68">
        <v>0.65</v>
      </c>
      <c r="F509" s="638"/>
      <c r="G509" s="67">
        <f t="shared" si="21"/>
        <v>6.9</v>
      </c>
      <c r="H509" s="929" t="s">
        <v>1280</v>
      </c>
    </row>
    <row r="510" spans="1:8" ht="18" customHeight="1">
      <c r="A510" s="128"/>
      <c r="B510" s="63"/>
      <c r="C510" s="70">
        <v>2</v>
      </c>
      <c r="D510" s="68">
        <v>0.6</v>
      </c>
      <c r="E510" s="68">
        <v>0.05</v>
      </c>
      <c r="F510" s="638"/>
      <c r="G510" s="67">
        <f t="shared" si="21"/>
        <v>0.06</v>
      </c>
      <c r="H510" s="929" t="s">
        <v>1280</v>
      </c>
    </row>
    <row r="511" spans="1:8" ht="18" customHeight="1">
      <c r="A511" s="128"/>
      <c r="B511" s="63" t="s">
        <v>1295</v>
      </c>
      <c r="C511" s="70">
        <v>1</v>
      </c>
      <c r="D511" s="68">
        <f>6.45+6.45+0.7-0.6+1.825+1.475+0.1-1.025-1</f>
        <v>14.375000000000002</v>
      </c>
      <c r="E511" s="68">
        <v>0.65</v>
      </c>
      <c r="F511" s="638"/>
      <c r="G511" s="67">
        <f t="shared" si="21"/>
        <v>9.34</v>
      </c>
      <c r="H511" s="929" t="s">
        <v>1280</v>
      </c>
    </row>
    <row r="512" spans="1:8" ht="18" customHeight="1">
      <c r="A512" s="128"/>
      <c r="B512" s="63"/>
      <c r="C512" s="70">
        <v>2</v>
      </c>
      <c r="D512" s="68">
        <v>0.6</v>
      </c>
      <c r="E512" s="68">
        <v>0.05</v>
      </c>
      <c r="F512" s="638"/>
      <c r="G512" s="67">
        <f t="shared" si="21"/>
        <v>0.06</v>
      </c>
      <c r="H512" s="929" t="s">
        <v>1280</v>
      </c>
    </row>
    <row r="513" spans="1:8" ht="18" customHeight="1">
      <c r="A513" s="128"/>
      <c r="B513" s="63" t="s">
        <v>1296</v>
      </c>
      <c r="C513" s="70">
        <v>1</v>
      </c>
      <c r="D513" s="68">
        <f>6.45+6.45+0.7-0.6+1.825+1.475+0.1-1.025-1</f>
        <v>14.375000000000002</v>
      </c>
      <c r="E513" s="68">
        <v>0.65</v>
      </c>
      <c r="F513" s="638"/>
      <c r="G513" s="67">
        <f t="shared" si="21"/>
        <v>9.34</v>
      </c>
      <c r="H513" s="929" t="s">
        <v>1280</v>
      </c>
    </row>
    <row r="514" spans="1:8" ht="18" customHeight="1">
      <c r="A514" s="128"/>
      <c r="B514" s="63"/>
      <c r="C514" s="70">
        <v>2</v>
      </c>
      <c r="D514" s="68">
        <v>0.6</v>
      </c>
      <c r="E514" s="68">
        <v>0.05</v>
      </c>
      <c r="F514" s="638"/>
      <c r="G514" s="67">
        <f t="shared" si="21"/>
        <v>0.06</v>
      </c>
      <c r="H514" s="929" t="s">
        <v>1280</v>
      </c>
    </row>
    <row r="515" spans="1:8" ht="18" customHeight="1">
      <c r="A515" s="128"/>
      <c r="B515" s="63" t="s">
        <v>1113</v>
      </c>
      <c r="C515" s="70">
        <v>1</v>
      </c>
      <c r="D515" s="68">
        <v>9.15</v>
      </c>
      <c r="E515" s="68">
        <v>0.65</v>
      </c>
      <c r="F515" s="638"/>
      <c r="G515" s="67">
        <f t="shared" si="21"/>
        <v>5.95</v>
      </c>
      <c r="H515" s="929" t="s">
        <v>1280</v>
      </c>
    </row>
    <row r="516" spans="1:8" ht="18" customHeight="1">
      <c r="A516" s="128"/>
      <c r="B516" s="63"/>
      <c r="C516" s="70">
        <v>2</v>
      </c>
      <c r="D516" s="68">
        <v>0.6</v>
      </c>
      <c r="E516" s="68">
        <v>0.05</v>
      </c>
      <c r="F516" s="638"/>
      <c r="G516" s="67">
        <f t="shared" si="21"/>
        <v>0.06</v>
      </c>
      <c r="H516" s="929" t="s">
        <v>1280</v>
      </c>
    </row>
    <row r="517" spans="1:8" ht="18" customHeight="1">
      <c r="A517" s="128"/>
      <c r="B517" s="63" t="s">
        <v>1297</v>
      </c>
      <c r="C517" s="70">
        <v>1</v>
      </c>
      <c r="D517" s="68">
        <v>9.15</v>
      </c>
      <c r="E517" s="68">
        <v>0.65</v>
      </c>
      <c r="F517" s="638"/>
      <c r="G517" s="67">
        <f t="shared" si="21"/>
        <v>5.95</v>
      </c>
      <c r="H517" s="929" t="s">
        <v>1280</v>
      </c>
    </row>
    <row r="518" spans="1:8" ht="18" customHeight="1">
      <c r="A518" s="128"/>
      <c r="B518" s="63"/>
      <c r="C518" s="70">
        <v>2</v>
      </c>
      <c r="D518" s="68">
        <v>0.6</v>
      </c>
      <c r="E518" s="68">
        <v>0.05</v>
      </c>
      <c r="F518" s="638"/>
      <c r="G518" s="67">
        <f t="shared" si="21"/>
        <v>0.06</v>
      </c>
      <c r="H518" s="929" t="s">
        <v>1280</v>
      </c>
    </row>
    <row r="519" spans="1:8" ht="18" customHeight="1">
      <c r="A519" s="128"/>
      <c r="B519" s="63" t="s">
        <v>1111</v>
      </c>
      <c r="C519" s="70">
        <v>1</v>
      </c>
      <c r="D519" s="68">
        <f>3.2+6.45+6.45-1.025-1.05</f>
        <v>14.025</v>
      </c>
      <c r="E519" s="68">
        <v>0.65</v>
      </c>
      <c r="F519" s="638"/>
      <c r="G519" s="67">
        <f t="shared" si="21"/>
        <v>9.1199999999999992</v>
      </c>
      <c r="H519" s="929" t="s">
        <v>1280</v>
      </c>
    </row>
    <row r="520" spans="1:8" ht="18" customHeight="1">
      <c r="A520" s="128"/>
      <c r="B520" s="63"/>
      <c r="C520" s="70">
        <v>2</v>
      </c>
      <c r="D520" s="68">
        <v>0.6</v>
      </c>
      <c r="E520" s="68">
        <v>0.05</v>
      </c>
      <c r="F520" s="638"/>
      <c r="G520" s="67">
        <f t="shared" si="21"/>
        <v>0.06</v>
      </c>
      <c r="H520" s="929" t="s">
        <v>1280</v>
      </c>
    </row>
    <row r="521" spans="1:8" ht="18" customHeight="1">
      <c r="A521" s="128"/>
      <c r="B521" s="63" t="s">
        <v>1112</v>
      </c>
      <c r="C521" s="70">
        <v>1</v>
      </c>
      <c r="D521" s="68">
        <f>3.2+6.45+6.45-(1.025+1.05)</f>
        <v>14.025000000000002</v>
      </c>
      <c r="E521" s="68">
        <v>0.65</v>
      </c>
      <c r="F521" s="638"/>
      <c r="G521" s="67">
        <f t="shared" si="21"/>
        <v>9.1199999999999992</v>
      </c>
      <c r="H521" s="929" t="s">
        <v>1280</v>
      </c>
    </row>
    <row r="522" spans="1:8" ht="18" customHeight="1">
      <c r="A522" s="354"/>
      <c r="B522" s="64"/>
      <c r="C522" s="70">
        <v>2</v>
      </c>
      <c r="D522" s="68">
        <v>0.6</v>
      </c>
      <c r="E522" s="68">
        <v>0.05</v>
      </c>
      <c r="F522" s="638"/>
      <c r="G522" s="67">
        <f t="shared" si="21"/>
        <v>0.06</v>
      </c>
      <c r="H522" s="929" t="s">
        <v>1280</v>
      </c>
    </row>
    <row r="523" spans="1:8" ht="18" customHeight="1">
      <c r="A523" s="354"/>
      <c r="B523" s="64"/>
      <c r="C523" s="70"/>
      <c r="D523" s="68"/>
      <c r="E523" s="68"/>
      <c r="F523" s="638"/>
      <c r="G523" s="67" t="str">
        <f t="shared" si="21"/>
        <v xml:space="preserve"> </v>
      </c>
      <c r="H523" s="929"/>
    </row>
    <row r="524" spans="1:8" ht="18" customHeight="1">
      <c r="A524" s="624" t="s">
        <v>1306</v>
      </c>
      <c r="B524" s="64" t="s">
        <v>1509</v>
      </c>
      <c r="C524" s="70"/>
      <c r="D524" s="68"/>
      <c r="E524" s="68"/>
      <c r="F524" s="68"/>
      <c r="G524" s="67" t="str">
        <f t="shared" si="21"/>
        <v xml:space="preserve"> </v>
      </c>
      <c r="H524" s="929"/>
    </row>
    <row r="525" spans="1:8" ht="18" customHeight="1">
      <c r="A525" s="354"/>
      <c r="B525" s="63" t="s">
        <v>1510</v>
      </c>
      <c r="C525" s="70">
        <v>6</v>
      </c>
      <c r="D525" s="68">
        <f>1.875+2.25-0.2</f>
        <v>3.9249999999999998</v>
      </c>
      <c r="E525" s="68">
        <v>0.6</v>
      </c>
      <c r="F525" s="68"/>
      <c r="G525" s="67">
        <f t="shared" si="21"/>
        <v>14.13</v>
      </c>
      <c r="H525" s="929" t="s">
        <v>1306</v>
      </c>
    </row>
    <row r="526" spans="1:8" ht="18" customHeight="1">
      <c r="A526" s="354"/>
      <c r="B526" s="63"/>
      <c r="C526" s="70">
        <v>6</v>
      </c>
      <c r="D526" s="68">
        <f>3.925+0.6</f>
        <v>4.5249999999999995</v>
      </c>
      <c r="E526" s="68">
        <v>7.4999999999999997E-2</v>
      </c>
      <c r="F526" s="68"/>
      <c r="G526" s="67">
        <f t="shared" si="21"/>
        <v>2.04</v>
      </c>
      <c r="H526" s="929" t="s">
        <v>1306</v>
      </c>
    </row>
    <row r="527" spans="1:8" ht="18" customHeight="1">
      <c r="A527" s="354"/>
      <c r="B527" s="63"/>
      <c r="C527" s="70">
        <v>6</v>
      </c>
      <c r="D527" s="567">
        <v>4.8730000000000002</v>
      </c>
      <c r="E527" s="68">
        <v>0.6</v>
      </c>
      <c r="F527" s="68"/>
      <c r="G527" s="67">
        <f t="shared" si="21"/>
        <v>17.54</v>
      </c>
      <c r="H527" s="929" t="s">
        <v>1306</v>
      </c>
    </row>
    <row r="528" spans="1:8" ht="18" customHeight="1">
      <c r="A528" s="354"/>
      <c r="B528" s="63"/>
      <c r="C528" s="70">
        <v>6</v>
      </c>
      <c r="D528" s="567">
        <v>4.8730000000000002</v>
      </c>
      <c r="E528" s="68">
        <v>7.4999999999999997E-2</v>
      </c>
      <c r="F528" s="68"/>
      <c r="G528" s="67">
        <f t="shared" si="21"/>
        <v>2.19</v>
      </c>
      <c r="H528" s="929" t="s">
        <v>1306</v>
      </c>
    </row>
    <row r="529" spans="1:9" ht="18" customHeight="1">
      <c r="A529" s="354"/>
      <c r="B529" s="63" t="s">
        <v>1511</v>
      </c>
      <c r="C529" s="70">
        <v>2</v>
      </c>
      <c r="D529" s="567">
        <v>4.7</v>
      </c>
      <c r="E529" s="68">
        <v>0.6</v>
      </c>
      <c r="F529" s="68"/>
      <c r="G529" s="67">
        <f t="shared" si="21"/>
        <v>5.64</v>
      </c>
      <c r="H529" s="929" t="s">
        <v>1306</v>
      </c>
    </row>
    <row r="530" spans="1:9" ht="18" customHeight="1">
      <c r="A530" s="354"/>
      <c r="B530" s="63"/>
      <c r="C530" s="70">
        <v>2</v>
      </c>
      <c r="D530" s="567">
        <v>4.7</v>
      </c>
      <c r="E530" s="68">
        <v>7.4999999999999997E-2</v>
      </c>
      <c r="F530" s="68"/>
      <c r="G530" s="67">
        <f t="shared" si="21"/>
        <v>0.71</v>
      </c>
      <c r="H530" s="929" t="s">
        <v>1306</v>
      </c>
    </row>
    <row r="531" spans="1:9" s="623" customFormat="1" ht="18" customHeight="1">
      <c r="A531" s="624"/>
      <c r="B531" s="625" t="s">
        <v>1512</v>
      </c>
      <c r="C531" s="455">
        <v>1</v>
      </c>
      <c r="D531" s="567">
        <v>9.8879999999999999</v>
      </c>
      <c r="E531" s="452">
        <v>0.6</v>
      </c>
      <c r="F531" s="452"/>
      <c r="G531" s="67">
        <f t="shared" si="21"/>
        <v>5.93</v>
      </c>
      <c r="H531" s="940" t="s">
        <v>1306</v>
      </c>
      <c r="I531" s="1234"/>
    </row>
    <row r="532" spans="1:9" s="623" customFormat="1" ht="18" customHeight="1">
      <c r="A532" s="624"/>
      <c r="B532" s="625"/>
      <c r="C532" s="455">
        <v>1</v>
      </c>
      <c r="D532" s="567">
        <v>8.6869999999999994</v>
      </c>
      <c r="E532" s="452">
        <v>7.4999999999999997E-2</v>
      </c>
      <c r="F532" s="452"/>
      <c r="G532" s="67">
        <f t="shared" si="21"/>
        <v>0.65</v>
      </c>
      <c r="H532" s="940" t="s">
        <v>1306</v>
      </c>
      <c r="I532" s="1234"/>
    </row>
    <row r="533" spans="1:9" ht="18" customHeight="1">
      <c r="A533" s="354"/>
      <c r="B533" s="63" t="s">
        <v>1513</v>
      </c>
      <c r="C533" s="70">
        <v>1</v>
      </c>
      <c r="D533" s="68">
        <v>1</v>
      </c>
      <c r="E533" s="68">
        <v>0.6</v>
      </c>
      <c r="F533" s="68"/>
      <c r="G533" s="67">
        <f t="shared" si="21"/>
        <v>0.6</v>
      </c>
      <c r="H533" s="929" t="s">
        <v>1306</v>
      </c>
    </row>
    <row r="534" spans="1:9" ht="18" customHeight="1">
      <c r="A534" s="354"/>
      <c r="B534" s="63"/>
      <c r="C534" s="70">
        <v>1</v>
      </c>
      <c r="D534" s="68">
        <f>1+0.6</f>
        <v>1.6</v>
      </c>
      <c r="E534" s="68">
        <v>7.4999999999999997E-2</v>
      </c>
      <c r="F534" s="68"/>
      <c r="G534" s="67">
        <f t="shared" si="21"/>
        <v>0.12</v>
      </c>
      <c r="H534" s="929" t="s">
        <v>1306</v>
      </c>
    </row>
    <row r="535" spans="1:9" s="628" customFormat="1" ht="24.95" customHeight="1">
      <c r="A535" s="354"/>
      <c r="B535" s="634"/>
      <c r="C535" s="629"/>
      <c r="D535" s="630"/>
      <c r="E535" s="630"/>
      <c r="F535" s="637"/>
      <c r="G535" s="67" t="str">
        <f t="shared" si="21"/>
        <v xml:space="preserve"> </v>
      </c>
      <c r="H535" s="941"/>
      <c r="I535" s="1235"/>
    </row>
    <row r="536" spans="1:9" ht="18" customHeight="1">
      <c r="A536" s="354" t="s">
        <v>1442</v>
      </c>
      <c r="B536" s="64" t="s">
        <v>1447</v>
      </c>
      <c r="C536" s="70"/>
      <c r="D536" s="68"/>
      <c r="E536" s="68"/>
      <c r="F536" s="68"/>
      <c r="G536" s="67" t="str">
        <f t="shared" si="21"/>
        <v xml:space="preserve"> </v>
      </c>
      <c r="H536" s="929"/>
    </row>
    <row r="537" spans="1:9" s="553" customFormat="1" ht="18" customHeight="1">
      <c r="A537" s="549"/>
      <c r="B537" s="81" t="s">
        <v>1144</v>
      </c>
      <c r="C537" s="404">
        <v>1</v>
      </c>
      <c r="D537" s="405">
        <v>8.8840000000000003</v>
      </c>
      <c r="E537" s="543"/>
      <c r="F537" s="405">
        <f>0.05+0.05+0.03</f>
        <v>0.13</v>
      </c>
      <c r="G537" s="67">
        <f t="shared" si="21"/>
        <v>1.1499999999999999</v>
      </c>
      <c r="H537" s="935"/>
      <c r="I537" s="1236"/>
    </row>
    <row r="538" spans="1:9" s="553" customFormat="1" ht="18" customHeight="1">
      <c r="A538" s="549"/>
      <c r="B538" s="81" t="s">
        <v>1287</v>
      </c>
      <c r="C538" s="404">
        <v>1</v>
      </c>
      <c r="D538" s="405">
        <v>8.8840000000000003</v>
      </c>
      <c r="E538" s="543"/>
      <c r="F538" s="405">
        <f t="shared" ref="F538:F549" si="22">0.05+0.05+0.03</f>
        <v>0.13</v>
      </c>
      <c r="G538" s="67">
        <f t="shared" si="21"/>
        <v>1.1499999999999999</v>
      </c>
      <c r="H538" s="935"/>
      <c r="I538" s="1236"/>
    </row>
    <row r="539" spans="1:9" s="553" customFormat="1" ht="18" customHeight="1">
      <c r="A539" s="549"/>
      <c r="B539" s="81" t="s">
        <v>1096</v>
      </c>
      <c r="C539" s="580">
        <v>1</v>
      </c>
      <c r="D539" s="581">
        <v>12.44</v>
      </c>
      <c r="E539" s="550"/>
      <c r="F539" s="405">
        <f t="shared" si="22"/>
        <v>0.13</v>
      </c>
      <c r="G539" s="67">
        <f t="shared" si="21"/>
        <v>1.62</v>
      </c>
      <c r="H539" s="935"/>
      <c r="I539" s="1236"/>
    </row>
    <row r="540" spans="1:9" s="553" customFormat="1" ht="18" customHeight="1">
      <c r="A540" s="549"/>
      <c r="B540" s="81" t="s">
        <v>1071</v>
      </c>
      <c r="C540" s="404">
        <v>1</v>
      </c>
      <c r="D540" s="405">
        <f>4.9-0.2</f>
        <v>4.7</v>
      </c>
      <c r="E540" s="550"/>
      <c r="F540" s="405">
        <f t="shared" si="22"/>
        <v>0.13</v>
      </c>
      <c r="G540" s="67">
        <f t="shared" si="21"/>
        <v>0.61</v>
      </c>
      <c r="H540" s="935"/>
      <c r="I540" s="1236"/>
    </row>
    <row r="541" spans="1:9" s="553" customFormat="1" ht="18" customHeight="1">
      <c r="A541" s="549"/>
      <c r="B541" s="81" t="s">
        <v>1285</v>
      </c>
      <c r="C541" s="404">
        <v>1</v>
      </c>
      <c r="D541" s="405">
        <f>6.3-0.2</f>
        <v>6.1</v>
      </c>
      <c r="E541" s="550"/>
      <c r="F541" s="405">
        <f t="shared" si="22"/>
        <v>0.13</v>
      </c>
      <c r="G541" s="67">
        <f t="shared" si="21"/>
        <v>0.79</v>
      </c>
      <c r="H541" s="935"/>
      <c r="I541" s="1236"/>
    </row>
    <row r="542" spans="1:9" s="553" customFormat="1" ht="18" customHeight="1">
      <c r="A542" s="549"/>
      <c r="B542" s="81" t="s">
        <v>1284</v>
      </c>
      <c r="C542" s="404">
        <v>1</v>
      </c>
      <c r="D542" s="405">
        <f>6.3-0.2</f>
        <v>6.1</v>
      </c>
      <c r="E542" s="550"/>
      <c r="F542" s="405">
        <f t="shared" si="22"/>
        <v>0.13</v>
      </c>
      <c r="G542" s="67">
        <f t="shared" si="21"/>
        <v>0.79</v>
      </c>
      <c r="H542" s="935"/>
      <c r="I542" s="1236"/>
    </row>
    <row r="543" spans="1:9" s="553" customFormat="1" ht="18" customHeight="1">
      <c r="A543" s="549"/>
      <c r="B543" s="81" t="s">
        <v>1288</v>
      </c>
      <c r="C543" s="404">
        <v>2</v>
      </c>
      <c r="D543" s="405">
        <v>3.3</v>
      </c>
      <c r="E543" s="550"/>
      <c r="F543" s="405">
        <f t="shared" si="22"/>
        <v>0.13</v>
      </c>
      <c r="G543" s="67">
        <f t="shared" si="21"/>
        <v>0.86</v>
      </c>
      <c r="H543" s="935"/>
      <c r="I543" s="1236"/>
    </row>
    <row r="544" spans="1:9" s="553" customFormat="1" ht="18" customHeight="1">
      <c r="A544" s="549"/>
      <c r="B544" s="548" t="s">
        <v>1289</v>
      </c>
      <c r="C544" s="542"/>
      <c r="D544" s="543"/>
      <c r="E544" s="550"/>
      <c r="F544" s="550"/>
      <c r="G544" s="67" t="str">
        <f t="shared" si="21"/>
        <v xml:space="preserve"> </v>
      </c>
      <c r="H544" s="935"/>
      <c r="I544" s="1236"/>
    </row>
    <row r="545" spans="1:9" s="553" customFormat="1" ht="18" customHeight="1">
      <c r="A545" s="549"/>
      <c r="B545" s="81" t="s">
        <v>967</v>
      </c>
      <c r="C545" s="404">
        <v>2</v>
      </c>
      <c r="D545" s="567">
        <v>9.5129999999999999</v>
      </c>
      <c r="E545" s="550"/>
      <c r="F545" s="405">
        <f t="shared" si="22"/>
        <v>0.13</v>
      </c>
      <c r="G545" s="67">
        <f t="shared" si="21"/>
        <v>2.4700000000000002</v>
      </c>
      <c r="H545" s="935"/>
      <c r="I545" s="1236"/>
    </row>
    <row r="546" spans="1:9" s="553" customFormat="1" ht="18" customHeight="1">
      <c r="A546" s="549"/>
      <c r="B546" s="81" t="s">
        <v>1108</v>
      </c>
      <c r="C546" s="404">
        <v>2</v>
      </c>
      <c r="D546" s="567">
        <v>9.5129999999999999</v>
      </c>
      <c r="E546" s="550"/>
      <c r="F546" s="405">
        <f t="shared" si="22"/>
        <v>0.13</v>
      </c>
      <c r="G546" s="67">
        <f t="shared" si="21"/>
        <v>2.4700000000000002</v>
      </c>
      <c r="H546" s="935"/>
      <c r="I546" s="1236"/>
    </row>
    <row r="547" spans="1:9" s="553" customFormat="1" ht="18" customHeight="1">
      <c r="A547" s="549"/>
      <c r="B547" s="81" t="s">
        <v>965</v>
      </c>
      <c r="C547" s="404">
        <v>2</v>
      </c>
      <c r="D547" s="405">
        <v>10.523</v>
      </c>
      <c r="E547" s="543"/>
      <c r="F547" s="405">
        <f t="shared" si="22"/>
        <v>0.13</v>
      </c>
      <c r="G547" s="67">
        <f t="shared" si="21"/>
        <v>2.74</v>
      </c>
      <c r="H547" s="935"/>
      <c r="I547" s="1236"/>
    </row>
    <row r="548" spans="1:9" s="553" customFormat="1" ht="18" customHeight="1">
      <c r="A548" s="549"/>
      <c r="B548" s="81" t="s">
        <v>1283</v>
      </c>
      <c r="C548" s="404">
        <v>2</v>
      </c>
      <c r="D548" s="405">
        <f>3.745+3.745+3.745-0.6</f>
        <v>10.635</v>
      </c>
      <c r="E548" s="543"/>
      <c r="F548" s="405">
        <f t="shared" si="22"/>
        <v>0.13</v>
      </c>
      <c r="G548" s="67">
        <f t="shared" ref="G548:G557" si="23">IF(C548&lt;&gt;0,ROUND(PRODUCT(D548:F548)*C548,2)," ")</f>
        <v>2.77</v>
      </c>
      <c r="H548" s="935"/>
      <c r="I548" s="1236"/>
    </row>
    <row r="549" spans="1:9" s="553" customFormat="1" ht="18" customHeight="1">
      <c r="A549" s="549"/>
      <c r="B549" s="81" t="s">
        <v>1290</v>
      </c>
      <c r="C549" s="404">
        <v>2</v>
      </c>
      <c r="D549" s="405">
        <f>5.25-0.2</f>
        <v>5.05</v>
      </c>
      <c r="E549" s="543"/>
      <c r="F549" s="405">
        <f t="shared" si="22"/>
        <v>0.13</v>
      </c>
      <c r="G549" s="67">
        <f t="shared" si="23"/>
        <v>1.31</v>
      </c>
      <c r="H549" s="935"/>
      <c r="I549" s="1236"/>
    </row>
    <row r="550" spans="1:9" s="494" customFormat="1" ht="26.25" customHeight="1">
      <c r="A550" s="493" t="s">
        <v>1442</v>
      </c>
      <c r="B550" s="362" t="s">
        <v>1648</v>
      </c>
      <c r="C550" s="495"/>
      <c r="D550" s="489"/>
      <c r="E550" s="489"/>
      <c r="F550" s="489"/>
      <c r="G550" s="67" t="str">
        <f t="shared" si="23"/>
        <v xml:space="preserve"> </v>
      </c>
      <c r="H550" s="935"/>
      <c r="I550" s="1230"/>
    </row>
    <row r="551" spans="1:9" s="494" customFormat="1" ht="18" customHeight="1">
      <c r="A551" s="493"/>
      <c r="B551" s="356" t="s">
        <v>1644</v>
      </c>
      <c r="C551" s="573">
        <v>2</v>
      </c>
      <c r="D551" s="574">
        <v>6.46</v>
      </c>
      <c r="E551" s="405">
        <v>0.4</v>
      </c>
      <c r="F551" s="486"/>
      <c r="G551" s="67">
        <f t="shared" si="23"/>
        <v>5.17</v>
      </c>
      <c r="H551" s="935"/>
      <c r="I551" s="1230"/>
    </row>
    <row r="552" spans="1:9" s="488" customFormat="1" ht="18" customHeight="1">
      <c r="A552" s="490"/>
      <c r="B552" s="356" t="s">
        <v>1645</v>
      </c>
      <c r="C552" s="573">
        <v>2</v>
      </c>
      <c r="D552" s="574">
        <v>6</v>
      </c>
      <c r="E552" s="405">
        <v>0.125</v>
      </c>
      <c r="F552" s="486"/>
      <c r="G552" s="67">
        <f t="shared" si="23"/>
        <v>1.5</v>
      </c>
      <c r="H552" s="935"/>
      <c r="I552" s="1229"/>
    </row>
    <row r="553" spans="1:9" s="494" customFormat="1" ht="18" customHeight="1">
      <c r="A553" s="493"/>
      <c r="B553" s="356" t="s">
        <v>1646</v>
      </c>
      <c r="C553" s="573">
        <v>2</v>
      </c>
      <c r="D553" s="574">
        <v>3.46</v>
      </c>
      <c r="E553" s="405">
        <v>0.4</v>
      </c>
      <c r="F553" s="486"/>
      <c r="G553" s="67">
        <f t="shared" si="23"/>
        <v>2.77</v>
      </c>
      <c r="H553" s="935"/>
      <c r="I553" s="1230"/>
    </row>
    <row r="554" spans="1:9" s="488" customFormat="1" ht="18" customHeight="1">
      <c r="A554" s="490"/>
      <c r="B554" s="64" t="s">
        <v>1645</v>
      </c>
      <c r="C554" s="404">
        <v>2</v>
      </c>
      <c r="D554" s="405">
        <v>3</v>
      </c>
      <c r="E554" s="405">
        <v>0.125</v>
      </c>
      <c r="F554" s="486"/>
      <c r="G554" s="67">
        <f t="shared" si="23"/>
        <v>0.75</v>
      </c>
      <c r="H554" s="935"/>
      <c r="I554" s="1229"/>
    </row>
    <row r="555" spans="1:9" s="494" customFormat="1" ht="18" customHeight="1">
      <c r="A555" s="493"/>
      <c r="B555" s="63" t="s">
        <v>1647</v>
      </c>
      <c r="C555" s="404">
        <v>1</v>
      </c>
      <c r="D555" s="405">
        <v>6</v>
      </c>
      <c r="E555" s="405">
        <v>3</v>
      </c>
      <c r="F555" s="486"/>
      <c r="G555" s="67">
        <f t="shared" si="23"/>
        <v>18</v>
      </c>
      <c r="H555" s="935"/>
      <c r="I555" s="1230"/>
    </row>
    <row r="556" spans="1:9" s="488" customFormat="1" ht="18" customHeight="1">
      <c r="A556" s="490"/>
      <c r="B556" s="582" t="s">
        <v>1652</v>
      </c>
      <c r="C556" s="542">
        <f>1</f>
        <v>1</v>
      </c>
      <c r="D556" s="543">
        <v>2.5</v>
      </c>
      <c r="E556" s="543">
        <v>1.5</v>
      </c>
      <c r="F556" s="486"/>
      <c r="G556" s="67">
        <f t="shared" si="23"/>
        <v>3.75</v>
      </c>
      <c r="H556" s="935"/>
      <c r="I556" s="1229"/>
    </row>
    <row r="557" spans="1:9" s="488" customFormat="1" ht="18" customHeight="1">
      <c r="A557" s="490"/>
      <c r="B557" s="582" t="s">
        <v>1653</v>
      </c>
      <c r="C557" s="542">
        <f>1</f>
        <v>1</v>
      </c>
      <c r="D557" s="543">
        <f>2.5+2.5+1.5+1.5</f>
        <v>8</v>
      </c>
      <c r="E557" s="543">
        <v>0.1</v>
      </c>
      <c r="F557" s="486"/>
      <c r="G557" s="67">
        <f t="shared" si="23"/>
        <v>0.8</v>
      </c>
      <c r="H557" s="935"/>
      <c r="I557" s="1229"/>
    </row>
    <row r="558" spans="1:9" ht="18" customHeight="1">
      <c r="A558" s="843"/>
      <c r="B558" s="874" t="s">
        <v>2188</v>
      </c>
      <c r="C558" s="540"/>
      <c r="D558" s="539"/>
      <c r="E558" s="539"/>
      <c r="F558" s="539"/>
      <c r="G558" s="842">
        <f>SUM(G420:G557)</f>
        <v>1243.3299999999995</v>
      </c>
      <c r="H558" s="945" t="s">
        <v>350</v>
      </c>
      <c r="I558" s="1226" t="s">
        <v>339</v>
      </c>
    </row>
    <row r="559" spans="1:9" s="79" customFormat="1" ht="18" customHeight="1">
      <c r="A559" s="934"/>
      <c r="B559" s="566"/>
      <c r="C559" s="565"/>
      <c r="D559" s="254"/>
      <c r="E559" s="254"/>
      <c r="F559" s="254"/>
      <c r="G559" s="715"/>
      <c r="H559" s="935"/>
      <c r="I559" s="1231"/>
    </row>
    <row r="560" spans="1:9" ht="18" customHeight="1">
      <c r="A560" s="453" t="s">
        <v>386</v>
      </c>
      <c r="B560" s="387" t="s">
        <v>1298</v>
      </c>
      <c r="C560" s="70"/>
      <c r="D560" s="67"/>
      <c r="E560" s="67"/>
      <c r="F560" s="67"/>
      <c r="G560" s="67"/>
      <c r="H560" s="929"/>
    </row>
    <row r="561" spans="1:8" ht="19.5" customHeight="1">
      <c r="A561" s="354" t="s">
        <v>1868</v>
      </c>
      <c r="B561" s="63" t="s">
        <v>1796</v>
      </c>
      <c r="C561" s="475">
        <v>42</v>
      </c>
      <c r="D561" s="68">
        <v>1.8</v>
      </c>
      <c r="E561" s="68">
        <v>1.8</v>
      </c>
      <c r="F561" s="68">
        <v>0.4</v>
      </c>
      <c r="G561" s="67">
        <f t="shared" ref="G561:G587" si="24">IF(C561&lt;&gt;0,ROUND(PRODUCT(D561:F561)*C561,2)," ")</f>
        <v>54.43</v>
      </c>
      <c r="H561" s="929"/>
    </row>
    <row r="562" spans="1:8" ht="19.5" customHeight="1">
      <c r="A562" s="354" t="s">
        <v>1868</v>
      </c>
      <c r="B562" s="63" t="s">
        <v>1797</v>
      </c>
      <c r="C562" s="475">
        <v>40</v>
      </c>
      <c r="D562" s="68">
        <v>2.1</v>
      </c>
      <c r="E562" s="68">
        <v>2.1</v>
      </c>
      <c r="F562" s="68">
        <v>0.5</v>
      </c>
      <c r="G562" s="67">
        <f t="shared" si="24"/>
        <v>88.2</v>
      </c>
      <c r="H562" s="929"/>
    </row>
    <row r="563" spans="1:8" ht="18" customHeight="1">
      <c r="A563" s="354" t="s">
        <v>1868</v>
      </c>
      <c r="B563" s="63" t="s">
        <v>1798</v>
      </c>
      <c r="C563" s="435">
        <v>18</v>
      </c>
      <c r="D563" s="615">
        <v>2.4</v>
      </c>
      <c r="E563" s="615">
        <v>2.4</v>
      </c>
      <c r="F563" s="68">
        <v>0.3</v>
      </c>
      <c r="G563" s="67">
        <f t="shared" si="24"/>
        <v>31.1</v>
      </c>
      <c r="H563" s="929"/>
    </row>
    <row r="564" spans="1:8" ht="18" customHeight="1">
      <c r="A564" s="354" t="s">
        <v>1868</v>
      </c>
      <c r="B564" s="63"/>
      <c r="C564" s="435"/>
      <c r="D564" s="616">
        <f>0.55+0.05+0.05</f>
        <v>0.65000000000000013</v>
      </c>
      <c r="E564" s="616">
        <f>0.4+0.05+0.05</f>
        <v>0.5</v>
      </c>
      <c r="F564" s="68"/>
      <c r="G564" s="67" t="str">
        <f t="shared" si="24"/>
        <v xml:space="preserve"> </v>
      </c>
      <c r="H564" s="929"/>
    </row>
    <row r="565" spans="1:8" ht="18" customHeight="1">
      <c r="A565" s="354" t="s">
        <v>1868</v>
      </c>
      <c r="B565" s="63"/>
      <c r="C565" s="617">
        <v>18</v>
      </c>
      <c r="D565" s="618">
        <f>1/3</f>
        <v>0.33333333333333331</v>
      </c>
      <c r="E565" s="616">
        <f>D563*E563+D564*E564+SQRT(D563*E563*D564*E564)</f>
        <v>7.4532105101189661</v>
      </c>
      <c r="F565" s="619">
        <f>0.55-0.3</f>
        <v>0.25000000000000006</v>
      </c>
      <c r="G565" s="67">
        <f t="shared" si="24"/>
        <v>11.18</v>
      </c>
      <c r="H565" s="929"/>
    </row>
    <row r="566" spans="1:8" ht="18" customHeight="1">
      <c r="A566" s="354" t="s">
        <v>1868</v>
      </c>
      <c r="B566" s="63"/>
      <c r="C566" s="435"/>
      <c r="D566" s="67"/>
      <c r="E566" s="67"/>
      <c r="F566" s="68"/>
      <c r="G566" s="67" t="str">
        <f t="shared" si="24"/>
        <v xml:space="preserve"> </v>
      </c>
      <c r="H566" s="929"/>
    </row>
    <row r="567" spans="1:8" ht="18" customHeight="1">
      <c r="A567" s="354" t="s">
        <v>1868</v>
      </c>
      <c r="B567" s="63" t="s">
        <v>1799</v>
      </c>
      <c r="C567" s="435">
        <v>4</v>
      </c>
      <c r="D567" s="615">
        <v>2.7</v>
      </c>
      <c r="E567" s="615">
        <v>2.7</v>
      </c>
      <c r="F567" s="68">
        <v>0.4</v>
      </c>
      <c r="G567" s="67">
        <f t="shared" si="24"/>
        <v>11.66</v>
      </c>
      <c r="H567" s="929"/>
    </row>
    <row r="568" spans="1:8" ht="18" customHeight="1">
      <c r="A568" s="354" t="s">
        <v>1868</v>
      </c>
      <c r="B568" s="63"/>
      <c r="C568" s="435"/>
      <c r="D568" s="616">
        <f>0.55+0.05+0.05</f>
        <v>0.65000000000000013</v>
      </c>
      <c r="E568" s="616">
        <f>0.4+0.05+0.05</f>
        <v>0.5</v>
      </c>
      <c r="F568" s="68"/>
      <c r="G568" s="67" t="str">
        <f t="shared" si="24"/>
        <v xml:space="preserve"> </v>
      </c>
      <c r="H568" s="929"/>
    </row>
    <row r="569" spans="1:8" ht="18" customHeight="1">
      <c r="A569" s="354" t="s">
        <v>1868</v>
      </c>
      <c r="B569" s="63"/>
      <c r="C569" s="617">
        <v>4</v>
      </c>
      <c r="D569" s="618">
        <f>1/3</f>
        <v>0.33333333333333331</v>
      </c>
      <c r="E569" s="616">
        <f>D567*E567+D568*E568+SQRT(D567*E567*D568*E568)</f>
        <v>9.1542368238838385</v>
      </c>
      <c r="F569" s="619">
        <f>0.7-0.4</f>
        <v>0.29999999999999993</v>
      </c>
      <c r="G569" s="67">
        <f t="shared" si="24"/>
        <v>3.66</v>
      </c>
      <c r="H569" s="929"/>
    </row>
    <row r="570" spans="1:8" ht="18" customHeight="1">
      <c r="A570" s="354" t="s">
        <v>1868</v>
      </c>
      <c r="B570" s="63"/>
      <c r="C570" s="435"/>
      <c r="D570" s="67"/>
      <c r="E570" s="67"/>
      <c r="F570" s="68"/>
      <c r="G570" s="67" t="str">
        <f t="shared" si="24"/>
        <v xml:space="preserve"> </v>
      </c>
      <c r="H570" s="929"/>
    </row>
    <row r="571" spans="1:8" ht="18" customHeight="1">
      <c r="A571" s="354" t="s">
        <v>1868</v>
      </c>
      <c r="B571" s="63" t="s">
        <v>1800</v>
      </c>
      <c r="C571" s="435">
        <v>4</v>
      </c>
      <c r="D571" s="615">
        <v>3.25</v>
      </c>
      <c r="E571" s="615">
        <v>2.25</v>
      </c>
      <c r="F571" s="68">
        <v>0.5</v>
      </c>
      <c r="G571" s="67">
        <f t="shared" si="24"/>
        <v>14.63</v>
      </c>
      <c r="H571" s="929"/>
    </row>
    <row r="572" spans="1:8" ht="18" customHeight="1">
      <c r="A572" s="354" t="s">
        <v>1868</v>
      </c>
      <c r="B572" s="63"/>
      <c r="C572" s="435"/>
      <c r="D572" s="616">
        <f>0.55+0.05+0.05</f>
        <v>0.65000000000000013</v>
      </c>
      <c r="E572" s="616">
        <f>0.4+0.05+0.05</f>
        <v>0.5</v>
      </c>
      <c r="F572" s="68"/>
      <c r="G572" s="67" t="str">
        <f t="shared" si="24"/>
        <v xml:space="preserve"> </v>
      </c>
      <c r="H572" s="929"/>
    </row>
    <row r="573" spans="1:8" ht="18" customHeight="1">
      <c r="A573" s="354" t="s">
        <v>1868</v>
      </c>
      <c r="B573" s="63"/>
      <c r="C573" s="617">
        <v>4</v>
      </c>
      <c r="D573" s="618">
        <f>1/3</f>
        <v>0.33333333333333331</v>
      </c>
      <c r="E573" s="616">
        <f>D571*E571+D572*E572+SQRT(D571*E571*D572*E572)</f>
        <v>9.1791103593320855</v>
      </c>
      <c r="F573" s="619">
        <f>0.75-0.5</f>
        <v>0.25</v>
      </c>
      <c r="G573" s="67">
        <f t="shared" si="24"/>
        <v>3.06</v>
      </c>
      <c r="H573" s="929"/>
    </row>
    <row r="574" spans="1:8" ht="19.5" customHeight="1">
      <c r="A574" s="354" t="s">
        <v>1868</v>
      </c>
      <c r="B574" s="63" t="s">
        <v>1801</v>
      </c>
      <c r="C574" s="475">
        <v>10</v>
      </c>
      <c r="D574" s="68">
        <v>4.8</v>
      </c>
      <c r="E574" s="68">
        <v>2.4</v>
      </c>
      <c r="F574" s="68">
        <v>0.45</v>
      </c>
      <c r="G574" s="67">
        <f t="shared" si="24"/>
        <v>51.84</v>
      </c>
      <c r="H574" s="929"/>
    </row>
    <row r="575" spans="1:8" ht="19.5" customHeight="1">
      <c r="A575" s="354" t="s">
        <v>1868</v>
      </c>
      <c r="B575" s="63" t="s">
        <v>1806</v>
      </c>
      <c r="C575" s="475">
        <v>10</v>
      </c>
      <c r="D575" s="68">
        <v>4.8</v>
      </c>
      <c r="E575" s="68">
        <v>0.6</v>
      </c>
      <c r="F575" s="68">
        <f>0.75-0.45</f>
        <v>0.3</v>
      </c>
      <c r="G575" s="67">
        <f t="shared" si="24"/>
        <v>8.64</v>
      </c>
      <c r="H575" s="929"/>
    </row>
    <row r="576" spans="1:8" ht="19.5" customHeight="1">
      <c r="A576" s="354" t="s">
        <v>1868</v>
      </c>
      <c r="B576" s="63" t="s">
        <v>1802</v>
      </c>
      <c r="C576" s="475">
        <v>2</v>
      </c>
      <c r="D576" s="68">
        <v>4.5</v>
      </c>
      <c r="E576" s="68">
        <v>2.7</v>
      </c>
      <c r="F576" s="68">
        <v>0.45</v>
      </c>
      <c r="G576" s="67">
        <f t="shared" si="24"/>
        <v>10.94</v>
      </c>
      <c r="H576" s="929"/>
    </row>
    <row r="577" spans="1:9" ht="19.5" customHeight="1">
      <c r="A577" s="354" t="s">
        <v>1868</v>
      </c>
      <c r="B577" s="63" t="s">
        <v>1807</v>
      </c>
      <c r="C577" s="475">
        <v>2</v>
      </c>
      <c r="D577" s="68">
        <v>4.5</v>
      </c>
      <c r="E577" s="68">
        <v>0.75</v>
      </c>
      <c r="F577" s="68">
        <f>0.75-0.45</f>
        <v>0.3</v>
      </c>
      <c r="G577" s="67">
        <f t="shared" si="24"/>
        <v>2.0299999999999998</v>
      </c>
      <c r="H577" s="929"/>
    </row>
    <row r="578" spans="1:9" ht="19.5" customHeight="1">
      <c r="A578" s="354" t="s">
        <v>1868</v>
      </c>
      <c r="B578" s="64" t="s">
        <v>1808</v>
      </c>
      <c r="C578" s="475"/>
      <c r="D578" s="68"/>
      <c r="E578" s="68"/>
      <c r="F578" s="68"/>
      <c r="G578" s="67" t="str">
        <f t="shared" si="24"/>
        <v xml:space="preserve"> </v>
      </c>
      <c r="H578" s="929"/>
    </row>
    <row r="579" spans="1:9" ht="19.5" customHeight="1">
      <c r="A579" s="354" t="s">
        <v>1868</v>
      </c>
      <c r="B579" s="63" t="s">
        <v>1809</v>
      </c>
      <c r="C579" s="475">
        <v>42</v>
      </c>
      <c r="D579" s="68">
        <v>0.55000000000000004</v>
      </c>
      <c r="E579" s="68">
        <v>0.4</v>
      </c>
      <c r="F579" s="68">
        <f>2.095-0.075-0.4+0.45+0.066</f>
        <v>2.1360000000000001</v>
      </c>
      <c r="G579" s="67">
        <f t="shared" si="24"/>
        <v>19.739999999999998</v>
      </c>
      <c r="H579" s="929"/>
    </row>
    <row r="580" spans="1:9" ht="19.5" customHeight="1">
      <c r="A580" s="354" t="s">
        <v>1868</v>
      </c>
      <c r="B580" s="63" t="s">
        <v>1810</v>
      </c>
      <c r="C580" s="475">
        <v>40</v>
      </c>
      <c r="D580" s="68">
        <v>0.55000000000000004</v>
      </c>
      <c r="E580" s="68">
        <v>0.4</v>
      </c>
      <c r="F580" s="68">
        <f>2.095-0.075-0.5+0.45+0.066</f>
        <v>2.036</v>
      </c>
      <c r="G580" s="67">
        <f t="shared" si="24"/>
        <v>17.920000000000002</v>
      </c>
      <c r="H580" s="929"/>
    </row>
    <row r="581" spans="1:9" ht="19.5" customHeight="1">
      <c r="A581" s="354" t="s">
        <v>1868</v>
      </c>
      <c r="B581" s="63" t="s">
        <v>1885</v>
      </c>
      <c r="C581" s="475">
        <v>18</v>
      </c>
      <c r="D581" s="68">
        <v>0.55000000000000004</v>
      </c>
      <c r="E581" s="68">
        <v>0.4</v>
      </c>
      <c r="F581" s="68">
        <f>2.095-0.075-0.55+0.45+0.066</f>
        <v>1.986</v>
      </c>
      <c r="G581" s="67">
        <f t="shared" si="24"/>
        <v>7.86</v>
      </c>
      <c r="H581" s="929"/>
    </row>
    <row r="582" spans="1:9" ht="19.5" customHeight="1">
      <c r="A582" s="354" t="s">
        <v>1868</v>
      </c>
      <c r="B582" s="63" t="s">
        <v>1886</v>
      </c>
      <c r="C582" s="475">
        <v>4</v>
      </c>
      <c r="D582" s="68">
        <v>0.55000000000000004</v>
      </c>
      <c r="E582" s="68">
        <v>0.4</v>
      </c>
      <c r="F582" s="68">
        <f>2.095-0.075-0.7+0.45+0.066</f>
        <v>1.8360000000000001</v>
      </c>
      <c r="G582" s="67">
        <f t="shared" si="24"/>
        <v>1.62</v>
      </c>
      <c r="H582" s="929"/>
    </row>
    <row r="583" spans="1:9" ht="19.5" customHeight="1">
      <c r="A583" s="354" t="s">
        <v>1868</v>
      </c>
      <c r="B583" s="63" t="s">
        <v>1887</v>
      </c>
      <c r="C583" s="475">
        <v>4</v>
      </c>
      <c r="D583" s="68">
        <v>0.55000000000000004</v>
      </c>
      <c r="E583" s="68">
        <v>0.4</v>
      </c>
      <c r="F583" s="68">
        <f>2.095-0.075-0.75+0.45+0.066</f>
        <v>1.786</v>
      </c>
      <c r="G583" s="67">
        <f t="shared" si="24"/>
        <v>1.57</v>
      </c>
      <c r="H583" s="929"/>
    </row>
    <row r="584" spans="1:9" ht="19.5" customHeight="1">
      <c r="A584" s="354" t="s">
        <v>1868</v>
      </c>
      <c r="B584" s="63" t="s">
        <v>1888</v>
      </c>
      <c r="C584" s="475">
        <v>20</v>
      </c>
      <c r="D584" s="68">
        <v>0.55000000000000004</v>
      </c>
      <c r="E584" s="68">
        <v>0.4</v>
      </c>
      <c r="F584" s="68">
        <f>2.095-0.075-0.75+0.45+0.066</f>
        <v>1.786</v>
      </c>
      <c r="G584" s="67">
        <f t="shared" si="24"/>
        <v>7.86</v>
      </c>
      <c r="H584" s="929"/>
    </row>
    <row r="585" spans="1:9" ht="19.5" customHeight="1">
      <c r="A585" s="354" t="s">
        <v>1868</v>
      </c>
      <c r="B585" s="63" t="s">
        <v>1889</v>
      </c>
      <c r="C585" s="475">
        <v>4</v>
      </c>
      <c r="D585" s="68">
        <v>0.55000000000000004</v>
      </c>
      <c r="E585" s="68">
        <v>0.4</v>
      </c>
      <c r="F585" s="68">
        <f>2.095-0.075-0.75+0.45+0.066</f>
        <v>1.786</v>
      </c>
      <c r="G585" s="67">
        <f t="shared" si="24"/>
        <v>1.57</v>
      </c>
      <c r="H585" s="929"/>
    </row>
    <row r="586" spans="1:9" ht="18" customHeight="1">
      <c r="A586" s="354" t="s">
        <v>1442</v>
      </c>
      <c r="B586" s="63" t="s">
        <v>1444</v>
      </c>
      <c r="C586" s="404">
        <v>1</v>
      </c>
      <c r="D586" s="405">
        <v>2.2999999999999998</v>
      </c>
      <c r="E586" s="405">
        <v>2.2999999999999998</v>
      </c>
      <c r="F586" s="405">
        <v>0.6</v>
      </c>
      <c r="G586" s="67">
        <f t="shared" si="24"/>
        <v>3.17</v>
      </c>
      <c r="H586" s="929" t="s">
        <v>1442</v>
      </c>
      <c r="I586" s="1133"/>
    </row>
    <row r="587" spans="1:9" ht="18" customHeight="1">
      <c r="A587" s="75"/>
      <c r="B587" s="63" t="s">
        <v>1444</v>
      </c>
      <c r="C587" s="404">
        <v>1</v>
      </c>
      <c r="D587" s="405">
        <v>2.4</v>
      </c>
      <c r="E587" s="405">
        <v>3.6</v>
      </c>
      <c r="F587" s="405">
        <v>0.6</v>
      </c>
      <c r="G587" s="67">
        <f t="shared" si="24"/>
        <v>5.18</v>
      </c>
      <c r="H587" s="929" t="s">
        <v>1442</v>
      </c>
    </row>
    <row r="588" spans="1:9" ht="18" customHeight="1">
      <c r="A588" s="843"/>
      <c r="B588" s="874" t="s">
        <v>2188</v>
      </c>
      <c r="C588" s="540"/>
      <c r="D588" s="539"/>
      <c r="E588" s="539"/>
      <c r="F588" s="539"/>
      <c r="G588" s="842">
        <f>SUM(G560:G587)</f>
        <v>357.86</v>
      </c>
      <c r="H588" s="945" t="s">
        <v>347</v>
      </c>
      <c r="I588" s="1226" t="s">
        <v>386</v>
      </c>
    </row>
    <row r="589" spans="1:9" s="79" customFormat="1" ht="18" customHeight="1">
      <c r="A589" s="934"/>
      <c r="B589" s="566"/>
      <c r="C589" s="565"/>
      <c r="D589" s="254"/>
      <c r="E589" s="254"/>
      <c r="F589" s="254"/>
      <c r="G589" s="715"/>
      <c r="H589" s="935"/>
      <c r="I589" s="1231"/>
    </row>
    <row r="590" spans="1:9" ht="18" customHeight="1">
      <c r="A590" s="453" t="s">
        <v>397</v>
      </c>
      <c r="B590" s="387" t="s">
        <v>1299</v>
      </c>
      <c r="C590" s="70"/>
      <c r="D590" s="68"/>
      <c r="E590" s="68"/>
      <c r="F590" s="68"/>
      <c r="G590" s="633">
        <f t="shared" ref="G590:G640" si="25">IF(C590&lt;&gt;0,ROUND(PRODUCT(D590:F590)*C590,2),)</f>
        <v>0</v>
      </c>
      <c r="H590" s="929"/>
    </row>
    <row r="591" spans="1:9" ht="18" customHeight="1">
      <c r="A591" s="354" t="s">
        <v>2247</v>
      </c>
      <c r="B591" s="64" t="s">
        <v>338</v>
      </c>
      <c r="C591" s="70"/>
      <c r="D591" s="68"/>
      <c r="E591" s="68"/>
      <c r="F591" s="68"/>
      <c r="G591" s="633">
        <f t="shared" si="25"/>
        <v>0</v>
      </c>
      <c r="H591" s="929"/>
    </row>
    <row r="592" spans="1:9" ht="18" customHeight="1">
      <c r="A592" s="354"/>
      <c r="B592" s="63" t="s">
        <v>1228</v>
      </c>
      <c r="C592" s="70">
        <v>1</v>
      </c>
      <c r="D592" s="68">
        <f>3.2+0.7+4.9+0.7+3.2+0.2+0.2-0.4-0.4-0.4-0.4</f>
        <v>11.499999999999996</v>
      </c>
      <c r="E592" s="68">
        <v>0.23</v>
      </c>
      <c r="F592" s="68">
        <v>0.6</v>
      </c>
      <c r="G592" s="633">
        <f t="shared" si="25"/>
        <v>1.59</v>
      </c>
      <c r="H592" s="929" t="s">
        <v>2247</v>
      </c>
    </row>
    <row r="593" spans="1:9" s="78" customFormat="1" ht="18" customHeight="1">
      <c r="A593" s="75"/>
      <c r="B593" s="356" t="s">
        <v>1229</v>
      </c>
      <c r="C593" s="76">
        <v>2</v>
      </c>
      <c r="D593" s="77">
        <f>2.298+3.6+1+2.25+1.575+0.275+0.275-0.55-0.55-0.55</f>
        <v>9.6229999999999976</v>
      </c>
      <c r="E593" s="68">
        <v>0.23</v>
      </c>
      <c r="F593" s="68">
        <v>0.45</v>
      </c>
      <c r="G593" s="633">
        <f t="shared" si="25"/>
        <v>1.99</v>
      </c>
      <c r="H593" s="929" t="s">
        <v>2247</v>
      </c>
      <c r="I593" s="1227"/>
    </row>
    <row r="594" spans="1:9" ht="18" customHeight="1">
      <c r="A594" s="354"/>
      <c r="B594" s="63" t="s">
        <v>1230</v>
      </c>
      <c r="C594" s="70">
        <v>1</v>
      </c>
      <c r="D594" s="68">
        <v>35.1</v>
      </c>
      <c r="E594" s="68">
        <v>0.23</v>
      </c>
      <c r="F594" s="68">
        <v>0.6</v>
      </c>
      <c r="G594" s="633">
        <f t="shared" si="25"/>
        <v>4.84</v>
      </c>
      <c r="H594" s="929" t="s">
        <v>2247</v>
      </c>
    </row>
    <row r="595" spans="1:9" s="78" customFormat="1" ht="18" customHeight="1">
      <c r="A595" s="75"/>
      <c r="B595" s="356" t="s">
        <v>1231</v>
      </c>
      <c r="C595" s="76">
        <v>2</v>
      </c>
      <c r="D595" s="77">
        <v>10.391999999999999</v>
      </c>
      <c r="E595" s="68">
        <v>0.23</v>
      </c>
      <c r="F595" s="68">
        <v>0.45</v>
      </c>
      <c r="G595" s="633">
        <f t="shared" si="25"/>
        <v>2.15</v>
      </c>
      <c r="H595" s="929" t="s">
        <v>2247</v>
      </c>
      <c r="I595" s="1227"/>
    </row>
    <row r="596" spans="1:9" s="78" customFormat="1" ht="18" customHeight="1">
      <c r="A596" s="75"/>
      <c r="B596" s="356" t="s">
        <v>1232</v>
      </c>
      <c r="C596" s="76">
        <v>1</v>
      </c>
      <c r="D596" s="77">
        <v>54.277999999999999</v>
      </c>
      <c r="E596" s="68">
        <v>0.23</v>
      </c>
      <c r="F596" s="68">
        <v>0.45</v>
      </c>
      <c r="G596" s="633">
        <f t="shared" si="25"/>
        <v>5.62</v>
      </c>
      <c r="H596" s="929" t="s">
        <v>2247</v>
      </c>
      <c r="I596" s="1227"/>
    </row>
    <row r="597" spans="1:9" s="78" customFormat="1" ht="18" customHeight="1">
      <c r="A597" s="75"/>
      <c r="B597" s="356" t="s">
        <v>1233</v>
      </c>
      <c r="C597" s="76">
        <v>2</v>
      </c>
      <c r="D597" s="77">
        <f>2.298+3.6+1+0.2+0.275-0.55-0.4</f>
        <v>6.423</v>
      </c>
      <c r="E597" s="68">
        <v>0.23</v>
      </c>
      <c r="F597" s="68">
        <v>0.6</v>
      </c>
      <c r="G597" s="633">
        <f t="shared" si="25"/>
        <v>1.77</v>
      </c>
      <c r="H597" s="929" t="s">
        <v>2247</v>
      </c>
      <c r="I597" s="1227"/>
    </row>
    <row r="598" spans="1:9" s="78" customFormat="1" ht="18" customHeight="1">
      <c r="A598" s="75"/>
      <c r="B598" s="356" t="s">
        <v>1234</v>
      </c>
      <c r="C598" s="76">
        <v>2</v>
      </c>
      <c r="D598" s="77">
        <f>2.25+1.575-0.55</f>
        <v>3.2750000000000004</v>
      </c>
      <c r="E598" s="68">
        <v>0.23</v>
      </c>
      <c r="F598" s="68">
        <v>0.45</v>
      </c>
      <c r="G598" s="633">
        <f t="shared" si="25"/>
        <v>0.68</v>
      </c>
      <c r="H598" s="929" t="s">
        <v>2247</v>
      </c>
      <c r="I598" s="1227"/>
    </row>
    <row r="599" spans="1:9" s="78" customFormat="1" ht="18" customHeight="1">
      <c r="A599" s="75"/>
      <c r="B599" s="356" t="s">
        <v>1235</v>
      </c>
      <c r="C599" s="76">
        <v>1</v>
      </c>
      <c r="D599" s="68">
        <v>34.75</v>
      </c>
      <c r="E599" s="68">
        <v>0.23</v>
      </c>
      <c r="F599" s="68">
        <v>0.45</v>
      </c>
      <c r="G599" s="633">
        <f t="shared" si="25"/>
        <v>3.6</v>
      </c>
      <c r="H599" s="929" t="s">
        <v>2247</v>
      </c>
      <c r="I599" s="1227"/>
    </row>
    <row r="600" spans="1:9" s="78" customFormat="1" ht="18" customHeight="1">
      <c r="A600" s="75"/>
      <c r="B600" s="356" t="s">
        <v>1236</v>
      </c>
      <c r="C600" s="76">
        <v>2</v>
      </c>
      <c r="D600" s="77">
        <v>4.37</v>
      </c>
      <c r="E600" s="68">
        <v>0.23</v>
      </c>
      <c r="F600" s="68">
        <v>0.45</v>
      </c>
      <c r="G600" s="633">
        <f t="shared" si="25"/>
        <v>0.9</v>
      </c>
      <c r="H600" s="929" t="s">
        <v>2247</v>
      </c>
      <c r="I600" s="1227"/>
    </row>
    <row r="601" spans="1:9" s="78" customFormat="1" ht="18" customHeight="1">
      <c r="A601" s="75"/>
      <c r="B601" s="356" t="s">
        <v>1237</v>
      </c>
      <c r="C601" s="76">
        <v>2</v>
      </c>
      <c r="D601" s="77">
        <f>2.298+3.6+1-0.275-0.2</f>
        <v>6.4229999999999992</v>
      </c>
      <c r="E601" s="77">
        <v>0.23</v>
      </c>
      <c r="F601" s="77">
        <v>0.6</v>
      </c>
      <c r="G601" s="633">
        <f t="shared" si="25"/>
        <v>1.77</v>
      </c>
      <c r="H601" s="929" t="s">
        <v>2247</v>
      </c>
      <c r="I601" s="1227"/>
    </row>
    <row r="602" spans="1:9" s="78" customFormat="1" ht="18" customHeight="1">
      <c r="A602" s="75"/>
      <c r="B602" s="356" t="s">
        <v>1238</v>
      </c>
      <c r="C602" s="76">
        <v>2</v>
      </c>
      <c r="D602" s="77">
        <v>6.0720000000000001</v>
      </c>
      <c r="E602" s="68">
        <v>0.23</v>
      </c>
      <c r="F602" s="68">
        <v>0.45</v>
      </c>
      <c r="G602" s="633">
        <f t="shared" si="25"/>
        <v>1.26</v>
      </c>
      <c r="H602" s="929" t="s">
        <v>2247</v>
      </c>
      <c r="I602" s="1227"/>
    </row>
    <row r="603" spans="1:9" s="78" customFormat="1" ht="18" customHeight="1">
      <c r="A603" s="75"/>
      <c r="B603" s="63" t="s">
        <v>1239</v>
      </c>
      <c r="C603" s="70">
        <v>1</v>
      </c>
      <c r="D603" s="68">
        <f>6.45+3.25+3.2+0.7+4.9+0.7+3.2+3.25+6.45+0.2+0.2-8*0.4</f>
        <v>29.300000000000008</v>
      </c>
      <c r="E603" s="68">
        <v>0.23</v>
      </c>
      <c r="F603" s="68">
        <v>0.45</v>
      </c>
      <c r="G603" s="633">
        <f t="shared" si="25"/>
        <v>3.03</v>
      </c>
      <c r="H603" s="929" t="s">
        <v>2247</v>
      </c>
      <c r="I603" s="1227"/>
    </row>
    <row r="604" spans="1:9" s="78" customFormat="1" ht="18" customHeight="1">
      <c r="A604" s="75"/>
      <c r="B604" s="356" t="s">
        <v>1240</v>
      </c>
      <c r="C604" s="76">
        <v>2</v>
      </c>
      <c r="D604" s="77">
        <v>9.8000000000000007</v>
      </c>
      <c r="E604" s="68">
        <v>0.23</v>
      </c>
      <c r="F604" s="68">
        <v>0.45</v>
      </c>
      <c r="G604" s="633">
        <f t="shared" si="25"/>
        <v>2.0299999999999998</v>
      </c>
      <c r="H604" s="929" t="s">
        <v>2247</v>
      </c>
      <c r="I604" s="1227"/>
    </row>
    <row r="605" spans="1:9" s="78" customFormat="1" ht="18" customHeight="1">
      <c r="A605" s="75"/>
      <c r="B605" s="63" t="s">
        <v>1241</v>
      </c>
      <c r="C605" s="70">
        <v>1</v>
      </c>
      <c r="D605" s="68">
        <f>4.9-0.4</f>
        <v>4.5</v>
      </c>
      <c r="E605" s="68">
        <v>0.23</v>
      </c>
      <c r="F605" s="68">
        <v>0.45</v>
      </c>
      <c r="G605" s="633">
        <f t="shared" si="25"/>
        <v>0.47</v>
      </c>
      <c r="H605" s="929" t="s">
        <v>2247</v>
      </c>
      <c r="I605" s="1227"/>
    </row>
    <row r="606" spans="1:9" s="78" customFormat="1" ht="18" customHeight="1">
      <c r="A606" s="75"/>
      <c r="B606" s="356" t="s">
        <v>1242</v>
      </c>
      <c r="C606" s="76">
        <v>4</v>
      </c>
      <c r="D606" s="77">
        <v>9.8000000000000007</v>
      </c>
      <c r="E606" s="77">
        <v>0.23</v>
      </c>
      <c r="F606" s="77">
        <v>0.45</v>
      </c>
      <c r="G606" s="633">
        <f t="shared" si="25"/>
        <v>4.0599999999999996</v>
      </c>
      <c r="H606" s="929" t="s">
        <v>2247</v>
      </c>
      <c r="I606" s="1227"/>
    </row>
    <row r="607" spans="1:9" s="78" customFormat="1" ht="18" customHeight="1">
      <c r="A607" s="75"/>
      <c r="B607" s="517" t="s">
        <v>1890</v>
      </c>
      <c r="C607" s="76">
        <v>2</v>
      </c>
      <c r="D607" s="77">
        <f>1.575+3.025+0.175-0.4</f>
        <v>4.3749999999999991</v>
      </c>
      <c r="E607" s="77">
        <v>0.23</v>
      </c>
      <c r="F607" s="77">
        <v>0.45</v>
      </c>
      <c r="G607" s="633">
        <f t="shared" si="25"/>
        <v>0.91</v>
      </c>
      <c r="H607" s="929" t="s">
        <v>2247</v>
      </c>
      <c r="I607" s="1227"/>
    </row>
    <row r="608" spans="1:9" s="78" customFormat="1" ht="18" customHeight="1">
      <c r="A608" s="75"/>
      <c r="B608" s="356" t="s">
        <v>1244</v>
      </c>
      <c r="C608" s="76">
        <v>1</v>
      </c>
      <c r="D608" s="77">
        <v>12.2</v>
      </c>
      <c r="E608" s="77">
        <v>0.23</v>
      </c>
      <c r="F608" s="77">
        <v>0.45</v>
      </c>
      <c r="G608" s="633">
        <f t="shared" si="25"/>
        <v>1.26</v>
      </c>
      <c r="H608" s="929" t="s">
        <v>2247</v>
      </c>
      <c r="I608" s="1227"/>
    </row>
    <row r="609" spans="1:9" s="78" customFormat="1" ht="18" customHeight="1">
      <c r="A609" s="75"/>
      <c r="B609" s="356" t="s">
        <v>1245</v>
      </c>
      <c r="C609" s="76">
        <v>1</v>
      </c>
      <c r="D609" s="77">
        <f>4.9+0.7+0.7-0.4</f>
        <v>5.9</v>
      </c>
      <c r="E609" s="77">
        <v>0.23</v>
      </c>
      <c r="F609" s="77">
        <v>0.45</v>
      </c>
      <c r="G609" s="633">
        <f t="shared" si="25"/>
        <v>0.61</v>
      </c>
      <c r="H609" s="929" t="s">
        <v>2247</v>
      </c>
      <c r="I609" s="1227"/>
    </row>
    <row r="610" spans="1:9" s="78" customFormat="1" ht="18" customHeight="1">
      <c r="A610" s="75"/>
      <c r="B610" s="356" t="s">
        <v>1246</v>
      </c>
      <c r="C610" s="76">
        <v>1</v>
      </c>
      <c r="D610" s="77">
        <v>12.2</v>
      </c>
      <c r="E610" s="77">
        <v>0.23</v>
      </c>
      <c r="F610" s="77">
        <v>0.45</v>
      </c>
      <c r="G610" s="633">
        <f t="shared" si="25"/>
        <v>1.26</v>
      </c>
      <c r="H610" s="929" t="s">
        <v>2247</v>
      </c>
      <c r="I610" s="1227"/>
    </row>
    <row r="611" spans="1:9" s="78" customFormat="1" ht="18" customHeight="1">
      <c r="A611" s="75"/>
      <c r="B611" s="63" t="s">
        <v>1247</v>
      </c>
      <c r="C611" s="70">
        <v>2</v>
      </c>
      <c r="D611" s="68">
        <f>3.6+1-0.55</f>
        <v>4.05</v>
      </c>
      <c r="E611" s="77">
        <v>0.23</v>
      </c>
      <c r="F611" s="77">
        <v>0.45</v>
      </c>
      <c r="G611" s="633">
        <f t="shared" si="25"/>
        <v>0.84</v>
      </c>
      <c r="H611" s="929" t="s">
        <v>2247</v>
      </c>
      <c r="I611" s="1227"/>
    </row>
    <row r="612" spans="1:9" s="78" customFormat="1" ht="18" customHeight="1">
      <c r="A612" s="75"/>
      <c r="B612" s="63" t="s">
        <v>1248</v>
      </c>
      <c r="C612" s="70">
        <v>1</v>
      </c>
      <c r="D612" s="68">
        <v>6.2329999999999997</v>
      </c>
      <c r="E612" s="77">
        <v>0.23</v>
      </c>
      <c r="F612" s="77">
        <v>0.45</v>
      </c>
      <c r="G612" s="633">
        <f t="shared" si="25"/>
        <v>0.65</v>
      </c>
      <c r="H612" s="929" t="s">
        <v>2247</v>
      </c>
      <c r="I612" s="1227"/>
    </row>
    <row r="613" spans="1:9" s="78" customFormat="1" ht="18" customHeight="1">
      <c r="A613" s="75"/>
      <c r="B613" s="63" t="s">
        <v>1249</v>
      </c>
      <c r="C613" s="70">
        <v>1</v>
      </c>
      <c r="D613" s="68">
        <f>(1.575+3.025+0.175+6.45+3.25+3.2+0.7+4.9+0.7+3.2+3.25+6.45+0.175+3.025+1.575-0.2-0.2-6*0.4)</f>
        <v>38.849999999999994</v>
      </c>
      <c r="E613" s="77">
        <v>0.23</v>
      </c>
      <c r="F613" s="77">
        <v>0.45</v>
      </c>
      <c r="G613" s="633">
        <f t="shared" si="25"/>
        <v>4.0199999999999996</v>
      </c>
      <c r="H613" s="929" t="s">
        <v>2247</v>
      </c>
      <c r="I613" s="1227"/>
    </row>
    <row r="614" spans="1:9" s="78" customFormat="1" ht="18" customHeight="1">
      <c r="A614" s="75"/>
      <c r="B614" s="63" t="s">
        <v>1250</v>
      </c>
      <c r="C614" s="70">
        <v>1</v>
      </c>
      <c r="D614" s="68">
        <v>2.9849999999999999</v>
      </c>
      <c r="E614" s="77">
        <v>0.23</v>
      </c>
      <c r="F614" s="77">
        <v>0.45</v>
      </c>
      <c r="G614" s="633">
        <f t="shared" si="25"/>
        <v>0.31</v>
      </c>
      <c r="H614" s="929" t="s">
        <v>2247</v>
      </c>
      <c r="I614" s="1227"/>
    </row>
    <row r="615" spans="1:9" s="78" customFormat="1" ht="18" customHeight="1">
      <c r="A615" s="75"/>
      <c r="B615" s="63" t="s">
        <v>1251</v>
      </c>
      <c r="C615" s="70">
        <v>1</v>
      </c>
      <c r="D615" s="68">
        <v>0.47</v>
      </c>
      <c r="E615" s="77">
        <v>0.23</v>
      </c>
      <c r="F615" s="77">
        <v>0.45</v>
      </c>
      <c r="G615" s="633">
        <f t="shared" si="25"/>
        <v>0.05</v>
      </c>
      <c r="H615" s="929" t="s">
        <v>2247</v>
      </c>
      <c r="I615" s="1227"/>
    </row>
    <row r="616" spans="1:9" s="78" customFormat="1" ht="18" customHeight="1">
      <c r="A616" s="75"/>
      <c r="B616" s="63" t="s">
        <v>1252</v>
      </c>
      <c r="C616" s="70">
        <v>1</v>
      </c>
      <c r="D616" s="68">
        <v>1.67</v>
      </c>
      <c r="E616" s="77">
        <v>0.23</v>
      </c>
      <c r="F616" s="77">
        <v>0.45</v>
      </c>
      <c r="G616" s="633">
        <f t="shared" si="25"/>
        <v>0.17</v>
      </c>
      <c r="H616" s="929" t="s">
        <v>2247</v>
      </c>
      <c r="I616" s="1227"/>
    </row>
    <row r="617" spans="1:9" s="78" customFormat="1" ht="18" customHeight="1">
      <c r="A617" s="75"/>
      <c r="B617" s="63" t="s">
        <v>1253</v>
      </c>
      <c r="C617" s="70">
        <v>1</v>
      </c>
      <c r="D617" s="68">
        <f>2.25+1.575+3.025+0.175+6.45+3.25+3.2+0.7+4.9+0.7+3.2+3.25+6.45+0.175+3.025+1.575+2.25-0.275-0.275-2*0.55-6*0.4</f>
        <v>42.1</v>
      </c>
      <c r="E617" s="77">
        <v>0.23</v>
      </c>
      <c r="F617" s="77">
        <v>0.45</v>
      </c>
      <c r="G617" s="633">
        <f t="shared" si="25"/>
        <v>4.3600000000000003</v>
      </c>
      <c r="H617" s="929" t="s">
        <v>2247</v>
      </c>
      <c r="I617" s="1227"/>
    </row>
    <row r="618" spans="1:9" s="78" customFormat="1" ht="18" customHeight="1">
      <c r="A618" s="75"/>
      <c r="B618" s="63" t="s">
        <v>1254</v>
      </c>
      <c r="C618" s="76">
        <v>1</v>
      </c>
      <c r="D618" s="68">
        <f>3.025+0.175+6.45+3.25+3.2+0.7+4.9+0.7+3.2+3.25+6.45+0.175+3.025+0.2+0.2-8*0.4</f>
        <v>35.700000000000003</v>
      </c>
      <c r="E618" s="77">
        <v>0.23</v>
      </c>
      <c r="F618" s="77">
        <v>0.45</v>
      </c>
      <c r="G618" s="633">
        <f t="shared" si="25"/>
        <v>3.69</v>
      </c>
      <c r="H618" s="929" t="s">
        <v>2247</v>
      </c>
      <c r="I618" s="1227"/>
    </row>
    <row r="619" spans="1:9" s="78" customFormat="1" ht="18" customHeight="1">
      <c r="A619" s="75"/>
      <c r="B619" s="63" t="s">
        <v>1255</v>
      </c>
      <c r="C619" s="70">
        <v>1</v>
      </c>
      <c r="D619" s="68">
        <f>0.7+4.9+0.7-0.4</f>
        <v>5.9</v>
      </c>
      <c r="E619" s="77">
        <v>0.23</v>
      </c>
      <c r="F619" s="77">
        <v>0.45</v>
      </c>
      <c r="G619" s="633">
        <f t="shared" si="25"/>
        <v>0.61</v>
      </c>
      <c r="H619" s="929" t="s">
        <v>2247</v>
      </c>
      <c r="I619" s="1227"/>
    </row>
    <row r="620" spans="1:9" s="78" customFormat="1" ht="18" customHeight="1">
      <c r="A620" s="75"/>
      <c r="B620" s="63" t="s">
        <v>1256</v>
      </c>
      <c r="C620" s="70">
        <v>1</v>
      </c>
      <c r="D620" s="68">
        <f>0.7+4.9+0.7-0.4</f>
        <v>5.9</v>
      </c>
      <c r="E620" s="77">
        <v>0.23</v>
      </c>
      <c r="F620" s="77">
        <v>0.6</v>
      </c>
      <c r="G620" s="633">
        <f t="shared" si="25"/>
        <v>0.81</v>
      </c>
      <c r="H620" s="929" t="s">
        <v>2247</v>
      </c>
      <c r="I620" s="1227"/>
    </row>
    <row r="621" spans="1:9" s="78" customFormat="1" ht="18" customHeight="1">
      <c r="A621" s="75"/>
      <c r="B621" s="63"/>
      <c r="C621" s="70"/>
      <c r="D621" s="68"/>
      <c r="E621" s="77"/>
      <c r="F621" s="68"/>
      <c r="G621" s="633">
        <f t="shared" si="25"/>
        <v>0</v>
      </c>
      <c r="H621" s="929" t="s">
        <v>2247</v>
      </c>
      <c r="I621" s="1227"/>
    </row>
    <row r="622" spans="1:9" s="78" customFormat="1" ht="18" customHeight="1">
      <c r="A622" s="75"/>
      <c r="B622" s="373" t="s">
        <v>1257</v>
      </c>
      <c r="C622" s="76">
        <v>2</v>
      </c>
      <c r="D622" s="367">
        <v>10.913</v>
      </c>
      <c r="E622" s="77">
        <v>0.23</v>
      </c>
      <c r="F622" s="77">
        <v>0.45</v>
      </c>
      <c r="G622" s="633">
        <f t="shared" si="25"/>
        <v>2.2599999999999998</v>
      </c>
      <c r="H622" s="929" t="s">
        <v>2247</v>
      </c>
      <c r="I622" s="1227"/>
    </row>
    <row r="623" spans="1:9" s="78" customFormat="1" ht="18" customHeight="1">
      <c r="A623" s="75"/>
      <c r="B623" s="356" t="s">
        <v>1258</v>
      </c>
      <c r="C623" s="76">
        <v>2</v>
      </c>
      <c r="D623" s="77">
        <f>3.075+1.6+1.775+6.4+4.925+1.475+1.825+1.425-0.1-0.2-0.4-0.4-0.4</f>
        <v>21.000000000000007</v>
      </c>
      <c r="E623" s="77">
        <v>0.23</v>
      </c>
      <c r="F623" s="77">
        <v>0.45</v>
      </c>
      <c r="G623" s="633">
        <f t="shared" si="25"/>
        <v>4.3499999999999996</v>
      </c>
      <c r="H623" s="929" t="s">
        <v>2247</v>
      </c>
      <c r="I623" s="1227"/>
    </row>
    <row r="624" spans="1:9" s="78" customFormat="1" ht="18" customHeight="1">
      <c r="A624" s="75"/>
      <c r="B624" s="356" t="s">
        <v>1259</v>
      </c>
      <c r="C624" s="76">
        <v>2</v>
      </c>
      <c r="D624" s="77">
        <f>2.725+2.462-0.115-0.13</f>
        <v>4.9420000000000002</v>
      </c>
      <c r="E624" s="77">
        <v>0.23</v>
      </c>
      <c r="F624" s="77">
        <v>0.45</v>
      </c>
      <c r="G624" s="633">
        <f t="shared" si="25"/>
        <v>1.02</v>
      </c>
      <c r="H624" s="929" t="s">
        <v>2247</v>
      </c>
      <c r="I624" s="1227"/>
    </row>
    <row r="625" spans="1:9" s="78" customFormat="1" ht="18" customHeight="1">
      <c r="A625" s="75"/>
      <c r="B625" s="374" t="s">
        <v>1260</v>
      </c>
      <c r="C625" s="76">
        <v>2</v>
      </c>
      <c r="D625" s="77">
        <v>8.3580000000000005</v>
      </c>
      <c r="E625" s="77">
        <v>0.23</v>
      </c>
      <c r="F625" s="77">
        <v>0.6</v>
      </c>
      <c r="G625" s="633">
        <f t="shared" si="25"/>
        <v>2.31</v>
      </c>
      <c r="H625" s="929" t="s">
        <v>2247</v>
      </c>
      <c r="I625" s="1227"/>
    </row>
    <row r="626" spans="1:9" s="78" customFormat="1" ht="18" customHeight="1">
      <c r="A626" s="75"/>
      <c r="B626" s="63" t="s">
        <v>1261</v>
      </c>
      <c r="C626" s="70">
        <v>2</v>
      </c>
      <c r="D626" s="68">
        <v>2.93</v>
      </c>
      <c r="E626" s="77">
        <v>0.23</v>
      </c>
      <c r="F626" s="77">
        <v>0.45</v>
      </c>
      <c r="G626" s="633">
        <f t="shared" si="25"/>
        <v>0.61</v>
      </c>
      <c r="H626" s="929" t="s">
        <v>2247</v>
      </c>
      <c r="I626" s="1227"/>
    </row>
    <row r="627" spans="1:9" s="78" customFormat="1" ht="18" customHeight="1">
      <c r="A627" s="75"/>
      <c r="B627" s="63" t="s">
        <v>1262</v>
      </c>
      <c r="C627" s="70">
        <v>2</v>
      </c>
      <c r="D627" s="68">
        <v>3.22</v>
      </c>
      <c r="E627" s="77">
        <v>0.23</v>
      </c>
      <c r="F627" s="77">
        <v>0.45</v>
      </c>
      <c r="G627" s="633">
        <f t="shared" si="25"/>
        <v>0.67</v>
      </c>
      <c r="H627" s="929" t="s">
        <v>2247</v>
      </c>
      <c r="I627" s="1227"/>
    </row>
    <row r="628" spans="1:9" s="78" customFormat="1" ht="18" customHeight="1">
      <c r="A628" s="75"/>
      <c r="B628" s="63" t="s">
        <v>1263</v>
      </c>
      <c r="C628" s="70">
        <v>2</v>
      </c>
      <c r="D628" s="68">
        <f>2.25+1.525-0.4</f>
        <v>3.375</v>
      </c>
      <c r="E628" s="77">
        <v>0.23</v>
      </c>
      <c r="F628" s="77">
        <v>0.45</v>
      </c>
      <c r="G628" s="633">
        <f t="shared" si="25"/>
        <v>0.7</v>
      </c>
      <c r="H628" s="929" t="s">
        <v>2247</v>
      </c>
      <c r="I628" s="1227"/>
    </row>
    <row r="629" spans="1:9" s="78" customFormat="1" ht="18" customHeight="1">
      <c r="A629" s="75"/>
      <c r="B629" s="63" t="s">
        <v>1264</v>
      </c>
      <c r="C629" s="70">
        <v>2</v>
      </c>
      <c r="D629" s="621">
        <f>3.075+1.6+1.775+6.4+4.925+1.475+1.825+1.425-0.4-1.2</f>
        <v>20.900000000000006</v>
      </c>
      <c r="E629" s="77">
        <v>0.23</v>
      </c>
      <c r="F629" s="77">
        <v>0.45</v>
      </c>
      <c r="G629" s="633">
        <f t="shared" si="25"/>
        <v>4.33</v>
      </c>
      <c r="H629" s="929" t="s">
        <v>2247</v>
      </c>
      <c r="I629" s="1227"/>
    </row>
    <row r="630" spans="1:9" s="78" customFormat="1" ht="18" customHeight="1">
      <c r="A630" s="75"/>
      <c r="B630" s="63" t="s">
        <v>1265</v>
      </c>
      <c r="C630" s="70">
        <v>2</v>
      </c>
      <c r="D630" s="68">
        <f>2.25+1.525+3.075+1.6+1.775-0.2-0.55-0.55-0.13</f>
        <v>8.7949999999999982</v>
      </c>
      <c r="E630" s="77">
        <v>0.23</v>
      </c>
      <c r="F630" s="77">
        <v>0.45</v>
      </c>
      <c r="G630" s="633">
        <f t="shared" si="25"/>
        <v>1.82</v>
      </c>
      <c r="H630" s="929" t="s">
        <v>2247</v>
      </c>
      <c r="I630" s="1227"/>
    </row>
    <row r="631" spans="1:9" s="78" customFormat="1" ht="18" customHeight="1">
      <c r="A631" s="75"/>
      <c r="B631" s="63" t="s">
        <v>1266</v>
      </c>
      <c r="C631" s="70">
        <v>2</v>
      </c>
      <c r="D631" s="68">
        <f>6.4+4.925+1.475-0.2-0.2-0.4</f>
        <v>12</v>
      </c>
      <c r="E631" s="77">
        <v>0.23</v>
      </c>
      <c r="F631" s="77">
        <v>0.45</v>
      </c>
      <c r="G631" s="633">
        <f t="shared" si="25"/>
        <v>2.48</v>
      </c>
      <c r="H631" s="929" t="s">
        <v>2247</v>
      </c>
      <c r="I631" s="1227"/>
    </row>
    <row r="632" spans="1:9" s="78" customFormat="1" ht="18" customHeight="1">
      <c r="A632" s="75"/>
      <c r="B632" s="63" t="s">
        <v>1267</v>
      </c>
      <c r="C632" s="70">
        <v>2</v>
      </c>
      <c r="D632" s="68">
        <f>1.825+1.425-0.1-0.2</f>
        <v>2.9499999999999997</v>
      </c>
      <c r="E632" s="77">
        <v>0.23</v>
      </c>
      <c r="F632" s="77">
        <v>0.45</v>
      </c>
      <c r="G632" s="633">
        <f t="shared" si="25"/>
        <v>0.61</v>
      </c>
      <c r="H632" s="929" t="s">
        <v>2247</v>
      </c>
      <c r="I632" s="1227"/>
    </row>
    <row r="633" spans="1:9" s="78" customFormat="1" ht="18" customHeight="1">
      <c r="A633" s="75"/>
      <c r="B633" s="63" t="s">
        <v>1268</v>
      </c>
      <c r="C633" s="70">
        <v>2</v>
      </c>
      <c r="D633" s="68">
        <f>4.6-0.275-0.2</f>
        <v>4.1249999999999991</v>
      </c>
      <c r="E633" s="77">
        <v>0.23</v>
      </c>
      <c r="F633" s="77">
        <v>0.45</v>
      </c>
      <c r="G633" s="633">
        <f t="shared" si="25"/>
        <v>0.85</v>
      </c>
      <c r="H633" s="929" t="s">
        <v>2247</v>
      </c>
      <c r="I633" s="1227"/>
    </row>
    <row r="634" spans="1:9" s="78" customFormat="1" ht="18" customHeight="1">
      <c r="A634" s="75"/>
      <c r="B634" s="63" t="s">
        <v>1269</v>
      </c>
      <c r="C634" s="70">
        <v>2</v>
      </c>
      <c r="D634" s="68">
        <v>5.71</v>
      </c>
      <c r="E634" s="77">
        <v>0.23</v>
      </c>
      <c r="F634" s="77">
        <v>0.45</v>
      </c>
      <c r="G634" s="633">
        <f t="shared" si="25"/>
        <v>1.18</v>
      </c>
      <c r="H634" s="929" t="s">
        <v>2247</v>
      </c>
      <c r="I634" s="1227"/>
    </row>
    <row r="635" spans="1:9" s="78" customFormat="1" ht="18" customHeight="1">
      <c r="A635" s="75"/>
      <c r="B635" s="63" t="s">
        <v>1270</v>
      </c>
      <c r="C635" s="70">
        <v>2</v>
      </c>
      <c r="D635" s="68">
        <v>1.835</v>
      </c>
      <c r="E635" s="77">
        <v>0.23</v>
      </c>
      <c r="F635" s="77">
        <v>0.45</v>
      </c>
      <c r="G635" s="633">
        <f t="shared" si="25"/>
        <v>0.38</v>
      </c>
      <c r="H635" s="929" t="s">
        <v>2247</v>
      </c>
      <c r="I635" s="1227"/>
    </row>
    <row r="636" spans="1:9" s="78" customFormat="1" ht="18" customHeight="1">
      <c r="A636" s="75"/>
      <c r="B636" s="63" t="s">
        <v>1271</v>
      </c>
      <c r="C636" s="70">
        <v>2</v>
      </c>
      <c r="D636" s="67">
        <v>6.6619999999999999</v>
      </c>
      <c r="E636" s="77">
        <v>0.23</v>
      </c>
      <c r="F636" s="68">
        <v>0.6</v>
      </c>
      <c r="G636" s="633">
        <f t="shared" si="25"/>
        <v>1.84</v>
      </c>
      <c r="H636" s="929" t="s">
        <v>2247</v>
      </c>
      <c r="I636" s="1227"/>
    </row>
    <row r="637" spans="1:9" s="78" customFormat="1" ht="18" customHeight="1">
      <c r="A637" s="75"/>
      <c r="B637" s="406" t="s">
        <v>1272</v>
      </c>
      <c r="C637" s="70">
        <v>2</v>
      </c>
      <c r="D637" s="67">
        <v>35.86</v>
      </c>
      <c r="E637" s="77">
        <v>0.23</v>
      </c>
      <c r="F637" s="77">
        <v>0.45</v>
      </c>
      <c r="G637" s="633">
        <f t="shared" si="25"/>
        <v>7.42</v>
      </c>
      <c r="H637" s="929" t="s">
        <v>2247</v>
      </c>
      <c r="I637" s="1227"/>
    </row>
    <row r="638" spans="1:9" s="78" customFormat="1" ht="18" customHeight="1">
      <c r="A638" s="75"/>
      <c r="B638" s="353" t="s">
        <v>1273</v>
      </c>
      <c r="C638" s="70">
        <v>4</v>
      </c>
      <c r="D638" s="68">
        <f>4.6+2.25+1.525+3.075-0.275-0.275-0.55-0.55</f>
        <v>9.7999999999999972</v>
      </c>
      <c r="E638" s="77">
        <v>0.23</v>
      </c>
      <c r="F638" s="77">
        <v>0.45</v>
      </c>
      <c r="G638" s="633">
        <f t="shared" si="25"/>
        <v>4.0599999999999996</v>
      </c>
      <c r="H638" s="929" t="s">
        <v>2247</v>
      </c>
      <c r="I638" s="1227"/>
    </row>
    <row r="639" spans="1:9" s="78" customFormat="1" ht="18" customHeight="1">
      <c r="A639" s="75"/>
      <c r="B639" s="63" t="s">
        <v>1274</v>
      </c>
      <c r="C639" s="70">
        <v>1</v>
      </c>
      <c r="D639" s="68">
        <v>4.6550000000000002</v>
      </c>
      <c r="E639" s="77">
        <v>0.23</v>
      </c>
      <c r="F639" s="77">
        <v>0.45</v>
      </c>
      <c r="G639" s="633">
        <f t="shared" si="25"/>
        <v>0.48</v>
      </c>
      <c r="H639" s="929" t="s">
        <v>2247</v>
      </c>
      <c r="I639" s="1227"/>
    </row>
    <row r="640" spans="1:9" s="78" customFormat="1" ht="18" customHeight="1">
      <c r="A640" s="75"/>
      <c r="B640" s="406" t="s">
        <v>1275</v>
      </c>
      <c r="C640" s="70">
        <v>2</v>
      </c>
      <c r="D640" s="68">
        <v>7.7839999999999998</v>
      </c>
      <c r="E640" s="77">
        <v>0.23</v>
      </c>
      <c r="F640" s="77">
        <v>0.6</v>
      </c>
      <c r="G640" s="633">
        <f t="shared" si="25"/>
        <v>2.15</v>
      </c>
      <c r="H640" s="929" t="s">
        <v>2247</v>
      </c>
      <c r="I640" s="1227"/>
    </row>
    <row r="641" spans="1:9" s="78" customFormat="1" ht="18" customHeight="1">
      <c r="A641" s="75"/>
      <c r="B641" s="63" t="s">
        <v>1276</v>
      </c>
      <c r="C641" s="70">
        <v>2</v>
      </c>
      <c r="D641" s="68">
        <v>14.734</v>
      </c>
      <c r="E641" s="77">
        <v>0.23</v>
      </c>
      <c r="F641" s="77">
        <v>0.45</v>
      </c>
      <c r="G641" s="633">
        <f t="shared" ref="G641:G704" si="26">IF(C641&lt;&gt;0,ROUND(PRODUCT(D641:F641)*C641,2),)</f>
        <v>3.05</v>
      </c>
      <c r="H641" s="929" t="s">
        <v>2247</v>
      </c>
      <c r="I641" s="1227"/>
    </row>
    <row r="642" spans="1:9" s="78" customFormat="1" ht="18" customHeight="1">
      <c r="A642" s="75"/>
      <c r="B642" s="409" t="s">
        <v>1277</v>
      </c>
      <c r="C642" s="70">
        <v>2</v>
      </c>
      <c r="D642" s="68">
        <v>7.9749999999999996</v>
      </c>
      <c r="E642" s="77">
        <v>0.23</v>
      </c>
      <c r="F642" s="77">
        <v>0.6</v>
      </c>
      <c r="G642" s="633">
        <f t="shared" si="26"/>
        <v>2.2000000000000002</v>
      </c>
      <c r="H642" s="929" t="s">
        <v>2247</v>
      </c>
      <c r="I642" s="1227"/>
    </row>
    <row r="643" spans="1:9" s="78" customFormat="1" ht="18" customHeight="1">
      <c r="A643" s="75"/>
      <c r="B643" s="63" t="s">
        <v>1278</v>
      </c>
      <c r="C643" s="70">
        <v>2</v>
      </c>
      <c r="D643" s="68">
        <f>1.475+1.825+1.425+3.175+2.25+1.875+2.725+0.275+0.275-0.55*4-0.23</f>
        <v>12.869999999999997</v>
      </c>
      <c r="E643" s="77">
        <v>0.23</v>
      </c>
      <c r="F643" s="77">
        <v>0.45</v>
      </c>
      <c r="G643" s="633">
        <f t="shared" si="26"/>
        <v>2.66</v>
      </c>
      <c r="H643" s="929" t="s">
        <v>2247</v>
      </c>
      <c r="I643" s="1227"/>
    </row>
    <row r="644" spans="1:9" s="78" customFormat="1" ht="18" customHeight="1">
      <c r="A644" s="75"/>
      <c r="B644" s="63" t="s">
        <v>1279</v>
      </c>
      <c r="C644" s="70">
        <v>2</v>
      </c>
      <c r="D644" s="68">
        <v>4.6550000000000002</v>
      </c>
      <c r="E644" s="77">
        <v>0.23</v>
      </c>
      <c r="F644" s="77">
        <v>0.45</v>
      </c>
      <c r="G644" s="633">
        <f t="shared" si="26"/>
        <v>0.96</v>
      </c>
      <c r="H644" s="929" t="s">
        <v>2247</v>
      </c>
      <c r="I644" s="1227"/>
    </row>
    <row r="645" spans="1:9" s="78" customFormat="1" ht="18" customHeight="1">
      <c r="A645" s="75"/>
      <c r="B645" s="63" t="s">
        <v>1866</v>
      </c>
      <c r="C645" s="70">
        <v>36</v>
      </c>
      <c r="D645" s="68">
        <v>0.6</v>
      </c>
      <c r="E645" s="68">
        <v>0.15</v>
      </c>
      <c r="F645" s="68">
        <v>0.45</v>
      </c>
      <c r="G645" s="633">
        <f t="shared" si="26"/>
        <v>1.46</v>
      </c>
      <c r="H645" s="929" t="s">
        <v>2247</v>
      </c>
      <c r="I645" s="1227"/>
    </row>
    <row r="646" spans="1:9" ht="18" customHeight="1">
      <c r="A646" s="354"/>
      <c r="B646" s="63" t="s">
        <v>1891</v>
      </c>
      <c r="C646" s="70">
        <v>2</v>
      </c>
      <c r="D646" s="68">
        <v>9.7379999999999995</v>
      </c>
      <c r="E646" s="68">
        <v>0.23</v>
      </c>
      <c r="F646" s="68">
        <v>0.45</v>
      </c>
      <c r="G646" s="633">
        <f t="shared" si="26"/>
        <v>2.02</v>
      </c>
      <c r="H646" s="929" t="s">
        <v>2247</v>
      </c>
    </row>
    <row r="647" spans="1:9" ht="18" customHeight="1">
      <c r="A647" s="354"/>
      <c r="B647" s="63"/>
      <c r="C647" s="70"/>
      <c r="D647" s="68"/>
      <c r="E647" s="68"/>
      <c r="F647" s="68"/>
      <c r="G647" s="633">
        <f t="shared" si="26"/>
        <v>0</v>
      </c>
      <c r="H647" s="929"/>
    </row>
    <row r="648" spans="1:9" ht="18" customHeight="1">
      <c r="A648" s="454" t="s">
        <v>1282</v>
      </c>
      <c r="B648" s="714" t="s">
        <v>936</v>
      </c>
      <c r="C648" s="70"/>
      <c r="D648" s="68"/>
      <c r="E648" s="68"/>
      <c r="F648" s="68"/>
      <c r="G648" s="633">
        <f t="shared" si="26"/>
        <v>0</v>
      </c>
      <c r="H648" s="929"/>
    </row>
    <row r="649" spans="1:9" s="78" customFormat="1" ht="18" customHeight="1">
      <c r="A649" s="75"/>
      <c r="B649" s="63" t="s">
        <v>1870</v>
      </c>
      <c r="C649" s="70">
        <v>1</v>
      </c>
      <c r="D649" s="68">
        <f>4.9+0.7+0.7+0.1+0.1</f>
        <v>6.5</v>
      </c>
      <c r="E649" s="68">
        <v>4.3550000000000004</v>
      </c>
      <c r="F649" s="68">
        <v>0.1</v>
      </c>
      <c r="G649" s="633">
        <f t="shared" si="26"/>
        <v>2.83</v>
      </c>
      <c r="H649" s="930" t="s">
        <v>1282</v>
      </c>
      <c r="I649" s="1227"/>
    </row>
    <row r="650" spans="1:9" s="78" customFormat="1" ht="18" customHeight="1">
      <c r="A650" s="75"/>
      <c r="B650" s="63" t="s">
        <v>1871</v>
      </c>
      <c r="C650" s="70">
        <v>1</v>
      </c>
      <c r="D650" s="68">
        <f>3.025+0.175+6.45+3.25+3.2+0.7+4.9+0.7+3.2+3.25+6.45+0.175+3.025+0.1+0.1</f>
        <v>38.700000000000003</v>
      </c>
      <c r="E650" s="68">
        <f>4.6+0.275-0.1</f>
        <v>4.7750000000000004</v>
      </c>
      <c r="F650" s="68">
        <v>0.1</v>
      </c>
      <c r="G650" s="633">
        <f t="shared" si="26"/>
        <v>18.48</v>
      </c>
      <c r="H650" s="930" t="s">
        <v>1282</v>
      </c>
      <c r="I650" s="1227"/>
    </row>
    <row r="651" spans="1:9" s="78" customFormat="1" ht="18" customHeight="1">
      <c r="A651" s="75"/>
      <c r="B651" s="63" t="s">
        <v>1872</v>
      </c>
      <c r="C651" s="70">
        <v>1</v>
      </c>
      <c r="D651" s="68">
        <v>46.55</v>
      </c>
      <c r="E651" s="68">
        <f>2.25+1.525+0.1-0.1</f>
        <v>3.7749999999999999</v>
      </c>
      <c r="F651" s="68">
        <v>0.1</v>
      </c>
      <c r="G651" s="633">
        <f t="shared" si="26"/>
        <v>17.57</v>
      </c>
      <c r="H651" s="930" t="s">
        <v>1282</v>
      </c>
      <c r="I651" s="1227"/>
    </row>
    <row r="652" spans="1:9" s="78" customFormat="1" ht="18" customHeight="1">
      <c r="A652" s="75"/>
      <c r="B652" s="63" t="s">
        <v>1873</v>
      </c>
      <c r="C652" s="70">
        <v>1</v>
      </c>
      <c r="D652" s="68">
        <v>55.83</v>
      </c>
      <c r="E652" s="626">
        <v>3.29</v>
      </c>
      <c r="F652" s="68">
        <v>0.1</v>
      </c>
      <c r="G652" s="633">
        <f t="shared" si="26"/>
        <v>18.37</v>
      </c>
      <c r="H652" s="930" t="s">
        <v>1282</v>
      </c>
      <c r="I652" s="1227"/>
    </row>
    <row r="653" spans="1:9" s="78" customFormat="1" ht="18" customHeight="1">
      <c r="A653" s="75"/>
      <c r="B653" s="63" t="s">
        <v>1874</v>
      </c>
      <c r="C653" s="70">
        <v>1</v>
      </c>
      <c r="D653" s="68">
        <f>0.7+4.9+0.7+0.1+0.1</f>
        <v>6.5</v>
      </c>
      <c r="E653" s="68">
        <v>1.44</v>
      </c>
      <c r="F653" s="68">
        <v>0.1</v>
      </c>
      <c r="G653" s="633">
        <f t="shared" si="26"/>
        <v>0.94</v>
      </c>
      <c r="H653" s="930" t="s">
        <v>1282</v>
      </c>
      <c r="I653" s="1227"/>
    </row>
    <row r="654" spans="1:9" s="78" customFormat="1" ht="18" customHeight="1">
      <c r="A654" s="75"/>
      <c r="B654" s="63" t="s">
        <v>1875</v>
      </c>
      <c r="C654" s="70">
        <v>2</v>
      </c>
      <c r="D654" s="68">
        <f>3.6+1+2.25+1.575+3.025+0.175+0.275+0.1</f>
        <v>12</v>
      </c>
      <c r="E654" s="68">
        <v>19.440000000000001</v>
      </c>
      <c r="F654" s="68">
        <v>0.1</v>
      </c>
      <c r="G654" s="633">
        <f t="shared" si="26"/>
        <v>46.66</v>
      </c>
      <c r="H654" s="930" t="s">
        <v>1282</v>
      </c>
      <c r="I654" s="1227"/>
    </row>
    <row r="655" spans="1:9" s="78" customFormat="1" ht="18" customHeight="1">
      <c r="A655" s="75"/>
      <c r="B655" s="63" t="s">
        <v>1876</v>
      </c>
      <c r="C655" s="70">
        <v>1</v>
      </c>
      <c r="D655" s="68">
        <v>5.0940000000000003</v>
      </c>
      <c r="E655" s="68">
        <f>1.475+1.825-0.275+0.275</f>
        <v>3.3</v>
      </c>
      <c r="F655" s="68">
        <v>0.1</v>
      </c>
      <c r="G655" s="633">
        <f t="shared" si="26"/>
        <v>1.68</v>
      </c>
      <c r="H655" s="930" t="s">
        <v>1282</v>
      </c>
      <c r="I655" s="1227"/>
    </row>
    <row r="656" spans="1:9" s="78" customFormat="1" ht="18" customHeight="1">
      <c r="A656" s="75"/>
      <c r="B656" s="63" t="s">
        <v>1877</v>
      </c>
      <c r="C656" s="70">
        <v>2</v>
      </c>
      <c r="D656" s="68">
        <f>2.298+3.6+1+2.25+1.575+3.025+0.175+0.1+0.1</f>
        <v>14.122999999999999</v>
      </c>
      <c r="E656" s="68">
        <f>3.175+2.25+1.875+2.725+2.462+0.1+0.1</f>
        <v>12.686999999999999</v>
      </c>
      <c r="F656" s="68">
        <v>0.1</v>
      </c>
      <c r="G656" s="633">
        <f t="shared" si="26"/>
        <v>35.840000000000003</v>
      </c>
      <c r="H656" s="930" t="s">
        <v>1282</v>
      </c>
      <c r="I656" s="1227"/>
    </row>
    <row r="657" spans="1:9" s="78" customFormat="1" ht="18" customHeight="1">
      <c r="A657" s="75"/>
      <c r="B657" s="63" t="s">
        <v>1878</v>
      </c>
      <c r="C657" s="70">
        <v>-2</v>
      </c>
      <c r="D657" s="68">
        <v>3.202</v>
      </c>
      <c r="E657" s="68">
        <f>2.462-0.275+0.1</f>
        <v>2.2870000000000004</v>
      </c>
      <c r="F657" s="68">
        <v>0.1</v>
      </c>
      <c r="G657" s="633">
        <f t="shared" si="26"/>
        <v>-1.46</v>
      </c>
      <c r="H657" s="930" t="s">
        <v>1282</v>
      </c>
      <c r="I657" s="1227"/>
    </row>
    <row r="658" spans="1:9" s="78" customFormat="1" ht="18" customHeight="1">
      <c r="A658" s="75"/>
      <c r="B658" s="63" t="s">
        <v>1879</v>
      </c>
      <c r="C658" s="70">
        <v>2</v>
      </c>
      <c r="D658" s="68">
        <v>9.7149999999999999</v>
      </c>
      <c r="E658" s="68">
        <f>1.425+3.175+2.25+1.875+2.725+0.275+0.275</f>
        <v>12</v>
      </c>
      <c r="F658" s="68">
        <v>0.1</v>
      </c>
      <c r="G658" s="633">
        <f t="shared" si="26"/>
        <v>23.32</v>
      </c>
      <c r="H658" s="930" t="s">
        <v>1282</v>
      </c>
      <c r="I658" s="1227"/>
    </row>
    <row r="659" spans="1:9" s="78" customFormat="1" ht="18" customHeight="1">
      <c r="A659" s="75"/>
      <c r="B659" s="63" t="s">
        <v>1897</v>
      </c>
      <c r="C659" s="70">
        <v>1</v>
      </c>
      <c r="D659" s="68">
        <f>3.2+0.7+4.9+0.7+3.2+0.1+0.1</f>
        <v>12.899999999999999</v>
      </c>
      <c r="E659" s="68">
        <f>1.425+3.175+2.25+1.875+2.725+0.275+0.275</f>
        <v>12</v>
      </c>
      <c r="F659" s="68">
        <v>0.1</v>
      </c>
      <c r="G659" s="633">
        <f t="shared" si="26"/>
        <v>15.48</v>
      </c>
      <c r="H659" s="930" t="s">
        <v>1282</v>
      </c>
      <c r="I659" s="1227"/>
    </row>
    <row r="660" spans="1:9" s="78" customFormat="1" ht="18" customHeight="1">
      <c r="A660" s="75"/>
      <c r="B660" s="63" t="s">
        <v>1898</v>
      </c>
      <c r="C660" s="70">
        <v>1</v>
      </c>
      <c r="D660" s="68">
        <f>3.2+0.7+4.9+0.7+3.2+0.1+0.1</f>
        <v>12.899999999999999</v>
      </c>
      <c r="E660" s="68">
        <v>9.0839999999999996</v>
      </c>
      <c r="F660" s="68">
        <v>0.25</v>
      </c>
      <c r="G660" s="633">
        <f t="shared" si="26"/>
        <v>29.3</v>
      </c>
      <c r="H660" s="930" t="s">
        <v>1282</v>
      </c>
      <c r="I660" s="1227"/>
    </row>
    <row r="661" spans="1:9" ht="18" customHeight="1">
      <c r="A661" s="354"/>
      <c r="B661" s="64" t="s">
        <v>1884</v>
      </c>
      <c r="C661" s="70"/>
      <c r="D661" s="68"/>
      <c r="E661" s="68"/>
      <c r="F661" s="68"/>
      <c r="G661" s="633">
        <f t="shared" si="26"/>
        <v>0</v>
      </c>
      <c r="H661" s="930" t="s">
        <v>1282</v>
      </c>
    </row>
    <row r="662" spans="1:9" ht="18" customHeight="1">
      <c r="A662" s="354"/>
      <c r="B662" s="63" t="s">
        <v>1809</v>
      </c>
      <c r="C662" s="70">
        <v>-42</v>
      </c>
      <c r="D662" s="68">
        <v>0.55000000000000004</v>
      </c>
      <c r="E662" s="68">
        <v>0.4</v>
      </c>
      <c r="F662" s="68">
        <v>0.1</v>
      </c>
      <c r="G662" s="633">
        <f t="shared" si="26"/>
        <v>-0.92</v>
      </c>
      <c r="H662" s="930" t="s">
        <v>1282</v>
      </c>
    </row>
    <row r="663" spans="1:9" ht="18" customHeight="1">
      <c r="A663" s="354"/>
      <c r="B663" s="63" t="s">
        <v>1810</v>
      </c>
      <c r="C663" s="70">
        <v>-40</v>
      </c>
      <c r="D663" s="68">
        <v>0.55000000000000004</v>
      </c>
      <c r="E663" s="68">
        <v>0.4</v>
      </c>
      <c r="F663" s="68">
        <v>0.1</v>
      </c>
      <c r="G663" s="633">
        <f t="shared" si="26"/>
        <v>-0.88</v>
      </c>
      <c r="H663" s="930" t="s">
        <v>1282</v>
      </c>
    </row>
    <row r="664" spans="1:9" ht="18" customHeight="1">
      <c r="A664" s="354"/>
      <c r="B664" s="63" t="s">
        <v>1885</v>
      </c>
      <c r="C664" s="70">
        <v>-18</v>
      </c>
      <c r="D664" s="68">
        <v>0.55000000000000004</v>
      </c>
      <c r="E664" s="68">
        <v>0.4</v>
      </c>
      <c r="F664" s="68">
        <v>0.1</v>
      </c>
      <c r="G664" s="633">
        <f t="shared" si="26"/>
        <v>-0.4</v>
      </c>
      <c r="H664" s="930" t="s">
        <v>1282</v>
      </c>
    </row>
    <row r="665" spans="1:9" ht="18" customHeight="1">
      <c r="A665" s="354"/>
      <c r="B665" s="63" t="s">
        <v>1886</v>
      </c>
      <c r="C665" s="70">
        <v>-4</v>
      </c>
      <c r="D665" s="68">
        <v>0.55000000000000004</v>
      </c>
      <c r="E665" s="68">
        <v>0.4</v>
      </c>
      <c r="F665" s="68">
        <v>0.1</v>
      </c>
      <c r="G665" s="633">
        <f t="shared" si="26"/>
        <v>-0.09</v>
      </c>
      <c r="H665" s="930" t="s">
        <v>1282</v>
      </c>
    </row>
    <row r="666" spans="1:9" ht="18" customHeight="1">
      <c r="A666" s="354"/>
      <c r="B666" s="63" t="s">
        <v>1887</v>
      </c>
      <c r="C666" s="70">
        <v>-4</v>
      </c>
      <c r="D666" s="68">
        <v>0.55000000000000004</v>
      </c>
      <c r="E666" s="68">
        <v>0.4</v>
      </c>
      <c r="F666" s="68">
        <v>0.1</v>
      </c>
      <c r="G666" s="633">
        <f t="shared" si="26"/>
        <v>-0.09</v>
      </c>
      <c r="H666" s="930" t="s">
        <v>1282</v>
      </c>
    </row>
    <row r="667" spans="1:9" ht="18" customHeight="1">
      <c r="A667" s="354"/>
      <c r="B667" s="63" t="s">
        <v>1888</v>
      </c>
      <c r="C667" s="70">
        <v>-20</v>
      </c>
      <c r="D667" s="68">
        <v>0.55000000000000004</v>
      </c>
      <c r="E667" s="68">
        <v>0.4</v>
      </c>
      <c r="F667" s="68">
        <v>0.1</v>
      </c>
      <c r="G667" s="633">
        <f t="shared" si="26"/>
        <v>-0.44</v>
      </c>
      <c r="H667" s="930" t="s">
        <v>1282</v>
      </c>
    </row>
    <row r="668" spans="1:9" ht="18" customHeight="1">
      <c r="A668" s="354"/>
      <c r="B668" s="63" t="s">
        <v>1889</v>
      </c>
      <c r="C668" s="70">
        <v>-4</v>
      </c>
      <c r="D668" s="68">
        <v>0.55000000000000004</v>
      </c>
      <c r="E668" s="68">
        <v>0.4</v>
      </c>
      <c r="F668" s="68">
        <v>0.1</v>
      </c>
      <c r="G668" s="633">
        <f t="shared" si="26"/>
        <v>-0.09</v>
      </c>
      <c r="H668" s="930" t="s">
        <v>1282</v>
      </c>
    </row>
    <row r="669" spans="1:9" ht="18" customHeight="1">
      <c r="A669" s="354"/>
      <c r="B669" s="582" t="s">
        <v>1899</v>
      </c>
      <c r="C669" s="70"/>
      <c r="D669" s="68"/>
      <c r="E669" s="68"/>
      <c r="F669" s="68"/>
      <c r="G669" s="633">
        <f t="shared" si="26"/>
        <v>0</v>
      </c>
      <c r="H669" s="930" t="s">
        <v>1282</v>
      </c>
    </row>
    <row r="670" spans="1:9" ht="18" customHeight="1">
      <c r="A670" s="354"/>
      <c r="B670" s="80" t="s">
        <v>937</v>
      </c>
      <c r="C670" s="70"/>
      <c r="D670" s="68"/>
      <c r="E670" s="68"/>
      <c r="F670" s="68"/>
      <c r="G670" s="633">
        <f t="shared" si="26"/>
        <v>0</v>
      </c>
      <c r="H670" s="930" t="s">
        <v>1282</v>
      </c>
    </row>
    <row r="671" spans="1:9" ht="18" customHeight="1">
      <c r="A671" s="354"/>
      <c r="B671" s="64" t="s">
        <v>1900</v>
      </c>
      <c r="C671" s="70"/>
      <c r="D671" s="68"/>
      <c r="E671" s="68"/>
      <c r="F671" s="68"/>
      <c r="G671" s="633">
        <f t="shared" si="26"/>
        <v>0</v>
      </c>
      <c r="H671" s="930" t="s">
        <v>1282</v>
      </c>
    </row>
    <row r="672" spans="1:9" ht="18" customHeight="1">
      <c r="A672" s="354"/>
      <c r="B672" s="63" t="s">
        <v>1901</v>
      </c>
      <c r="C672" s="70">
        <v>1</v>
      </c>
      <c r="D672" s="68">
        <f>3.2+0.1+0.1</f>
        <v>3.4000000000000004</v>
      </c>
      <c r="E672" s="68">
        <f>4.6+0.275-0.1</f>
        <v>4.7750000000000004</v>
      </c>
      <c r="F672" s="68">
        <v>7.4999999999999997E-2</v>
      </c>
      <c r="G672" s="633">
        <f t="shared" si="26"/>
        <v>1.22</v>
      </c>
      <c r="H672" s="930" t="s">
        <v>1282</v>
      </c>
    </row>
    <row r="673" spans="1:8" ht="18" customHeight="1">
      <c r="A673" s="354"/>
      <c r="B673" s="63" t="s">
        <v>1902</v>
      </c>
      <c r="C673" s="70">
        <v>1</v>
      </c>
      <c r="D673" s="68">
        <f>3.825+3.2+0.2+0.1</f>
        <v>7.3250000000000002</v>
      </c>
      <c r="E673" s="68">
        <f>3.775+0.1-0.1</f>
        <v>3.7749999999999999</v>
      </c>
      <c r="F673" s="68">
        <v>7.4999999999999997E-2</v>
      </c>
      <c r="G673" s="633">
        <f t="shared" si="26"/>
        <v>2.0699999999999998</v>
      </c>
      <c r="H673" s="930" t="s">
        <v>1282</v>
      </c>
    </row>
    <row r="674" spans="1:8" ht="18" customHeight="1">
      <c r="A674" s="354"/>
      <c r="B674" s="63" t="s">
        <v>1903</v>
      </c>
      <c r="C674" s="70">
        <v>1</v>
      </c>
      <c r="D674" s="68">
        <f>4.6+3.825+3.2+0.275+0.1</f>
        <v>12</v>
      </c>
      <c r="E674" s="68">
        <f>6.45+6.4+6.4+3.25+0.1-0.1</f>
        <v>22.5</v>
      </c>
      <c r="F674" s="68">
        <v>7.4999999999999997E-2</v>
      </c>
      <c r="G674" s="633">
        <f t="shared" si="26"/>
        <v>20.25</v>
      </c>
      <c r="H674" s="930" t="s">
        <v>1282</v>
      </c>
    </row>
    <row r="675" spans="1:8" ht="18" customHeight="1">
      <c r="A675" s="354"/>
      <c r="B675" s="63" t="s">
        <v>1904</v>
      </c>
      <c r="C675" s="70">
        <v>1</v>
      </c>
      <c r="D675" s="68">
        <f>2.298+4.6+3.825+3.2+0.1+0.1</f>
        <v>14.122999999999998</v>
      </c>
      <c r="E675" s="68">
        <f>3.175+4.125+2.725+0.1+0.275</f>
        <v>10.4</v>
      </c>
      <c r="F675" s="68">
        <v>7.4999999999999997E-2</v>
      </c>
      <c r="G675" s="633">
        <f t="shared" si="26"/>
        <v>11.02</v>
      </c>
      <c r="H675" s="930" t="s">
        <v>1282</v>
      </c>
    </row>
    <row r="676" spans="1:8" ht="18" customHeight="1">
      <c r="A676" s="354"/>
      <c r="B676" s="63" t="s">
        <v>1905</v>
      </c>
      <c r="C676" s="70">
        <v>-1</v>
      </c>
      <c r="D676" s="68">
        <f>2.298+3.6-0.13+0.01</f>
        <v>5.7779999999999996</v>
      </c>
      <c r="E676" s="68">
        <f>3.175-0.13-0.115</f>
        <v>2.9299999999999997</v>
      </c>
      <c r="F676" s="68">
        <v>7.4999999999999997E-2</v>
      </c>
      <c r="G676" s="633">
        <f t="shared" si="26"/>
        <v>-1.27</v>
      </c>
      <c r="H676" s="930" t="s">
        <v>1282</v>
      </c>
    </row>
    <row r="677" spans="1:8" ht="18" customHeight="1">
      <c r="A677" s="354"/>
      <c r="B677" s="63" t="s">
        <v>1906</v>
      </c>
      <c r="C677" s="70">
        <v>1</v>
      </c>
      <c r="D677" s="68">
        <f>2.298+4.6+3.825+0.1+0.1</f>
        <v>10.922999999999998</v>
      </c>
      <c r="E677" s="68">
        <f>2.462+0.1-0.275</f>
        <v>2.2870000000000004</v>
      </c>
      <c r="F677" s="68">
        <v>7.4999999999999997E-2</v>
      </c>
      <c r="G677" s="633">
        <f t="shared" si="26"/>
        <v>1.87</v>
      </c>
      <c r="H677" s="930" t="s">
        <v>1282</v>
      </c>
    </row>
    <row r="678" spans="1:8" ht="18" customHeight="1">
      <c r="A678" s="354"/>
      <c r="B678" s="64" t="s">
        <v>1907</v>
      </c>
      <c r="C678" s="70">
        <v>1</v>
      </c>
      <c r="D678" s="68">
        <f>6.45+6.45-0.1-0.1</f>
        <v>12.700000000000001</v>
      </c>
      <c r="E678" s="68">
        <f>4.6+3.775+3.075+0.275+0.275</f>
        <v>12</v>
      </c>
      <c r="F678" s="68">
        <v>7.4999999999999997E-2</v>
      </c>
      <c r="G678" s="633">
        <f t="shared" si="26"/>
        <v>11.43</v>
      </c>
      <c r="H678" s="930" t="s">
        <v>1282</v>
      </c>
    </row>
    <row r="679" spans="1:8" ht="18" customHeight="1">
      <c r="A679" s="354"/>
      <c r="B679" s="64" t="s">
        <v>1908</v>
      </c>
      <c r="C679" s="70">
        <v>1</v>
      </c>
      <c r="D679" s="68">
        <f>6.45+6.45+0.7-0.1-0.1</f>
        <v>13.4</v>
      </c>
      <c r="E679" s="68">
        <v>12</v>
      </c>
      <c r="F679" s="68">
        <v>7.4999999999999997E-2</v>
      </c>
      <c r="G679" s="633">
        <f t="shared" si="26"/>
        <v>12.06</v>
      </c>
      <c r="H679" s="930" t="s">
        <v>1282</v>
      </c>
    </row>
    <row r="680" spans="1:8" ht="18" customHeight="1">
      <c r="A680" s="354"/>
      <c r="B680" s="668" t="s">
        <v>938</v>
      </c>
      <c r="C680" s="70"/>
      <c r="D680" s="68"/>
      <c r="E680" s="68"/>
      <c r="F680" s="68"/>
      <c r="G680" s="633">
        <f t="shared" si="26"/>
        <v>0</v>
      </c>
      <c r="H680" s="930" t="s">
        <v>1282</v>
      </c>
    </row>
    <row r="681" spans="1:8" ht="18" customHeight="1">
      <c r="A681" s="354"/>
      <c r="B681" s="64" t="s">
        <v>1900</v>
      </c>
      <c r="C681" s="70"/>
      <c r="D681" s="68"/>
      <c r="E681" s="68"/>
      <c r="F681" s="68"/>
      <c r="G681" s="633">
        <f t="shared" si="26"/>
        <v>0</v>
      </c>
      <c r="H681" s="930" t="s">
        <v>1282</v>
      </c>
    </row>
    <row r="682" spans="1:8" ht="18" customHeight="1">
      <c r="A682" s="354"/>
      <c r="B682" s="63" t="s">
        <v>1901</v>
      </c>
      <c r="C682" s="70">
        <v>1</v>
      </c>
      <c r="D682" s="68">
        <f>3.2+0.1+0.1</f>
        <v>3.4000000000000004</v>
      </c>
      <c r="E682" s="68">
        <f>4.6+0.275-0.1</f>
        <v>4.7750000000000004</v>
      </c>
      <c r="F682" s="68">
        <v>7.4999999999999997E-2</v>
      </c>
      <c r="G682" s="633">
        <f t="shared" si="26"/>
        <v>1.22</v>
      </c>
      <c r="H682" s="930" t="s">
        <v>1282</v>
      </c>
    </row>
    <row r="683" spans="1:8" ht="18" customHeight="1">
      <c r="A683" s="354"/>
      <c r="B683" s="63" t="s">
        <v>1902</v>
      </c>
      <c r="C683" s="70">
        <v>1</v>
      </c>
      <c r="D683" s="68">
        <f>3.825+3.2+0.2+0.1</f>
        <v>7.3250000000000002</v>
      </c>
      <c r="E683" s="68">
        <f>3.775+0.1-0.1</f>
        <v>3.7749999999999999</v>
      </c>
      <c r="F683" s="68">
        <v>7.4999999999999997E-2</v>
      </c>
      <c r="G683" s="633">
        <f t="shared" si="26"/>
        <v>2.0699999999999998</v>
      </c>
      <c r="H683" s="930" t="s">
        <v>1282</v>
      </c>
    </row>
    <row r="684" spans="1:8" ht="18" customHeight="1">
      <c r="A684" s="354"/>
      <c r="B684" s="63" t="s">
        <v>1903</v>
      </c>
      <c r="C684" s="70">
        <v>1</v>
      </c>
      <c r="D684" s="68">
        <f>4.6+3.825+3.2+0.275+0.1</f>
        <v>12</v>
      </c>
      <c r="E684" s="68">
        <f>6.45+6.4+6.4+3.25+0.1-0.1</f>
        <v>22.5</v>
      </c>
      <c r="F684" s="68">
        <v>7.4999999999999997E-2</v>
      </c>
      <c r="G684" s="633">
        <f t="shared" si="26"/>
        <v>20.25</v>
      </c>
      <c r="H684" s="930" t="s">
        <v>1282</v>
      </c>
    </row>
    <row r="685" spans="1:8" ht="18" customHeight="1">
      <c r="A685" s="354"/>
      <c r="B685" s="63" t="s">
        <v>1904</v>
      </c>
      <c r="C685" s="70">
        <v>1</v>
      </c>
      <c r="D685" s="68">
        <f>2.298+4.6+3.825+3.2+0.1+0.1</f>
        <v>14.122999999999998</v>
      </c>
      <c r="E685" s="68">
        <f>3.175+4.125+2.725+0.1+0.275</f>
        <v>10.4</v>
      </c>
      <c r="F685" s="68">
        <v>7.4999999999999997E-2</v>
      </c>
      <c r="G685" s="633">
        <f t="shared" si="26"/>
        <v>11.02</v>
      </c>
      <c r="H685" s="930" t="s">
        <v>1282</v>
      </c>
    </row>
    <row r="686" spans="1:8" ht="18" customHeight="1">
      <c r="A686" s="354"/>
      <c r="B686" s="63" t="s">
        <v>1905</v>
      </c>
      <c r="C686" s="70">
        <v>-1</v>
      </c>
      <c r="D686" s="68">
        <f>2.298+3.6-0.13+0.01</f>
        <v>5.7779999999999996</v>
      </c>
      <c r="E686" s="68">
        <f>3.175-0.13-0.115</f>
        <v>2.9299999999999997</v>
      </c>
      <c r="F686" s="68">
        <v>7.4999999999999997E-2</v>
      </c>
      <c r="G686" s="633">
        <f t="shared" si="26"/>
        <v>-1.27</v>
      </c>
      <c r="H686" s="930" t="s">
        <v>1282</v>
      </c>
    </row>
    <row r="687" spans="1:8" ht="18" customHeight="1">
      <c r="A687" s="354"/>
      <c r="B687" s="63" t="s">
        <v>1906</v>
      </c>
      <c r="C687" s="70">
        <v>1</v>
      </c>
      <c r="D687" s="68">
        <f>2.298+4.6+3.825+0.1+0.1</f>
        <v>10.922999999999998</v>
      </c>
      <c r="E687" s="68">
        <f>2.462+0.1-0.275</f>
        <v>2.2870000000000004</v>
      </c>
      <c r="F687" s="68">
        <v>7.4999999999999997E-2</v>
      </c>
      <c r="G687" s="633">
        <f t="shared" si="26"/>
        <v>1.87</v>
      </c>
      <c r="H687" s="930" t="s">
        <v>1282</v>
      </c>
    </row>
    <row r="688" spans="1:8" ht="18" customHeight="1">
      <c r="A688" s="354"/>
      <c r="B688" s="64" t="s">
        <v>1907</v>
      </c>
      <c r="C688" s="70">
        <v>1</v>
      </c>
      <c r="D688" s="68">
        <f>6.45+6.45-0.1-0.1</f>
        <v>12.700000000000001</v>
      </c>
      <c r="E688" s="68">
        <f>4.6+3.775+3.075+0.275+0.275</f>
        <v>12</v>
      </c>
      <c r="F688" s="68">
        <v>7.4999999999999997E-2</v>
      </c>
      <c r="G688" s="633">
        <f t="shared" si="26"/>
        <v>11.43</v>
      </c>
      <c r="H688" s="930" t="s">
        <v>1282</v>
      </c>
    </row>
    <row r="689" spans="1:9" ht="18" customHeight="1">
      <c r="A689" s="354"/>
      <c r="B689" s="64" t="s">
        <v>1908</v>
      </c>
      <c r="C689" s="70">
        <v>1</v>
      </c>
      <c r="D689" s="68">
        <f>6.45+6.45+0.7-0.1-0.1</f>
        <v>13.4</v>
      </c>
      <c r="E689" s="68">
        <v>12</v>
      </c>
      <c r="F689" s="68">
        <v>7.4999999999999997E-2</v>
      </c>
      <c r="G689" s="633">
        <f t="shared" si="26"/>
        <v>12.06</v>
      </c>
      <c r="H689" s="930" t="s">
        <v>1282</v>
      </c>
    </row>
    <row r="690" spans="1:9" s="79" customFormat="1" ht="18" customHeight="1">
      <c r="A690" s="407"/>
      <c r="B690" s="81"/>
      <c r="C690" s="404"/>
      <c r="D690" s="405"/>
      <c r="E690" s="405"/>
      <c r="F690" s="405"/>
      <c r="G690" s="633">
        <f t="shared" si="26"/>
        <v>0</v>
      </c>
      <c r="H690" s="935"/>
      <c r="I690" s="1231"/>
    </row>
    <row r="691" spans="1:9" s="79" customFormat="1" ht="18" customHeight="1">
      <c r="A691" s="719" t="s">
        <v>2208</v>
      </c>
      <c r="B691" s="548" t="s">
        <v>1899</v>
      </c>
      <c r="C691" s="404"/>
      <c r="D691" s="405"/>
      <c r="E691" s="405"/>
      <c r="F691" s="405"/>
      <c r="G691" s="633">
        <f t="shared" si="26"/>
        <v>0</v>
      </c>
      <c r="H691" s="935"/>
      <c r="I691" s="1231"/>
    </row>
    <row r="692" spans="1:9" s="79" customFormat="1" ht="18" customHeight="1">
      <c r="A692" s="407"/>
      <c r="B692" s="548" t="s">
        <v>937</v>
      </c>
      <c r="C692" s="404"/>
      <c r="D692" s="405"/>
      <c r="E692" s="405"/>
      <c r="F692" s="405"/>
      <c r="G692" s="633">
        <f t="shared" si="26"/>
        <v>0</v>
      </c>
      <c r="H692" s="935"/>
      <c r="I692" s="1231"/>
    </row>
    <row r="693" spans="1:9" s="79" customFormat="1" ht="18" customHeight="1">
      <c r="A693" s="407"/>
      <c r="B693" s="548" t="s">
        <v>1942</v>
      </c>
      <c r="C693" s="404"/>
      <c r="D693" s="405"/>
      <c r="E693" s="405"/>
      <c r="F693" s="405"/>
      <c r="G693" s="633">
        <f t="shared" si="26"/>
        <v>0</v>
      </c>
      <c r="H693" s="935"/>
      <c r="I693" s="1231"/>
    </row>
    <row r="694" spans="1:9" s="79" customFormat="1" ht="18" customHeight="1">
      <c r="A694" s="407"/>
      <c r="B694" s="81" t="s">
        <v>1943</v>
      </c>
      <c r="C694" s="404">
        <v>1</v>
      </c>
      <c r="D694" s="405">
        <f>3.2+0.1+0.1</f>
        <v>3.4000000000000004</v>
      </c>
      <c r="E694" s="405">
        <f>4.6+0.275-0.1</f>
        <v>4.7750000000000004</v>
      </c>
      <c r="F694" s="405">
        <v>7.4999999999999997E-2</v>
      </c>
      <c r="G694" s="633">
        <f t="shared" si="26"/>
        <v>1.22</v>
      </c>
      <c r="H694" s="930" t="s">
        <v>2208</v>
      </c>
      <c r="I694" s="1237"/>
    </row>
    <row r="695" spans="1:9" s="79" customFormat="1" ht="18" customHeight="1">
      <c r="A695" s="407"/>
      <c r="B695" s="81" t="s">
        <v>1944</v>
      </c>
      <c r="C695" s="404">
        <v>1</v>
      </c>
      <c r="D695" s="405">
        <f>3.825+3.2+0.2+0.1</f>
        <v>7.3250000000000002</v>
      </c>
      <c r="E695" s="405">
        <f>3.775+0.1-0.1</f>
        <v>3.7749999999999999</v>
      </c>
      <c r="F695" s="405">
        <v>7.4999999999999997E-2</v>
      </c>
      <c r="G695" s="633">
        <f t="shared" si="26"/>
        <v>2.0699999999999998</v>
      </c>
      <c r="H695" s="930" t="s">
        <v>2208</v>
      </c>
      <c r="I695" s="1237"/>
    </row>
    <row r="696" spans="1:9" s="79" customFormat="1" ht="18" customHeight="1">
      <c r="A696" s="407"/>
      <c r="B696" s="81" t="s">
        <v>1945</v>
      </c>
      <c r="C696" s="404">
        <v>1</v>
      </c>
      <c r="D696" s="405">
        <f>4.6+3.825+3.2+0.275+0.1</f>
        <v>12</v>
      </c>
      <c r="E696" s="405">
        <f>6.45+6.4+6.4+3.25+0.1-0.1</f>
        <v>22.5</v>
      </c>
      <c r="F696" s="405">
        <v>7.4999999999999997E-2</v>
      </c>
      <c r="G696" s="633">
        <f t="shared" si="26"/>
        <v>20.25</v>
      </c>
      <c r="H696" s="930" t="s">
        <v>2208</v>
      </c>
      <c r="I696" s="1237"/>
    </row>
    <row r="697" spans="1:9" s="79" customFormat="1" ht="18" customHeight="1">
      <c r="A697" s="407"/>
      <c r="B697" s="81" t="s">
        <v>1946</v>
      </c>
      <c r="C697" s="404">
        <v>1</v>
      </c>
      <c r="D697" s="405">
        <f>2.298+4.6+3.825+3.2+0.1+0.1</f>
        <v>14.122999999999998</v>
      </c>
      <c r="E697" s="405">
        <f>3.175+4.125+2.725+0.1+0.275</f>
        <v>10.4</v>
      </c>
      <c r="F697" s="405">
        <v>7.4999999999999997E-2</v>
      </c>
      <c r="G697" s="633">
        <f t="shared" si="26"/>
        <v>11.02</v>
      </c>
      <c r="H697" s="930" t="s">
        <v>2208</v>
      </c>
      <c r="I697" s="1237"/>
    </row>
    <row r="698" spans="1:9" s="79" customFormat="1" ht="18" customHeight="1">
      <c r="A698" s="407"/>
      <c r="B698" s="81" t="s">
        <v>1947</v>
      </c>
      <c r="C698" s="404">
        <v>-1</v>
      </c>
      <c r="D698" s="405">
        <f>2.298+3.6-0.13+0.01</f>
        <v>5.7779999999999996</v>
      </c>
      <c r="E698" s="405">
        <f>3.175-0.13-0.115</f>
        <v>2.9299999999999997</v>
      </c>
      <c r="F698" s="405">
        <v>7.4999999999999997E-2</v>
      </c>
      <c r="G698" s="633">
        <f t="shared" si="26"/>
        <v>-1.27</v>
      </c>
      <c r="H698" s="930" t="s">
        <v>2208</v>
      </c>
      <c r="I698" s="1237"/>
    </row>
    <row r="699" spans="1:9" s="79" customFormat="1" ht="18" customHeight="1">
      <c r="A699" s="407"/>
      <c r="B699" s="81" t="s">
        <v>1948</v>
      </c>
      <c r="C699" s="404">
        <v>1</v>
      </c>
      <c r="D699" s="405">
        <f>2.298+4.6+3.825+0.1+0.1</f>
        <v>10.922999999999998</v>
      </c>
      <c r="E699" s="405">
        <f>2.462+0.1-0.275</f>
        <v>2.2870000000000004</v>
      </c>
      <c r="F699" s="405">
        <v>7.4999999999999997E-2</v>
      </c>
      <c r="G699" s="633">
        <f t="shared" si="26"/>
        <v>1.87</v>
      </c>
      <c r="H699" s="930" t="s">
        <v>2208</v>
      </c>
      <c r="I699" s="1237"/>
    </row>
    <row r="700" spans="1:9" s="79" customFormat="1" ht="18" customHeight="1">
      <c r="A700" s="407"/>
      <c r="B700" s="548" t="s">
        <v>1949</v>
      </c>
      <c r="C700" s="404">
        <v>1</v>
      </c>
      <c r="D700" s="405">
        <f>3.2+6.3+3.2+0.1+0.1</f>
        <v>12.899999999999999</v>
      </c>
      <c r="E700" s="405">
        <v>9.3140000000000001</v>
      </c>
      <c r="F700" s="405">
        <v>7.4999999999999997E-2</v>
      </c>
      <c r="G700" s="633">
        <f t="shared" si="26"/>
        <v>9.01</v>
      </c>
      <c r="H700" s="930" t="s">
        <v>2208</v>
      </c>
      <c r="I700" s="1237"/>
    </row>
    <row r="701" spans="1:9" s="79" customFormat="1" ht="18" customHeight="1">
      <c r="A701" s="407"/>
      <c r="B701" s="548" t="s">
        <v>1950</v>
      </c>
      <c r="C701" s="404">
        <v>1</v>
      </c>
      <c r="D701" s="405">
        <f>4.9+0.7+6.45+6.45-0.1</f>
        <v>18.399999999999999</v>
      </c>
      <c r="E701" s="405">
        <f>1.425+3.175+4.125+2.725+0.275+0.275</f>
        <v>12</v>
      </c>
      <c r="F701" s="405">
        <v>7.4999999999999997E-2</v>
      </c>
      <c r="G701" s="633">
        <f t="shared" si="26"/>
        <v>16.559999999999999</v>
      </c>
      <c r="H701" s="930" t="s">
        <v>2208</v>
      </c>
      <c r="I701" s="1237"/>
    </row>
    <row r="702" spans="1:9" s="79" customFormat="1" ht="18" customHeight="1">
      <c r="A702" s="407"/>
      <c r="B702" s="81" t="s">
        <v>1951</v>
      </c>
      <c r="C702" s="404">
        <v>1</v>
      </c>
      <c r="D702" s="405">
        <f>4.9+0.1+0.1</f>
        <v>5.0999999999999996</v>
      </c>
      <c r="E702" s="405">
        <f>1.475+1.825</f>
        <v>3.3</v>
      </c>
      <c r="F702" s="405">
        <v>7.4999999999999997E-2</v>
      </c>
      <c r="G702" s="633">
        <f t="shared" si="26"/>
        <v>1.26</v>
      </c>
      <c r="H702" s="930" t="s">
        <v>2208</v>
      </c>
      <c r="I702" s="1237"/>
    </row>
    <row r="703" spans="1:9" s="79" customFormat="1" ht="18" customHeight="1">
      <c r="A703" s="407"/>
      <c r="B703" s="548" t="s">
        <v>1952</v>
      </c>
      <c r="C703" s="404"/>
      <c r="D703" s="405"/>
      <c r="E703" s="405"/>
      <c r="F703" s="405"/>
      <c r="G703" s="633">
        <f t="shared" si="26"/>
        <v>0</v>
      </c>
      <c r="H703" s="930" t="s">
        <v>2208</v>
      </c>
      <c r="I703" s="1237"/>
    </row>
    <row r="704" spans="1:9" s="79" customFormat="1" ht="18" customHeight="1">
      <c r="A704" s="407"/>
      <c r="B704" s="81" t="s">
        <v>1953</v>
      </c>
      <c r="C704" s="404">
        <v>1</v>
      </c>
      <c r="D704" s="405">
        <f>6.3+0.1+0.1</f>
        <v>6.4999999999999991</v>
      </c>
      <c r="E704" s="405">
        <v>2.4</v>
      </c>
      <c r="F704" s="405">
        <v>7.4999999999999997E-2</v>
      </c>
      <c r="G704" s="633">
        <f t="shared" si="26"/>
        <v>1.17</v>
      </c>
      <c r="H704" s="930" t="s">
        <v>2208</v>
      </c>
      <c r="I704" s="1237"/>
    </row>
    <row r="705" spans="1:9" s="79" customFormat="1" ht="18" customHeight="1">
      <c r="A705" s="407"/>
      <c r="B705" s="81" t="s">
        <v>1954</v>
      </c>
      <c r="C705" s="404">
        <v>1</v>
      </c>
      <c r="D705" s="405">
        <f>6.3+0.1+0.1</f>
        <v>6.4999999999999991</v>
      </c>
      <c r="E705" s="405">
        <v>2.25</v>
      </c>
      <c r="F705" s="405">
        <v>7.4999999999999997E-2</v>
      </c>
      <c r="G705" s="633">
        <f t="shared" ref="G705:G768" si="27">IF(C705&lt;&gt;0,ROUND(PRODUCT(D705:F705)*C705,2),)</f>
        <v>1.1000000000000001</v>
      </c>
      <c r="H705" s="930" t="s">
        <v>2208</v>
      </c>
      <c r="I705" s="1237"/>
    </row>
    <row r="706" spans="1:9" s="79" customFormat="1" ht="18" customHeight="1">
      <c r="A706" s="407"/>
      <c r="B706" s="81" t="s">
        <v>1955</v>
      </c>
      <c r="C706" s="404">
        <v>1</v>
      </c>
      <c r="D706" s="405">
        <f>6.45+6.45</f>
        <v>12.9</v>
      </c>
      <c r="E706" s="405">
        <f>4.6+3.775+3.075+0.275+0.275</f>
        <v>12</v>
      </c>
      <c r="F706" s="405">
        <v>7.4999999999999997E-2</v>
      </c>
      <c r="G706" s="633">
        <f t="shared" si="27"/>
        <v>11.61</v>
      </c>
      <c r="H706" s="930" t="s">
        <v>2208</v>
      </c>
      <c r="I706" s="1237"/>
    </row>
    <row r="707" spans="1:9" s="79" customFormat="1" ht="18" customHeight="1">
      <c r="A707" s="407"/>
      <c r="B707" s="718" t="s">
        <v>938</v>
      </c>
      <c r="C707" s="404"/>
      <c r="D707" s="405"/>
      <c r="E707" s="405"/>
      <c r="F707" s="405"/>
      <c r="G707" s="633">
        <f t="shared" si="27"/>
        <v>0</v>
      </c>
      <c r="H707" s="930" t="s">
        <v>2208</v>
      </c>
      <c r="I707" s="1237"/>
    </row>
    <row r="708" spans="1:9" s="79" customFormat="1" ht="18" customHeight="1">
      <c r="A708" s="407"/>
      <c r="B708" s="548" t="s">
        <v>1942</v>
      </c>
      <c r="C708" s="404"/>
      <c r="D708" s="405"/>
      <c r="E708" s="405"/>
      <c r="F708" s="405"/>
      <c r="G708" s="633">
        <f t="shared" si="27"/>
        <v>0</v>
      </c>
      <c r="H708" s="930" t="s">
        <v>2208</v>
      </c>
      <c r="I708" s="1237"/>
    </row>
    <row r="709" spans="1:9" s="79" customFormat="1" ht="18" customHeight="1">
      <c r="A709" s="407"/>
      <c r="B709" s="81" t="s">
        <v>1943</v>
      </c>
      <c r="C709" s="404">
        <v>1</v>
      </c>
      <c r="D709" s="405">
        <f>3.2+0.1+0.1</f>
        <v>3.4000000000000004</v>
      </c>
      <c r="E709" s="405">
        <f>4.6+0.275-0.1</f>
        <v>4.7750000000000004</v>
      </c>
      <c r="F709" s="405">
        <v>7.4999999999999997E-2</v>
      </c>
      <c r="G709" s="633">
        <f t="shared" si="27"/>
        <v>1.22</v>
      </c>
      <c r="H709" s="930" t="s">
        <v>2208</v>
      </c>
      <c r="I709" s="1237"/>
    </row>
    <row r="710" spans="1:9" s="79" customFormat="1" ht="18" customHeight="1">
      <c r="A710" s="407"/>
      <c r="B710" s="81" t="s">
        <v>1944</v>
      </c>
      <c r="C710" s="404">
        <v>1</v>
      </c>
      <c r="D710" s="405">
        <f>3.825+3.2+0.2+0.1</f>
        <v>7.3250000000000002</v>
      </c>
      <c r="E710" s="405">
        <f>3.775+0.1-0.1</f>
        <v>3.7749999999999999</v>
      </c>
      <c r="F710" s="405">
        <v>7.4999999999999997E-2</v>
      </c>
      <c r="G710" s="633">
        <f t="shared" si="27"/>
        <v>2.0699999999999998</v>
      </c>
      <c r="H710" s="930" t="s">
        <v>2208</v>
      </c>
      <c r="I710" s="1237"/>
    </row>
    <row r="711" spans="1:9" s="79" customFormat="1" ht="18" customHeight="1">
      <c r="A711" s="407"/>
      <c r="B711" s="81" t="s">
        <v>1945</v>
      </c>
      <c r="C711" s="404">
        <v>1</v>
      </c>
      <c r="D711" s="405">
        <f>4.6+3.825+3.2+0.275+0.1</f>
        <v>12</v>
      </c>
      <c r="E711" s="405">
        <f>6.45+6.4+6.4+3.25+0.1-0.1</f>
        <v>22.5</v>
      </c>
      <c r="F711" s="405">
        <v>7.4999999999999997E-2</v>
      </c>
      <c r="G711" s="633">
        <f t="shared" si="27"/>
        <v>20.25</v>
      </c>
      <c r="H711" s="930" t="s">
        <v>2208</v>
      </c>
      <c r="I711" s="1237"/>
    </row>
    <row r="712" spans="1:9" s="79" customFormat="1" ht="18" customHeight="1">
      <c r="A712" s="407"/>
      <c r="B712" s="81" t="s">
        <v>1946</v>
      </c>
      <c r="C712" s="404">
        <v>1</v>
      </c>
      <c r="D712" s="405">
        <f>2.298+4.6+3.825+3.2+0.1+0.1</f>
        <v>14.122999999999998</v>
      </c>
      <c r="E712" s="405">
        <f>3.175+4.125+2.725+0.1+0.275</f>
        <v>10.4</v>
      </c>
      <c r="F712" s="405">
        <v>7.4999999999999997E-2</v>
      </c>
      <c r="G712" s="633">
        <f t="shared" si="27"/>
        <v>11.02</v>
      </c>
      <c r="H712" s="930" t="s">
        <v>2208</v>
      </c>
      <c r="I712" s="1237"/>
    </row>
    <row r="713" spans="1:9" s="79" customFormat="1" ht="18" customHeight="1">
      <c r="A713" s="407"/>
      <c r="B713" s="81" t="s">
        <v>1947</v>
      </c>
      <c r="C713" s="404">
        <v>-1</v>
      </c>
      <c r="D713" s="405">
        <f>2.298+3.6-0.13+0.01</f>
        <v>5.7779999999999996</v>
      </c>
      <c r="E713" s="405">
        <f>3.175-0.13-0.115</f>
        <v>2.9299999999999997</v>
      </c>
      <c r="F713" s="405">
        <v>7.4999999999999997E-2</v>
      </c>
      <c r="G713" s="633">
        <f t="shared" si="27"/>
        <v>-1.27</v>
      </c>
      <c r="H713" s="930" t="s">
        <v>2208</v>
      </c>
      <c r="I713" s="1237"/>
    </row>
    <row r="714" spans="1:9" s="79" customFormat="1" ht="18" customHeight="1">
      <c r="A714" s="407"/>
      <c r="B714" s="81" t="s">
        <v>1948</v>
      </c>
      <c r="C714" s="404">
        <v>1</v>
      </c>
      <c r="D714" s="405">
        <f>2.298+4.6+3.825+0.1+0.1</f>
        <v>10.922999999999998</v>
      </c>
      <c r="E714" s="405">
        <f>2.462+0.1-0.275</f>
        <v>2.2870000000000004</v>
      </c>
      <c r="F714" s="405">
        <v>7.4999999999999997E-2</v>
      </c>
      <c r="G714" s="633">
        <f t="shared" si="27"/>
        <v>1.87</v>
      </c>
      <c r="H714" s="930" t="s">
        <v>2208</v>
      </c>
      <c r="I714" s="1237"/>
    </row>
    <row r="715" spans="1:9" s="79" customFormat="1" ht="18" customHeight="1">
      <c r="A715" s="407"/>
      <c r="B715" s="548" t="s">
        <v>1950</v>
      </c>
      <c r="C715" s="404">
        <v>1</v>
      </c>
      <c r="D715" s="405">
        <f>4.9+0.7+6.45+6.45-0.1</f>
        <v>18.399999999999999</v>
      </c>
      <c r="E715" s="405">
        <f>1.425+3.175+4.125+2.725+0.275+0.275</f>
        <v>12</v>
      </c>
      <c r="F715" s="405">
        <v>7.4999999999999997E-2</v>
      </c>
      <c r="G715" s="633">
        <f t="shared" si="27"/>
        <v>16.559999999999999</v>
      </c>
      <c r="H715" s="930" t="s">
        <v>2208</v>
      </c>
      <c r="I715" s="1237"/>
    </row>
    <row r="716" spans="1:9" s="79" customFormat="1" ht="18" customHeight="1">
      <c r="A716" s="407"/>
      <c r="B716" s="548" t="s">
        <v>1952</v>
      </c>
      <c r="C716" s="404"/>
      <c r="D716" s="405"/>
      <c r="E716" s="405"/>
      <c r="F716" s="405"/>
      <c r="G716" s="633">
        <f t="shared" si="27"/>
        <v>0</v>
      </c>
      <c r="H716" s="930" t="s">
        <v>2208</v>
      </c>
      <c r="I716" s="1237"/>
    </row>
    <row r="717" spans="1:9" s="79" customFormat="1" ht="18" customHeight="1">
      <c r="A717" s="407"/>
      <c r="B717" s="81" t="s">
        <v>1956</v>
      </c>
      <c r="C717" s="404">
        <v>1</v>
      </c>
      <c r="D717" s="405">
        <f>6.3+0.1+0.1</f>
        <v>6.4999999999999991</v>
      </c>
      <c r="E717" s="405">
        <f>2.025+4.6+2.25+0.275</f>
        <v>9.15</v>
      </c>
      <c r="F717" s="405">
        <v>7.4999999999999997E-2</v>
      </c>
      <c r="G717" s="633">
        <f t="shared" si="27"/>
        <v>4.46</v>
      </c>
      <c r="H717" s="930" t="s">
        <v>2208</v>
      </c>
      <c r="I717" s="1237"/>
    </row>
    <row r="718" spans="1:9" s="79" customFormat="1" ht="18" customHeight="1">
      <c r="A718" s="407"/>
      <c r="B718" s="81" t="s">
        <v>1955</v>
      </c>
      <c r="C718" s="404">
        <v>1</v>
      </c>
      <c r="D718" s="405">
        <f>6.45+6.45</f>
        <v>12.9</v>
      </c>
      <c r="E718" s="405">
        <f>4.6+3.775+3.075+0.275+0.275</f>
        <v>12</v>
      </c>
      <c r="F718" s="405">
        <v>7.4999999999999997E-2</v>
      </c>
      <c r="G718" s="633">
        <f t="shared" si="27"/>
        <v>11.61</v>
      </c>
      <c r="H718" s="930" t="s">
        <v>2208</v>
      </c>
      <c r="I718" s="1237"/>
    </row>
    <row r="719" spans="1:9" s="79" customFormat="1" ht="18" customHeight="1">
      <c r="A719" s="407"/>
      <c r="B719" s="718" t="s">
        <v>1957</v>
      </c>
      <c r="C719" s="404"/>
      <c r="D719" s="405"/>
      <c r="E719" s="405"/>
      <c r="F719" s="405"/>
      <c r="G719" s="633">
        <f t="shared" si="27"/>
        <v>0</v>
      </c>
      <c r="H719" s="930" t="s">
        <v>2208</v>
      </c>
      <c r="I719" s="1237"/>
    </row>
    <row r="720" spans="1:9" s="79" customFormat="1" ht="18" customHeight="1">
      <c r="A720" s="407"/>
      <c r="B720" s="548" t="s">
        <v>1047</v>
      </c>
      <c r="C720" s="404"/>
      <c r="D720" s="405"/>
      <c r="E720" s="405"/>
      <c r="F720" s="405"/>
      <c r="G720" s="633">
        <f t="shared" si="27"/>
        <v>0</v>
      </c>
      <c r="H720" s="930" t="s">
        <v>2208</v>
      </c>
      <c r="I720" s="1237"/>
    </row>
    <row r="721" spans="1:10" s="79" customFormat="1" ht="18" customHeight="1">
      <c r="A721" s="407"/>
      <c r="B721" s="81" t="s">
        <v>1958</v>
      </c>
      <c r="C721" s="404">
        <v>2</v>
      </c>
      <c r="D721" s="405">
        <f>2.298+3.6+1+2.25+1.575+0.1+0.1</f>
        <v>10.922999999999998</v>
      </c>
      <c r="E721" s="405">
        <f>2.25+1.875+2.725+2.462+0.1+0.1</f>
        <v>9.5119999999999987</v>
      </c>
      <c r="F721" s="405">
        <v>0.2</v>
      </c>
      <c r="G721" s="633">
        <f t="shared" si="27"/>
        <v>41.56</v>
      </c>
      <c r="H721" s="930" t="s">
        <v>2208</v>
      </c>
      <c r="I721" s="1237"/>
    </row>
    <row r="722" spans="1:10" s="79" customFormat="1" ht="18" customHeight="1">
      <c r="A722" s="407"/>
      <c r="B722" s="81" t="s">
        <v>1959</v>
      </c>
      <c r="C722" s="404">
        <v>2</v>
      </c>
      <c r="D722" s="405">
        <v>4.8150000000000004</v>
      </c>
      <c r="E722" s="405">
        <f>1.425+3.175+0.1</f>
        <v>4.6999999999999993</v>
      </c>
      <c r="F722" s="405">
        <v>0.2</v>
      </c>
      <c r="G722" s="633">
        <f t="shared" si="27"/>
        <v>9.0500000000000007</v>
      </c>
      <c r="H722" s="930" t="s">
        <v>2208</v>
      </c>
      <c r="I722" s="1237"/>
    </row>
    <row r="723" spans="1:10" s="79" customFormat="1" ht="18" customHeight="1">
      <c r="A723" s="407"/>
      <c r="B723" s="81" t="s">
        <v>1960</v>
      </c>
      <c r="C723" s="404">
        <v>2</v>
      </c>
      <c r="D723" s="405">
        <f>3.6+1</f>
        <v>4.5999999999999996</v>
      </c>
      <c r="E723" s="405">
        <v>1.425</v>
      </c>
      <c r="F723" s="405">
        <v>0.2</v>
      </c>
      <c r="G723" s="633">
        <f t="shared" si="27"/>
        <v>2.62</v>
      </c>
      <c r="H723" s="930" t="s">
        <v>2208</v>
      </c>
      <c r="I723" s="1237"/>
    </row>
    <row r="724" spans="1:10" s="79" customFormat="1" ht="18" customHeight="1">
      <c r="A724" s="407"/>
      <c r="B724" s="81" t="s">
        <v>1961</v>
      </c>
      <c r="C724" s="404">
        <v>1</v>
      </c>
      <c r="D724" s="405">
        <v>3.0249999999999999</v>
      </c>
      <c r="E724" s="405">
        <f>1.425+3.175+0.1</f>
        <v>4.6999999999999993</v>
      </c>
      <c r="F724" s="405">
        <v>0.2</v>
      </c>
      <c r="G724" s="633">
        <f t="shared" si="27"/>
        <v>2.84</v>
      </c>
      <c r="H724" s="930" t="s">
        <v>2208</v>
      </c>
      <c r="I724" s="1237"/>
    </row>
    <row r="725" spans="1:10" s="79" customFormat="1" ht="18" customHeight="1">
      <c r="A725" s="407"/>
      <c r="B725" s="718" t="s">
        <v>1962</v>
      </c>
      <c r="C725" s="404"/>
      <c r="D725" s="405"/>
      <c r="E725" s="405"/>
      <c r="F725" s="405"/>
      <c r="G725" s="633">
        <f t="shared" si="27"/>
        <v>0</v>
      </c>
      <c r="H725" s="930" t="s">
        <v>2208</v>
      </c>
      <c r="I725" s="1237"/>
    </row>
    <row r="726" spans="1:10" s="79" customFormat="1" ht="18" customHeight="1">
      <c r="A726" s="407"/>
      <c r="B726" s="81" t="s">
        <v>1963</v>
      </c>
      <c r="C726" s="404">
        <v>4</v>
      </c>
      <c r="D726" s="405">
        <f>2.25+1.875+2.725+2.462+0.1</f>
        <v>9.411999999999999</v>
      </c>
      <c r="E726" s="405">
        <v>0.2</v>
      </c>
      <c r="F726" s="405">
        <v>0.2</v>
      </c>
      <c r="G726" s="633">
        <f t="shared" si="27"/>
        <v>1.51</v>
      </c>
      <c r="H726" s="930" t="s">
        <v>2208</v>
      </c>
      <c r="I726" s="1237"/>
    </row>
    <row r="727" spans="1:10" s="79" customFormat="1" ht="18" customHeight="1">
      <c r="A727" s="407"/>
      <c r="B727" s="81" t="s">
        <v>965</v>
      </c>
      <c r="C727" s="404">
        <v>2</v>
      </c>
      <c r="D727" s="405">
        <v>10.593</v>
      </c>
      <c r="E727" s="405">
        <v>0.2</v>
      </c>
      <c r="F727" s="405">
        <v>0.2</v>
      </c>
      <c r="G727" s="633">
        <f t="shared" si="27"/>
        <v>0.85</v>
      </c>
      <c r="H727" s="930" t="s">
        <v>2208</v>
      </c>
      <c r="I727" s="1237"/>
    </row>
    <row r="728" spans="1:10" s="79" customFormat="1" ht="18" customHeight="1">
      <c r="A728" s="407"/>
      <c r="B728" s="81" t="s">
        <v>960</v>
      </c>
      <c r="C728" s="404">
        <v>2</v>
      </c>
      <c r="D728" s="405">
        <f>2.298+3.6+1</f>
        <v>6.8979999999999997</v>
      </c>
      <c r="E728" s="405">
        <v>0.2</v>
      </c>
      <c r="F728" s="405">
        <v>0.2</v>
      </c>
      <c r="G728" s="633">
        <f t="shared" si="27"/>
        <v>0.55000000000000004</v>
      </c>
      <c r="H728" s="930" t="s">
        <v>2208</v>
      </c>
      <c r="I728" s="1237"/>
    </row>
    <row r="729" spans="1:10" s="79" customFormat="1" ht="18" customHeight="1">
      <c r="A729" s="407"/>
      <c r="B729" s="81" t="s">
        <v>1964</v>
      </c>
      <c r="C729" s="404">
        <v>2</v>
      </c>
      <c r="D729" s="405">
        <v>5.5049999999999999</v>
      </c>
      <c r="E729" s="405">
        <v>0.2</v>
      </c>
      <c r="F729" s="405">
        <v>0.2</v>
      </c>
      <c r="G729" s="633">
        <f t="shared" si="27"/>
        <v>0.44</v>
      </c>
      <c r="H729" s="930" t="s">
        <v>2208</v>
      </c>
      <c r="I729" s="1237"/>
    </row>
    <row r="730" spans="1:10" s="79" customFormat="1" ht="18" customHeight="1">
      <c r="A730" s="407"/>
      <c r="B730" s="81" t="s">
        <v>1283</v>
      </c>
      <c r="C730" s="404">
        <v>2</v>
      </c>
      <c r="D730" s="405">
        <f>3.6+1+2.25+1.575+3.025</f>
        <v>11.45</v>
      </c>
      <c r="E730" s="405">
        <v>0.2</v>
      </c>
      <c r="F730" s="405">
        <v>0.2</v>
      </c>
      <c r="G730" s="633">
        <f t="shared" si="27"/>
        <v>0.92</v>
      </c>
      <c r="H730" s="930" t="s">
        <v>2208</v>
      </c>
      <c r="I730" s="1237"/>
    </row>
    <row r="731" spans="1:10" s="79" customFormat="1" ht="18" customHeight="1">
      <c r="A731" s="407"/>
      <c r="B731" s="81"/>
      <c r="C731" s="404"/>
      <c r="D731" s="405"/>
      <c r="E731" s="405"/>
      <c r="F731" s="405"/>
      <c r="G731" s="633">
        <f t="shared" si="27"/>
        <v>0</v>
      </c>
      <c r="H731" s="930" t="s">
        <v>2208</v>
      </c>
      <c r="I731" s="1237"/>
      <c r="J731" s="688"/>
    </row>
    <row r="732" spans="1:10" s="79" customFormat="1" ht="18" customHeight="1">
      <c r="A732" s="407"/>
      <c r="B732" s="718" t="s">
        <v>1965</v>
      </c>
      <c r="C732" s="404"/>
      <c r="D732" s="405"/>
      <c r="E732" s="405"/>
      <c r="F732" s="405"/>
      <c r="G732" s="633">
        <f t="shared" si="27"/>
        <v>0</v>
      </c>
      <c r="H732" s="930" t="s">
        <v>2208</v>
      </c>
      <c r="I732" s="1237"/>
    </row>
    <row r="733" spans="1:10" s="79" customFormat="1" ht="18" customHeight="1">
      <c r="A733" s="407"/>
      <c r="B733" s="81" t="s">
        <v>1966</v>
      </c>
      <c r="C733" s="404">
        <v>2</v>
      </c>
      <c r="D733" s="405">
        <f>2.298+3.6+0.1+0.1</f>
        <v>6.097999999999999</v>
      </c>
      <c r="E733" s="405">
        <f>3.175+0.1+0.1</f>
        <v>3.375</v>
      </c>
      <c r="F733" s="405">
        <v>7.4999999999999997E-2</v>
      </c>
      <c r="G733" s="633">
        <f t="shared" si="27"/>
        <v>3.09</v>
      </c>
      <c r="H733" s="930" t="s">
        <v>2208</v>
      </c>
      <c r="I733" s="1237"/>
    </row>
    <row r="734" spans="1:10" s="79" customFormat="1" ht="18" customHeight="1">
      <c r="A734" s="407"/>
      <c r="B734" s="81" t="s">
        <v>1967</v>
      </c>
      <c r="C734" s="404">
        <v>1</v>
      </c>
      <c r="D734" s="405">
        <f>6.3+0.1+0.1</f>
        <v>6.4999999999999991</v>
      </c>
      <c r="E734" s="405">
        <f>1.525+3.075+1.6+0.1+0.275</f>
        <v>6.5749999999999993</v>
      </c>
      <c r="F734" s="405">
        <v>7.4999999999999997E-2</v>
      </c>
      <c r="G734" s="633">
        <f t="shared" si="27"/>
        <v>3.21</v>
      </c>
      <c r="H734" s="930" t="s">
        <v>2208</v>
      </c>
      <c r="I734" s="1237"/>
    </row>
    <row r="735" spans="1:10" ht="18" customHeight="1">
      <c r="A735" s="354"/>
      <c r="B735" s="81"/>
      <c r="C735" s="70"/>
      <c r="D735" s="68"/>
      <c r="E735" s="68"/>
      <c r="F735" s="68"/>
      <c r="G735" s="633">
        <f t="shared" si="27"/>
        <v>0</v>
      </c>
      <c r="H735" s="929"/>
    </row>
    <row r="736" spans="1:10" ht="18" customHeight="1">
      <c r="A736" s="354" t="s">
        <v>1280</v>
      </c>
      <c r="B736" s="582" t="s">
        <v>2249</v>
      </c>
      <c r="C736" s="70"/>
      <c r="D736" s="68"/>
      <c r="E736" s="68"/>
      <c r="F736" s="68"/>
      <c r="G736" s="633">
        <f t="shared" si="27"/>
        <v>0</v>
      </c>
      <c r="H736" s="929"/>
    </row>
    <row r="737" spans="1:9" ht="18" customHeight="1">
      <c r="A737" s="128"/>
      <c r="B737" s="63" t="s">
        <v>1144</v>
      </c>
      <c r="C737" s="70">
        <v>1</v>
      </c>
      <c r="D737" s="68">
        <f>3.03+3.03+3.03-0.6</f>
        <v>8.49</v>
      </c>
      <c r="E737" s="68">
        <v>0.2</v>
      </c>
      <c r="F737" s="68">
        <v>0.15</v>
      </c>
      <c r="G737" s="633">
        <f t="shared" si="27"/>
        <v>0.25</v>
      </c>
      <c r="H737" s="929" t="s">
        <v>1280</v>
      </c>
      <c r="I737" s="1133"/>
    </row>
    <row r="738" spans="1:9" ht="18" customHeight="1">
      <c r="A738" s="128"/>
      <c r="B738" s="63" t="s">
        <v>1287</v>
      </c>
      <c r="C738" s="70">
        <v>1</v>
      </c>
      <c r="D738" s="68">
        <f>3.03+3.03+3.03-0.6</f>
        <v>8.49</v>
      </c>
      <c r="E738" s="68">
        <v>0.2</v>
      </c>
      <c r="F738" s="68">
        <v>0.15</v>
      </c>
      <c r="G738" s="633">
        <f t="shared" si="27"/>
        <v>0.25</v>
      </c>
      <c r="H738" s="929" t="s">
        <v>1280</v>
      </c>
      <c r="I738" s="1133"/>
    </row>
    <row r="739" spans="1:9" ht="18" customHeight="1">
      <c r="A739" s="128"/>
      <c r="B739" s="63" t="s">
        <v>1096</v>
      </c>
      <c r="C739" s="70">
        <v>1</v>
      </c>
      <c r="D739" s="68">
        <v>12.49</v>
      </c>
      <c r="E739" s="68">
        <v>0.2</v>
      </c>
      <c r="F739" s="68">
        <v>0.15</v>
      </c>
      <c r="G739" s="633">
        <f t="shared" si="27"/>
        <v>0.37</v>
      </c>
      <c r="H739" s="929" t="s">
        <v>1280</v>
      </c>
      <c r="I739" s="1133"/>
    </row>
    <row r="740" spans="1:9" ht="18" customHeight="1">
      <c r="A740" s="128"/>
      <c r="B740" s="63" t="s">
        <v>1071</v>
      </c>
      <c r="C740" s="70">
        <v>1</v>
      </c>
      <c r="D740" s="68">
        <f>4.9-0.2</f>
        <v>4.7</v>
      </c>
      <c r="E740" s="68">
        <v>0.2</v>
      </c>
      <c r="F740" s="68">
        <v>0.15</v>
      </c>
      <c r="G740" s="633">
        <f t="shared" si="27"/>
        <v>0.14000000000000001</v>
      </c>
      <c r="H740" s="929" t="s">
        <v>1280</v>
      </c>
      <c r="I740" s="1133"/>
    </row>
    <row r="741" spans="1:9" ht="18" customHeight="1">
      <c r="A741" s="128"/>
      <c r="B741" s="63" t="s">
        <v>1285</v>
      </c>
      <c r="C741" s="70">
        <v>1</v>
      </c>
      <c r="D741" s="68">
        <f>6.3-0.2</f>
        <v>6.1</v>
      </c>
      <c r="E741" s="68">
        <v>0.2</v>
      </c>
      <c r="F741" s="68">
        <v>0.15</v>
      </c>
      <c r="G741" s="633">
        <f t="shared" si="27"/>
        <v>0.18</v>
      </c>
      <c r="H741" s="929" t="s">
        <v>1280</v>
      </c>
      <c r="I741" s="1133"/>
    </row>
    <row r="742" spans="1:9" ht="18" customHeight="1">
      <c r="A742" s="128"/>
      <c r="B742" s="63" t="s">
        <v>1284</v>
      </c>
      <c r="C742" s="70">
        <v>1</v>
      </c>
      <c r="D742" s="68">
        <f>6.3-0.2</f>
        <v>6.1</v>
      </c>
      <c r="E742" s="68">
        <v>0.2</v>
      </c>
      <c r="F742" s="68">
        <v>0.15</v>
      </c>
      <c r="G742" s="633">
        <f t="shared" si="27"/>
        <v>0.18</v>
      </c>
      <c r="H742" s="929" t="s">
        <v>1280</v>
      </c>
      <c r="I742" s="1133"/>
    </row>
    <row r="743" spans="1:9" ht="18" customHeight="1">
      <c r="A743" s="128"/>
      <c r="B743" s="63" t="s">
        <v>1073</v>
      </c>
      <c r="C743" s="70">
        <v>1</v>
      </c>
      <c r="D743" s="68">
        <v>3.3</v>
      </c>
      <c r="E743" s="68">
        <v>0.2</v>
      </c>
      <c r="F743" s="68">
        <v>0.15</v>
      </c>
      <c r="G743" s="633">
        <f t="shared" si="27"/>
        <v>0.1</v>
      </c>
      <c r="H743" s="929" t="s">
        <v>1280</v>
      </c>
      <c r="I743" s="1133"/>
    </row>
    <row r="744" spans="1:9" ht="18" customHeight="1">
      <c r="A744" s="128"/>
      <c r="B744" s="64" t="s">
        <v>1289</v>
      </c>
      <c r="C744" s="70"/>
      <c r="D744" s="68"/>
      <c r="E744" s="68"/>
      <c r="F744" s="68"/>
      <c r="G744" s="633">
        <f t="shared" si="27"/>
        <v>0</v>
      </c>
      <c r="H744" s="929" t="s">
        <v>1280</v>
      </c>
      <c r="I744" s="1133"/>
    </row>
    <row r="745" spans="1:9" ht="18" customHeight="1">
      <c r="A745" s="128"/>
      <c r="B745" s="63" t="s">
        <v>967</v>
      </c>
      <c r="C745" s="70">
        <v>2</v>
      </c>
      <c r="D745" s="68">
        <v>9.5280000000000005</v>
      </c>
      <c r="E745" s="68">
        <v>0.2</v>
      </c>
      <c r="F745" s="68">
        <v>0.15</v>
      </c>
      <c r="G745" s="633">
        <f t="shared" si="27"/>
        <v>0.56999999999999995</v>
      </c>
      <c r="H745" s="929" t="s">
        <v>1280</v>
      </c>
      <c r="I745" s="1133"/>
    </row>
    <row r="746" spans="1:9" ht="18" customHeight="1">
      <c r="A746" s="128"/>
      <c r="B746" s="63" t="s">
        <v>1108</v>
      </c>
      <c r="C746" s="70">
        <v>2</v>
      </c>
      <c r="D746" s="68">
        <v>9.5280000000000005</v>
      </c>
      <c r="E746" s="68">
        <v>0.2</v>
      </c>
      <c r="F746" s="68">
        <v>0.15</v>
      </c>
      <c r="G746" s="633">
        <f t="shared" si="27"/>
        <v>0.56999999999999995</v>
      </c>
      <c r="H746" s="929" t="s">
        <v>1280</v>
      </c>
      <c r="I746" s="1133"/>
    </row>
    <row r="747" spans="1:9" ht="18" customHeight="1">
      <c r="A747" s="128"/>
      <c r="B747" s="63" t="s">
        <v>965</v>
      </c>
      <c r="C747" s="70">
        <v>2</v>
      </c>
      <c r="D747" s="68">
        <f>3.575+3.575+3.575-0.6</f>
        <v>10.125000000000002</v>
      </c>
      <c r="E747" s="68">
        <v>0.2</v>
      </c>
      <c r="F747" s="68">
        <v>0.15</v>
      </c>
      <c r="G747" s="633">
        <f t="shared" si="27"/>
        <v>0.61</v>
      </c>
      <c r="H747" s="929" t="s">
        <v>1280</v>
      </c>
      <c r="I747" s="1133"/>
    </row>
    <row r="748" spans="1:9" ht="18" customHeight="1">
      <c r="A748" s="128"/>
      <c r="B748" s="63" t="s">
        <v>1283</v>
      </c>
      <c r="C748" s="70">
        <v>2</v>
      </c>
      <c r="D748" s="68">
        <f>3.745+3.745+3.745-0.6</f>
        <v>10.635</v>
      </c>
      <c r="E748" s="68">
        <v>0.2</v>
      </c>
      <c r="F748" s="68">
        <v>0.15</v>
      </c>
      <c r="G748" s="633">
        <f t="shared" si="27"/>
        <v>0.64</v>
      </c>
      <c r="H748" s="929" t="s">
        <v>1280</v>
      </c>
      <c r="I748" s="1133"/>
    </row>
    <row r="749" spans="1:9" ht="18" customHeight="1">
      <c r="A749" s="128"/>
      <c r="B749" s="63" t="s">
        <v>1290</v>
      </c>
      <c r="C749" s="70">
        <v>2</v>
      </c>
      <c r="D749" s="68">
        <f>5.25-0.2</f>
        <v>5.05</v>
      </c>
      <c r="E749" s="68">
        <v>0.2</v>
      </c>
      <c r="F749" s="68">
        <v>0.15</v>
      </c>
      <c r="G749" s="633">
        <f t="shared" si="27"/>
        <v>0.3</v>
      </c>
      <c r="H749" s="929" t="s">
        <v>1280</v>
      </c>
      <c r="I749" s="1133"/>
    </row>
    <row r="750" spans="1:9" ht="18" customHeight="1">
      <c r="A750" s="128"/>
      <c r="B750" s="63"/>
      <c r="C750" s="70"/>
      <c r="D750" s="68"/>
      <c r="E750" s="68"/>
      <c r="F750" s="68"/>
      <c r="G750" s="633">
        <f t="shared" si="27"/>
        <v>0</v>
      </c>
      <c r="H750" s="929" t="s">
        <v>1280</v>
      </c>
      <c r="I750" s="1133"/>
    </row>
    <row r="751" spans="1:9" ht="18" customHeight="1">
      <c r="A751" s="128"/>
      <c r="B751" s="582" t="s">
        <v>2051</v>
      </c>
      <c r="C751" s="70"/>
      <c r="D751" s="68"/>
      <c r="E751" s="68"/>
      <c r="F751" s="68"/>
      <c r="G751" s="633">
        <f t="shared" si="27"/>
        <v>0</v>
      </c>
      <c r="H751" s="929" t="s">
        <v>1280</v>
      </c>
      <c r="I751" s="1133"/>
    </row>
    <row r="752" spans="1:9" ht="18" customHeight="1">
      <c r="A752" s="128"/>
      <c r="B752" s="64" t="s">
        <v>1145</v>
      </c>
      <c r="C752" s="70"/>
      <c r="D752" s="68"/>
      <c r="E752" s="68"/>
      <c r="F752" s="68"/>
      <c r="G752" s="633">
        <f t="shared" si="27"/>
        <v>0</v>
      </c>
      <c r="H752" s="929" t="s">
        <v>1280</v>
      </c>
      <c r="I752" s="1133"/>
    </row>
    <row r="753" spans="1:9" ht="18" customHeight="1">
      <c r="A753" s="128"/>
      <c r="B753" s="63" t="s">
        <v>942</v>
      </c>
      <c r="C753" s="70">
        <v>1</v>
      </c>
      <c r="D753" s="68">
        <f>6.45+6.4+6.4+3.25-1.15-1.15</f>
        <v>20.200000000000003</v>
      </c>
      <c r="E753" s="68">
        <v>0.6</v>
      </c>
      <c r="F753" s="638">
        <f t="shared" ref="F753:F764" si="28">+(0.075+0.05)/2</f>
        <v>6.25E-2</v>
      </c>
      <c r="G753" s="633">
        <f t="shared" si="27"/>
        <v>0.76</v>
      </c>
      <c r="H753" s="929" t="s">
        <v>1280</v>
      </c>
      <c r="I753" s="1133"/>
    </row>
    <row r="754" spans="1:9" ht="18" customHeight="1">
      <c r="A754" s="128"/>
      <c r="B754" s="63" t="s">
        <v>1086</v>
      </c>
      <c r="C754" s="70">
        <v>1</v>
      </c>
      <c r="D754" s="68">
        <f>6.45+6.4+6.4+3.25-1.15-1.15</f>
        <v>20.200000000000003</v>
      </c>
      <c r="E754" s="68">
        <v>0.6</v>
      </c>
      <c r="F754" s="638">
        <f t="shared" si="28"/>
        <v>6.25E-2</v>
      </c>
      <c r="G754" s="633">
        <f t="shared" si="27"/>
        <v>0.76</v>
      </c>
      <c r="H754" s="929" t="s">
        <v>1280</v>
      </c>
      <c r="I754" s="1133"/>
    </row>
    <row r="755" spans="1:9" ht="18" customHeight="1">
      <c r="A755" s="128"/>
      <c r="B755" s="63" t="s">
        <v>1291</v>
      </c>
      <c r="C755" s="70">
        <v>2</v>
      </c>
      <c r="D755" s="68">
        <f>2.2+2</f>
        <v>4.2</v>
      </c>
      <c r="E755" s="68">
        <v>0.6</v>
      </c>
      <c r="F755" s="638">
        <f t="shared" si="28"/>
        <v>6.25E-2</v>
      </c>
      <c r="G755" s="633">
        <f t="shared" si="27"/>
        <v>0.32</v>
      </c>
      <c r="H755" s="929" t="s">
        <v>1280</v>
      </c>
      <c r="I755" s="1133"/>
    </row>
    <row r="756" spans="1:9" ht="18" customHeight="1">
      <c r="A756" s="128"/>
      <c r="B756" s="63" t="s">
        <v>1292</v>
      </c>
      <c r="C756" s="70">
        <v>2</v>
      </c>
      <c r="D756" s="68">
        <f>2.2+2</f>
        <v>4.2</v>
      </c>
      <c r="E756" s="68">
        <v>0.6</v>
      </c>
      <c r="F756" s="638">
        <f t="shared" si="28"/>
        <v>6.25E-2</v>
      </c>
      <c r="G756" s="633">
        <f t="shared" si="27"/>
        <v>0.32</v>
      </c>
      <c r="H756" s="929" t="s">
        <v>1280</v>
      </c>
      <c r="I756" s="1133"/>
    </row>
    <row r="757" spans="1:9" ht="18" customHeight="1">
      <c r="A757" s="128"/>
      <c r="B757" s="63" t="s">
        <v>1293</v>
      </c>
      <c r="C757" s="70">
        <v>1</v>
      </c>
      <c r="D757" s="68">
        <f>6.45+6.45-0.915-0.915</f>
        <v>11.07</v>
      </c>
      <c r="E757" s="68">
        <v>0.6</v>
      </c>
      <c r="F757" s="638">
        <f t="shared" si="28"/>
        <v>6.25E-2</v>
      </c>
      <c r="G757" s="633">
        <f t="shared" si="27"/>
        <v>0.42</v>
      </c>
      <c r="H757" s="929" t="s">
        <v>1280</v>
      </c>
      <c r="I757" s="1133"/>
    </row>
    <row r="758" spans="1:9" ht="18" customHeight="1">
      <c r="A758" s="128"/>
      <c r="B758" s="63" t="s">
        <v>1294</v>
      </c>
      <c r="C758" s="70">
        <v>1</v>
      </c>
      <c r="D758" s="68">
        <f>6.45+6.45-0.915-0.915</f>
        <v>11.07</v>
      </c>
      <c r="E758" s="68">
        <v>0.6</v>
      </c>
      <c r="F758" s="638">
        <f t="shared" si="28"/>
        <v>6.25E-2</v>
      </c>
      <c r="G758" s="633">
        <f t="shared" si="27"/>
        <v>0.42</v>
      </c>
      <c r="H758" s="929" t="s">
        <v>1280</v>
      </c>
      <c r="I758" s="1133"/>
    </row>
    <row r="759" spans="1:9" ht="18" customHeight="1">
      <c r="A759" s="128"/>
      <c r="B759" s="63" t="s">
        <v>1295</v>
      </c>
      <c r="C759" s="70">
        <v>1</v>
      </c>
      <c r="D759" s="68">
        <f>6.45+6.45+0.7-0.6+1.825+1.475+0.1-1.025-1</f>
        <v>14.375000000000002</v>
      </c>
      <c r="E759" s="68">
        <v>0.6</v>
      </c>
      <c r="F759" s="638">
        <f t="shared" si="28"/>
        <v>6.25E-2</v>
      </c>
      <c r="G759" s="633">
        <f t="shared" si="27"/>
        <v>0.54</v>
      </c>
      <c r="H759" s="929" t="s">
        <v>1280</v>
      </c>
      <c r="I759" s="1133"/>
    </row>
    <row r="760" spans="1:9" ht="18" customHeight="1">
      <c r="A760" s="128"/>
      <c r="B760" s="63" t="s">
        <v>1296</v>
      </c>
      <c r="C760" s="70">
        <v>1</v>
      </c>
      <c r="D760" s="68">
        <f>6.45+6.45+0.7-0.6+1.825+1.475+0.1-1.025-1</f>
        <v>14.375000000000002</v>
      </c>
      <c r="E760" s="68">
        <v>0.6</v>
      </c>
      <c r="F760" s="638">
        <f t="shared" si="28"/>
        <v>6.25E-2</v>
      </c>
      <c r="G760" s="633">
        <f t="shared" si="27"/>
        <v>0.54</v>
      </c>
      <c r="H760" s="929" t="s">
        <v>1280</v>
      </c>
      <c r="I760" s="1133"/>
    </row>
    <row r="761" spans="1:9" ht="18" customHeight="1">
      <c r="A761" s="128"/>
      <c r="B761" s="63" t="s">
        <v>1113</v>
      </c>
      <c r="C761" s="70">
        <v>1</v>
      </c>
      <c r="D761" s="68">
        <f>3.2+6.45+3.25-1.025-1.075</f>
        <v>10.8</v>
      </c>
      <c r="E761" s="68">
        <v>0.6</v>
      </c>
      <c r="F761" s="638">
        <f t="shared" si="28"/>
        <v>6.25E-2</v>
      </c>
      <c r="G761" s="633">
        <f t="shared" si="27"/>
        <v>0.41</v>
      </c>
      <c r="H761" s="929" t="s">
        <v>1280</v>
      </c>
      <c r="I761" s="1133"/>
    </row>
    <row r="762" spans="1:9" ht="18" customHeight="1">
      <c r="A762" s="128"/>
      <c r="B762" s="63" t="s">
        <v>1297</v>
      </c>
      <c r="C762" s="70">
        <v>1</v>
      </c>
      <c r="D762" s="68">
        <f>3.2+6.45+3.25-1.025-1.075</f>
        <v>10.8</v>
      </c>
      <c r="E762" s="68">
        <v>0.6</v>
      </c>
      <c r="F762" s="638">
        <f t="shared" si="28"/>
        <v>6.25E-2</v>
      </c>
      <c r="G762" s="633">
        <f t="shared" si="27"/>
        <v>0.41</v>
      </c>
      <c r="H762" s="929" t="s">
        <v>1280</v>
      </c>
      <c r="I762" s="1133"/>
    </row>
    <row r="763" spans="1:9" ht="18" customHeight="1">
      <c r="A763" s="128"/>
      <c r="B763" s="63" t="s">
        <v>1111</v>
      </c>
      <c r="C763" s="70">
        <v>1</v>
      </c>
      <c r="D763" s="68">
        <f>3.2+6.45+6.45-1.025-1.05</f>
        <v>14.025</v>
      </c>
      <c r="E763" s="68">
        <v>0.6</v>
      </c>
      <c r="F763" s="638">
        <f t="shared" si="28"/>
        <v>6.25E-2</v>
      </c>
      <c r="G763" s="633">
        <f t="shared" si="27"/>
        <v>0.53</v>
      </c>
      <c r="H763" s="929" t="s">
        <v>1280</v>
      </c>
      <c r="I763" s="1133"/>
    </row>
    <row r="764" spans="1:9" ht="18" customHeight="1">
      <c r="A764" s="128"/>
      <c r="B764" s="63" t="s">
        <v>1112</v>
      </c>
      <c r="C764" s="70">
        <v>1</v>
      </c>
      <c r="D764" s="68">
        <f>3.2+6.45+6.45-1.025-1.05</f>
        <v>14.025</v>
      </c>
      <c r="E764" s="68">
        <v>0.6</v>
      </c>
      <c r="F764" s="638">
        <f t="shared" si="28"/>
        <v>6.25E-2</v>
      </c>
      <c r="G764" s="633">
        <f t="shared" si="27"/>
        <v>0.53</v>
      </c>
      <c r="H764" s="929" t="s">
        <v>1280</v>
      </c>
      <c r="I764" s="1133"/>
    </row>
    <row r="765" spans="1:9" ht="18" customHeight="1">
      <c r="A765" s="128"/>
      <c r="B765" s="582" t="s">
        <v>2046</v>
      </c>
      <c r="C765" s="70"/>
      <c r="D765" s="68"/>
      <c r="E765" s="68"/>
      <c r="F765" s="68"/>
      <c r="G765" s="633">
        <f t="shared" si="27"/>
        <v>0</v>
      </c>
      <c r="H765" s="929"/>
    </row>
    <row r="766" spans="1:9" ht="18" customHeight="1">
      <c r="A766" s="354"/>
      <c r="B766" s="64" t="s">
        <v>2047</v>
      </c>
      <c r="C766" s="70"/>
      <c r="D766" s="68"/>
      <c r="E766" s="68"/>
      <c r="F766" s="68"/>
      <c r="G766" s="633">
        <f t="shared" si="27"/>
        <v>0</v>
      </c>
      <c r="H766" s="929"/>
    </row>
    <row r="767" spans="1:9" ht="18" customHeight="1">
      <c r="A767" s="354"/>
      <c r="B767" s="63" t="s">
        <v>967</v>
      </c>
      <c r="C767" s="70">
        <v>6</v>
      </c>
      <c r="D767" s="68">
        <v>0.2</v>
      </c>
      <c r="E767" s="68">
        <v>0.2</v>
      </c>
      <c r="F767" s="68">
        <v>2.1</v>
      </c>
      <c r="G767" s="633">
        <f t="shared" si="27"/>
        <v>0.5</v>
      </c>
      <c r="H767" s="929" t="s">
        <v>1280</v>
      </c>
    </row>
    <row r="768" spans="1:9" ht="18" customHeight="1">
      <c r="A768" s="354"/>
      <c r="B768" s="63" t="s">
        <v>965</v>
      </c>
      <c r="C768" s="70">
        <v>6</v>
      </c>
      <c r="D768" s="68">
        <v>0.2</v>
      </c>
      <c r="E768" s="68">
        <v>0.2</v>
      </c>
      <c r="F768" s="68">
        <v>2.1</v>
      </c>
      <c r="G768" s="633">
        <f t="shared" si="27"/>
        <v>0.5</v>
      </c>
      <c r="H768" s="929" t="s">
        <v>1280</v>
      </c>
    </row>
    <row r="769" spans="1:8" ht="18" customHeight="1">
      <c r="A769" s="354"/>
      <c r="B769" s="63" t="s">
        <v>2048</v>
      </c>
      <c r="C769" s="70">
        <v>6</v>
      </c>
      <c r="D769" s="68">
        <v>0.2</v>
      </c>
      <c r="E769" s="68">
        <v>0.2</v>
      </c>
      <c r="F769" s="68">
        <v>2.1</v>
      </c>
      <c r="G769" s="633">
        <f t="shared" ref="G769:G804" si="29">IF(C769&lt;&gt;0,ROUND(PRODUCT(D769:F769)*C769,2),)</f>
        <v>0.5</v>
      </c>
      <c r="H769" s="929" t="s">
        <v>1280</v>
      </c>
    </row>
    <row r="770" spans="1:8" ht="18" customHeight="1">
      <c r="A770" s="354"/>
      <c r="B770" s="63" t="s">
        <v>1283</v>
      </c>
      <c r="C770" s="70">
        <v>8</v>
      </c>
      <c r="D770" s="68">
        <v>0.2</v>
      </c>
      <c r="E770" s="68">
        <v>0.2</v>
      </c>
      <c r="F770" s="68">
        <v>2.1</v>
      </c>
      <c r="G770" s="633">
        <f t="shared" si="29"/>
        <v>0.67</v>
      </c>
      <c r="H770" s="929" t="s">
        <v>1280</v>
      </c>
    </row>
    <row r="771" spans="1:8" ht="18" customHeight="1">
      <c r="A771" s="354"/>
      <c r="B771" s="63" t="s">
        <v>2049</v>
      </c>
      <c r="C771" s="70">
        <v>2</v>
      </c>
      <c r="D771" s="68">
        <v>0.2</v>
      </c>
      <c r="E771" s="68">
        <v>0.2</v>
      </c>
      <c r="F771" s="68">
        <v>2.1</v>
      </c>
      <c r="G771" s="633">
        <f t="shared" si="29"/>
        <v>0.17</v>
      </c>
      <c r="H771" s="929" t="s">
        <v>1280</v>
      </c>
    </row>
    <row r="772" spans="1:8" ht="18" customHeight="1">
      <c r="A772" s="354"/>
      <c r="B772" s="63" t="s">
        <v>1284</v>
      </c>
      <c r="C772" s="70">
        <v>2</v>
      </c>
      <c r="D772" s="68">
        <v>0.2</v>
      </c>
      <c r="E772" s="68">
        <v>0.2</v>
      </c>
      <c r="F772" s="68">
        <v>1.25</v>
      </c>
      <c r="G772" s="633">
        <f t="shared" si="29"/>
        <v>0.1</v>
      </c>
      <c r="H772" s="929" t="s">
        <v>1280</v>
      </c>
    </row>
    <row r="773" spans="1:8" ht="18" customHeight="1">
      <c r="A773" s="354"/>
      <c r="B773" s="63" t="s">
        <v>2050</v>
      </c>
      <c r="C773" s="70">
        <v>2</v>
      </c>
      <c r="D773" s="68">
        <v>0.2</v>
      </c>
      <c r="E773" s="68">
        <v>0.2</v>
      </c>
      <c r="F773" s="68">
        <v>1.25</v>
      </c>
      <c r="G773" s="633">
        <f t="shared" si="29"/>
        <v>0.1</v>
      </c>
      <c r="H773" s="929" t="s">
        <v>1280</v>
      </c>
    </row>
    <row r="774" spans="1:8" ht="18" customHeight="1">
      <c r="A774" s="354"/>
      <c r="B774" s="63" t="s">
        <v>1285</v>
      </c>
      <c r="C774" s="70">
        <v>2</v>
      </c>
      <c r="D774" s="68">
        <v>0.2</v>
      </c>
      <c r="E774" s="68">
        <v>0.2</v>
      </c>
      <c r="F774" s="68">
        <v>1.25</v>
      </c>
      <c r="G774" s="633">
        <f t="shared" si="29"/>
        <v>0.1</v>
      </c>
      <c r="H774" s="929" t="s">
        <v>1280</v>
      </c>
    </row>
    <row r="775" spans="1:8" ht="18" customHeight="1">
      <c r="A775" s="354"/>
      <c r="B775" s="63" t="s">
        <v>1071</v>
      </c>
      <c r="C775" s="70">
        <v>2</v>
      </c>
      <c r="D775" s="68">
        <v>0.2</v>
      </c>
      <c r="E775" s="68">
        <v>0.2</v>
      </c>
      <c r="F775" s="68">
        <v>1.25</v>
      </c>
      <c r="G775" s="633">
        <f t="shared" si="29"/>
        <v>0.1</v>
      </c>
      <c r="H775" s="929" t="s">
        <v>1280</v>
      </c>
    </row>
    <row r="776" spans="1:8" ht="18" customHeight="1">
      <c r="A776" s="354"/>
      <c r="B776" s="63" t="s">
        <v>1144</v>
      </c>
      <c r="C776" s="70">
        <v>4</v>
      </c>
      <c r="D776" s="68">
        <v>0.2</v>
      </c>
      <c r="E776" s="68">
        <v>0.2</v>
      </c>
      <c r="F776" s="68">
        <v>1.25</v>
      </c>
      <c r="G776" s="633">
        <f t="shared" si="29"/>
        <v>0.2</v>
      </c>
      <c r="H776" s="929" t="s">
        <v>1280</v>
      </c>
    </row>
    <row r="777" spans="1:8" ht="18" customHeight="1">
      <c r="A777" s="354"/>
      <c r="B777" s="63" t="s">
        <v>1096</v>
      </c>
      <c r="C777" s="70">
        <v>3</v>
      </c>
      <c r="D777" s="68">
        <v>0.2</v>
      </c>
      <c r="E777" s="68">
        <v>0.2</v>
      </c>
      <c r="F777" s="68">
        <v>1.25</v>
      </c>
      <c r="G777" s="633">
        <f t="shared" si="29"/>
        <v>0.15</v>
      </c>
      <c r="H777" s="929" t="s">
        <v>1280</v>
      </c>
    </row>
    <row r="778" spans="1:8" ht="18" customHeight="1">
      <c r="A778" s="354"/>
      <c r="B778" s="63" t="s">
        <v>1286</v>
      </c>
      <c r="C778" s="70">
        <v>3</v>
      </c>
      <c r="D778" s="68">
        <v>0.2</v>
      </c>
      <c r="E778" s="68">
        <v>0.2</v>
      </c>
      <c r="F778" s="68">
        <v>1.25</v>
      </c>
      <c r="G778" s="633">
        <f t="shared" si="29"/>
        <v>0.15</v>
      </c>
      <c r="H778" s="929" t="s">
        <v>1280</v>
      </c>
    </row>
    <row r="779" spans="1:8" ht="18" customHeight="1">
      <c r="A779" s="354"/>
      <c r="B779" s="63"/>
      <c r="C779" s="70"/>
      <c r="D779" s="68"/>
      <c r="E779" s="68"/>
      <c r="F779" s="68"/>
      <c r="G779" s="633">
        <f t="shared" si="29"/>
        <v>0</v>
      </c>
      <c r="H779" s="929"/>
    </row>
    <row r="780" spans="1:8" ht="18" customHeight="1">
      <c r="A780" s="354" t="s">
        <v>1306</v>
      </c>
      <c r="B780" s="582" t="s">
        <v>1509</v>
      </c>
      <c r="C780" s="70"/>
      <c r="D780" s="68"/>
      <c r="E780" s="68"/>
      <c r="F780" s="68"/>
      <c r="G780" s="633">
        <f t="shared" si="29"/>
        <v>0</v>
      </c>
      <c r="H780" s="929"/>
    </row>
    <row r="781" spans="1:8" ht="18" customHeight="1">
      <c r="A781" s="354"/>
      <c r="B781" s="63" t="s">
        <v>1510</v>
      </c>
      <c r="C781" s="70">
        <v>6</v>
      </c>
      <c r="D781" s="68">
        <f>1.875+2.25-0.2</f>
        <v>3.9249999999999998</v>
      </c>
      <c r="E781" s="68">
        <v>0.6</v>
      </c>
      <c r="F781" s="68">
        <v>7.4999999999999997E-2</v>
      </c>
      <c r="G781" s="633">
        <f t="shared" si="29"/>
        <v>1.06</v>
      </c>
      <c r="H781" s="929" t="s">
        <v>1306</v>
      </c>
    </row>
    <row r="782" spans="1:8" ht="18" customHeight="1">
      <c r="A782" s="354"/>
      <c r="B782" s="63"/>
      <c r="C782" s="70">
        <v>6</v>
      </c>
      <c r="D782" s="567">
        <v>4.8730000000000002</v>
      </c>
      <c r="E782" s="68">
        <v>0.6</v>
      </c>
      <c r="F782" s="68">
        <v>7.4999999999999997E-2</v>
      </c>
      <c r="G782" s="633">
        <f t="shared" si="29"/>
        <v>1.32</v>
      </c>
      <c r="H782" s="929" t="s">
        <v>1306</v>
      </c>
    </row>
    <row r="783" spans="1:8" ht="18" customHeight="1">
      <c r="A783" s="354"/>
      <c r="B783" s="63" t="s">
        <v>1511</v>
      </c>
      <c r="C783" s="70">
        <v>2</v>
      </c>
      <c r="D783" s="567">
        <v>4.7</v>
      </c>
      <c r="E783" s="68">
        <v>0.6</v>
      </c>
      <c r="F783" s="68">
        <v>7.4999999999999997E-2</v>
      </c>
      <c r="G783" s="633">
        <f t="shared" si="29"/>
        <v>0.42</v>
      </c>
      <c r="H783" s="929" t="s">
        <v>1306</v>
      </c>
    </row>
    <row r="784" spans="1:8" ht="18" customHeight="1">
      <c r="A784" s="354"/>
      <c r="B784" s="63" t="s">
        <v>1512</v>
      </c>
      <c r="C784" s="70">
        <v>1</v>
      </c>
      <c r="D784" s="567">
        <v>9.8879999999999999</v>
      </c>
      <c r="E784" s="68">
        <v>0.6</v>
      </c>
      <c r="F784" s="68">
        <v>7.4999999999999997E-2</v>
      </c>
      <c r="G784" s="633">
        <f t="shared" si="29"/>
        <v>0.44</v>
      </c>
      <c r="H784" s="929" t="s">
        <v>1306</v>
      </c>
    </row>
    <row r="785" spans="1:9" ht="18" customHeight="1">
      <c r="A785" s="354"/>
      <c r="B785" s="63" t="s">
        <v>1513</v>
      </c>
      <c r="C785" s="70">
        <v>1</v>
      </c>
      <c r="D785" s="68">
        <v>1</v>
      </c>
      <c r="E785" s="68">
        <v>0.6</v>
      </c>
      <c r="F785" s="68">
        <v>7.4999999999999997E-2</v>
      </c>
      <c r="G785" s="633">
        <f t="shared" si="29"/>
        <v>0.05</v>
      </c>
      <c r="H785" s="929" t="s">
        <v>1306</v>
      </c>
    </row>
    <row r="786" spans="1:9" ht="18" customHeight="1">
      <c r="A786" s="354" t="s">
        <v>1306</v>
      </c>
      <c r="B786" s="64" t="s">
        <v>1448</v>
      </c>
      <c r="C786" s="70"/>
      <c r="D786" s="68"/>
      <c r="E786" s="68"/>
      <c r="F786" s="68"/>
      <c r="G786" s="633">
        <f t="shared" si="29"/>
        <v>0</v>
      </c>
      <c r="H786" s="929"/>
    </row>
    <row r="787" spans="1:9" ht="18" customHeight="1">
      <c r="A787" s="128"/>
      <c r="B787" s="63" t="s">
        <v>1144</v>
      </c>
      <c r="C787" s="404">
        <v>1</v>
      </c>
      <c r="D787" s="405">
        <v>8.8840000000000003</v>
      </c>
      <c r="E787" s="405">
        <v>0.23</v>
      </c>
      <c r="F787" s="405">
        <v>0.05</v>
      </c>
      <c r="G787" s="633">
        <f t="shared" si="29"/>
        <v>0.1</v>
      </c>
      <c r="H787" s="929" t="s">
        <v>1306</v>
      </c>
      <c r="I787" s="1133"/>
    </row>
    <row r="788" spans="1:9" ht="18" customHeight="1">
      <c r="A788" s="128"/>
      <c r="B788" s="63" t="s">
        <v>1287</v>
      </c>
      <c r="C788" s="404">
        <v>1</v>
      </c>
      <c r="D788" s="405">
        <v>8.8840000000000003</v>
      </c>
      <c r="E788" s="405">
        <v>0.23</v>
      </c>
      <c r="F788" s="405">
        <v>0.05</v>
      </c>
      <c r="G788" s="633">
        <f t="shared" si="29"/>
        <v>0.1</v>
      </c>
      <c r="H788" s="929" t="s">
        <v>1306</v>
      </c>
      <c r="I788" s="1133"/>
    </row>
    <row r="789" spans="1:9" ht="18" customHeight="1">
      <c r="A789" s="128"/>
      <c r="B789" s="63" t="s">
        <v>1096</v>
      </c>
      <c r="C789" s="404">
        <v>1</v>
      </c>
      <c r="D789" s="567">
        <v>12.44</v>
      </c>
      <c r="E789" s="405">
        <v>0.23</v>
      </c>
      <c r="F789" s="405">
        <v>0.05</v>
      </c>
      <c r="G789" s="633">
        <f t="shared" si="29"/>
        <v>0.14000000000000001</v>
      </c>
      <c r="H789" s="929" t="s">
        <v>1306</v>
      </c>
      <c r="I789" s="1133"/>
    </row>
    <row r="790" spans="1:9" ht="18" customHeight="1">
      <c r="A790" s="128"/>
      <c r="B790" s="63" t="s">
        <v>1071</v>
      </c>
      <c r="C790" s="404">
        <v>1</v>
      </c>
      <c r="D790" s="405">
        <f>4.9-0.2</f>
        <v>4.7</v>
      </c>
      <c r="E790" s="405">
        <v>0.23</v>
      </c>
      <c r="F790" s="405">
        <v>0.05</v>
      </c>
      <c r="G790" s="633">
        <f t="shared" si="29"/>
        <v>0.05</v>
      </c>
      <c r="H790" s="929" t="s">
        <v>1306</v>
      </c>
      <c r="I790" s="1133"/>
    </row>
    <row r="791" spans="1:9" ht="18" customHeight="1">
      <c r="A791" s="128"/>
      <c r="B791" s="63" t="s">
        <v>1285</v>
      </c>
      <c r="C791" s="404">
        <v>1</v>
      </c>
      <c r="D791" s="405">
        <f>6.3-0.2</f>
        <v>6.1</v>
      </c>
      <c r="E791" s="405">
        <v>0.23</v>
      </c>
      <c r="F791" s="405">
        <v>0.05</v>
      </c>
      <c r="G791" s="633">
        <f t="shared" si="29"/>
        <v>7.0000000000000007E-2</v>
      </c>
      <c r="H791" s="929" t="s">
        <v>1306</v>
      </c>
      <c r="I791" s="1133"/>
    </row>
    <row r="792" spans="1:9" ht="18" customHeight="1">
      <c r="A792" s="128"/>
      <c r="B792" s="63" t="s">
        <v>1284</v>
      </c>
      <c r="C792" s="404">
        <v>1</v>
      </c>
      <c r="D792" s="405">
        <f>6.3-0.2</f>
        <v>6.1</v>
      </c>
      <c r="E792" s="405">
        <v>0.23</v>
      </c>
      <c r="F792" s="405">
        <v>0.05</v>
      </c>
      <c r="G792" s="633">
        <f t="shared" si="29"/>
        <v>7.0000000000000007E-2</v>
      </c>
      <c r="H792" s="929" t="s">
        <v>1306</v>
      </c>
      <c r="I792" s="1133"/>
    </row>
    <row r="793" spans="1:9" ht="18" customHeight="1">
      <c r="A793" s="128"/>
      <c r="B793" s="63" t="s">
        <v>1073</v>
      </c>
      <c r="C793" s="404">
        <v>1</v>
      </c>
      <c r="D793" s="405">
        <v>3.3</v>
      </c>
      <c r="E793" s="405">
        <v>0.23</v>
      </c>
      <c r="F793" s="405">
        <v>0.05</v>
      </c>
      <c r="G793" s="633">
        <f t="shared" si="29"/>
        <v>0.04</v>
      </c>
      <c r="H793" s="929" t="s">
        <v>1306</v>
      </c>
      <c r="I793" s="1133"/>
    </row>
    <row r="794" spans="1:9" ht="18" customHeight="1">
      <c r="A794" s="128"/>
      <c r="B794" s="64" t="s">
        <v>1289</v>
      </c>
      <c r="C794" s="70"/>
      <c r="D794" s="68"/>
      <c r="E794" s="68"/>
      <c r="F794" s="405"/>
      <c r="G794" s="633">
        <f t="shared" si="29"/>
        <v>0</v>
      </c>
      <c r="H794" s="929"/>
      <c r="I794" s="1133"/>
    </row>
    <row r="795" spans="1:9" ht="18" customHeight="1">
      <c r="A795" s="128"/>
      <c r="B795" s="63" t="s">
        <v>967</v>
      </c>
      <c r="C795" s="404">
        <v>2</v>
      </c>
      <c r="D795" s="405">
        <v>9.5280000000000005</v>
      </c>
      <c r="E795" s="405">
        <v>0.23</v>
      </c>
      <c r="F795" s="405">
        <v>0.05</v>
      </c>
      <c r="G795" s="633">
        <f t="shared" si="29"/>
        <v>0.22</v>
      </c>
      <c r="H795" s="929" t="s">
        <v>1306</v>
      </c>
      <c r="I795" s="1133"/>
    </row>
    <row r="796" spans="1:9" ht="18" customHeight="1">
      <c r="A796" s="128"/>
      <c r="B796" s="63" t="s">
        <v>1108</v>
      </c>
      <c r="C796" s="404">
        <v>2</v>
      </c>
      <c r="D796" s="405">
        <v>9.5280000000000005</v>
      </c>
      <c r="E796" s="405">
        <v>0.23</v>
      </c>
      <c r="F796" s="405">
        <v>0.05</v>
      </c>
      <c r="G796" s="633">
        <f t="shared" si="29"/>
        <v>0.22</v>
      </c>
      <c r="H796" s="929" t="s">
        <v>1306</v>
      </c>
      <c r="I796" s="1133"/>
    </row>
    <row r="797" spans="1:9" ht="18" customHeight="1">
      <c r="A797" s="128"/>
      <c r="B797" s="63" t="s">
        <v>965</v>
      </c>
      <c r="C797" s="404">
        <v>2</v>
      </c>
      <c r="D797" s="405">
        <v>10.523</v>
      </c>
      <c r="E797" s="405">
        <v>0.23</v>
      </c>
      <c r="F797" s="405">
        <v>0.05</v>
      </c>
      <c r="G797" s="633">
        <f t="shared" si="29"/>
        <v>0.24</v>
      </c>
      <c r="H797" s="929" t="s">
        <v>1306</v>
      </c>
      <c r="I797" s="1133"/>
    </row>
    <row r="798" spans="1:9" ht="18" customHeight="1">
      <c r="A798" s="128"/>
      <c r="B798" s="63" t="s">
        <v>1283</v>
      </c>
      <c r="C798" s="404">
        <v>2</v>
      </c>
      <c r="D798" s="405">
        <v>10.635</v>
      </c>
      <c r="E798" s="405">
        <v>0.23</v>
      </c>
      <c r="F798" s="405">
        <v>0.05</v>
      </c>
      <c r="G798" s="633">
        <f t="shared" si="29"/>
        <v>0.24</v>
      </c>
      <c r="H798" s="929" t="s">
        <v>1306</v>
      </c>
      <c r="I798" s="1133"/>
    </row>
    <row r="799" spans="1:9" ht="18" customHeight="1">
      <c r="A799" s="128"/>
      <c r="B799" s="63" t="s">
        <v>1290</v>
      </c>
      <c r="C799" s="404">
        <v>2</v>
      </c>
      <c r="D799" s="405">
        <f>5.25-0.2</f>
        <v>5.05</v>
      </c>
      <c r="E799" s="405">
        <v>0.23</v>
      </c>
      <c r="F799" s="405">
        <v>0.05</v>
      </c>
      <c r="G799" s="633">
        <f t="shared" si="29"/>
        <v>0.12</v>
      </c>
      <c r="H799" s="929" t="s">
        <v>1306</v>
      </c>
      <c r="I799" s="1133"/>
    </row>
    <row r="800" spans="1:9" s="488" customFormat="1" ht="18" customHeight="1">
      <c r="A800" s="487" t="s">
        <v>1442</v>
      </c>
      <c r="B800" s="64" t="s">
        <v>1650</v>
      </c>
      <c r="C800" s="485"/>
      <c r="D800" s="486"/>
      <c r="E800" s="486"/>
      <c r="F800" s="486"/>
      <c r="G800" s="633">
        <f t="shared" si="29"/>
        <v>0</v>
      </c>
      <c r="H800" s="938"/>
      <c r="I800" s="1238"/>
    </row>
    <row r="801" spans="1:10" s="494" customFormat="1" ht="18" customHeight="1">
      <c r="A801" s="493"/>
      <c r="B801" s="63" t="s">
        <v>1649</v>
      </c>
      <c r="C801" s="404">
        <v>2</v>
      </c>
      <c r="D801" s="405">
        <f>6+0.23+0.23</f>
        <v>6.4600000000000009</v>
      </c>
      <c r="E801" s="405">
        <v>0.23</v>
      </c>
      <c r="F801" s="405">
        <v>0.125</v>
      </c>
      <c r="G801" s="633">
        <f t="shared" si="29"/>
        <v>0.37</v>
      </c>
      <c r="H801" s="938" t="s">
        <v>1442</v>
      </c>
      <c r="I801" s="1230"/>
    </row>
    <row r="802" spans="1:10" s="488" customFormat="1" ht="18" customHeight="1">
      <c r="A802" s="490"/>
      <c r="B802" s="356"/>
      <c r="C802" s="573">
        <v>2</v>
      </c>
      <c r="D802" s="574">
        <f>3+0.23+0.23</f>
        <v>3.46</v>
      </c>
      <c r="E802" s="405">
        <v>0.23</v>
      </c>
      <c r="F802" s="405">
        <v>0.125</v>
      </c>
      <c r="G802" s="633">
        <f t="shared" si="29"/>
        <v>0.2</v>
      </c>
      <c r="H802" s="938" t="s">
        <v>1442</v>
      </c>
      <c r="I802" s="1229"/>
    </row>
    <row r="803" spans="1:10" s="488" customFormat="1" ht="18" customHeight="1">
      <c r="A803" s="490"/>
      <c r="B803" s="63" t="s">
        <v>1647</v>
      </c>
      <c r="C803" s="404">
        <v>1</v>
      </c>
      <c r="D803" s="405">
        <v>6.46</v>
      </c>
      <c r="E803" s="405">
        <v>3.46</v>
      </c>
      <c r="F803" s="405">
        <v>0.17499999999999999</v>
      </c>
      <c r="G803" s="633">
        <f t="shared" si="29"/>
        <v>3.91</v>
      </c>
      <c r="H803" s="938" t="s">
        <v>1442</v>
      </c>
      <c r="I803" s="1229"/>
    </row>
    <row r="804" spans="1:10" s="488" customFormat="1" ht="18" customHeight="1">
      <c r="A804" s="490"/>
      <c r="B804" s="64" t="s">
        <v>1651</v>
      </c>
      <c r="C804" s="404">
        <v>1</v>
      </c>
      <c r="D804" s="405">
        <v>2.5</v>
      </c>
      <c r="E804" s="405">
        <v>1.5</v>
      </c>
      <c r="F804" s="405">
        <v>0.1</v>
      </c>
      <c r="G804" s="633">
        <f t="shared" si="29"/>
        <v>0.38</v>
      </c>
      <c r="H804" s="938" t="s">
        <v>1442</v>
      </c>
      <c r="I804" s="1229"/>
    </row>
    <row r="805" spans="1:10" ht="18" customHeight="1">
      <c r="A805" s="843"/>
      <c r="B805" s="874" t="s">
        <v>2188</v>
      </c>
      <c r="C805" s="540"/>
      <c r="D805" s="539"/>
      <c r="E805" s="539"/>
      <c r="F805" s="539"/>
      <c r="G805" s="842">
        <f>SUM(G590:G804)</f>
        <v>664.00000000000011</v>
      </c>
      <c r="H805" s="945" t="s">
        <v>347</v>
      </c>
      <c r="I805" s="1226" t="s">
        <v>397</v>
      </c>
    </row>
    <row r="806" spans="1:10" s="79" customFormat="1" ht="18" customHeight="1">
      <c r="A806" s="934"/>
      <c r="B806" s="566"/>
      <c r="C806" s="565"/>
      <c r="D806" s="254"/>
      <c r="E806" s="254"/>
      <c r="F806" s="254"/>
      <c r="G806" s="715"/>
      <c r="H806" s="935"/>
      <c r="I806" s="1231"/>
    </row>
    <row r="807" spans="1:10" ht="18" customHeight="1">
      <c r="A807" s="380">
        <v>4.4000000000000004</v>
      </c>
      <c r="B807" s="436" t="s">
        <v>332</v>
      </c>
      <c r="C807" s="70"/>
      <c r="D807" s="68"/>
      <c r="E807" s="68"/>
      <c r="F807" s="68"/>
      <c r="G807" s="68"/>
      <c r="H807" s="929"/>
    </row>
    <row r="808" spans="1:10" s="355" customFormat="1" ht="18" customHeight="1">
      <c r="A808" s="354"/>
      <c r="B808" s="64" t="s">
        <v>1667</v>
      </c>
      <c r="C808" s="410"/>
      <c r="D808" s="352"/>
      <c r="E808" s="352"/>
      <c r="F808" s="352"/>
      <c r="G808" s="352">
        <f>+'BBS Summary'!L14</f>
        <v>66.436000000000007</v>
      </c>
      <c r="H808" s="942"/>
      <c r="I808" s="1239"/>
    </row>
    <row r="809" spans="1:10" s="78" customFormat="1" ht="18" customHeight="1">
      <c r="A809" s="75"/>
      <c r="B809" s="80" t="s">
        <v>1300</v>
      </c>
      <c r="C809" s="70"/>
      <c r="D809" s="68"/>
      <c r="E809" s="68"/>
      <c r="F809" s="68"/>
      <c r="G809" s="68"/>
      <c r="H809" s="930"/>
      <c r="I809" s="1227"/>
      <c r="J809" s="65"/>
    </row>
    <row r="810" spans="1:10" s="78" customFormat="1" ht="18" customHeight="1">
      <c r="A810" s="75"/>
      <c r="B810" s="63" t="s">
        <v>1301</v>
      </c>
      <c r="C810" s="475" t="s">
        <v>414</v>
      </c>
      <c r="D810" s="68" t="s">
        <v>120</v>
      </c>
      <c r="E810" s="68" t="s">
        <v>46</v>
      </c>
      <c r="F810" s="68" t="s">
        <v>1302</v>
      </c>
      <c r="G810" s="68">
        <f t="shared" ref="G810" si="30">PRODUCT(C810:F810)</f>
        <v>0</v>
      </c>
      <c r="H810" s="930"/>
      <c r="I810" s="1227"/>
      <c r="J810" s="65"/>
    </row>
    <row r="811" spans="1:10" s="78" customFormat="1" ht="18" customHeight="1">
      <c r="A811" s="75"/>
      <c r="B811" s="63" t="s">
        <v>1449</v>
      </c>
      <c r="C811" s="475"/>
      <c r="D811" s="68"/>
      <c r="E811" s="68"/>
      <c r="F811" s="67"/>
      <c r="G811" s="67" t="str">
        <f t="shared" ref="G811" si="31">IF(C811&lt;&gt;0,ROUND(PRODUCT(D811:F811)*C811,2)," ")</f>
        <v xml:space="preserve"> </v>
      </c>
      <c r="H811" s="930"/>
      <c r="I811" s="1227"/>
      <c r="J811" s="65"/>
    </row>
    <row r="812" spans="1:10" s="78" customFormat="1" ht="18" customHeight="1">
      <c r="A812" s="75"/>
      <c r="B812" s="63" t="s">
        <v>1415</v>
      </c>
      <c r="C812" s="70"/>
      <c r="D812" s="68"/>
      <c r="E812" s="68"/>
      <c r="F812" s="68"/>
      <c r="G812" s="68"/>
      <c r="H812" s="930"/>
      <c r="I812" s="1227"/>
      <c r="J812" s="65"/>
    </row>
    <row r="813" spans="1:10" s="456" customFormat="1" ht="18" customHeight="1">
      <c r="A813" s="454"/>
      <c r="B813" s="63" t="s">
        <v>1414</v>
      </c>
      <c r="C813" s="455">
        <f>0*72*3</f>
        <v>0</v>
      </c>
      <c r="D813" s="541">
        <f>0.2+0.15+0.2+0.2+0.15</f>
        <v>0.9</v>
      </c>
      <c r="E813" s="452"/>
      <c r="F813" s="452">
        <v>0.88800000000000001</v>
      </c>
      <c r="G813" s="452">
        <f t="shared" ref="G813" si="32">PRODUCT(C813:F813)</f>
        <v>0</v>
      </c>
      <c r="H813" s="943" t="s">
        <v>405</v>
      </c>
      <c r="I813" s="1240"/>
      <c r="J813" s="65"/>
    </row>
    <row r="814" spans="1:10" s="456" customFormat="1" ht="18" customHeight="1">
      <c r="A814" s="454"/>
      <c r="B814" s="63" t="s">
        <v>1450</v>
      </c>
      <c r="C814" s="455"/>
      <c r="D814" s="452"/>
      <c r="E814" s="452"/>
      <c r="F814" s="452"/>
      <c r="G814" s="452">
        <f>+G813/1000</f>
        <v>0</v>
      </c>
      <c r="H814" s="943" t="s">
        <v>1451</v>
      </c>
      <c r="I814" s="1240"/>
      <c r="J814" s="65"/>
    </row>
    <row r="815" spans="1:10" ht="18" customHeight="1">
      <c r="A815" s="843"/>
      <c r="B815" s="874" t="s">
        <v>2188</v>
      </c>
      <c r="C815" s="540"/>
      <c r="D815" s="539"/>
      <c r="E815" s="539"/>
      <c r="F815" s="539"/>
      <c r="G815" s="713">
        <f>SUM(G807:G814)</f>
        <v>66.436000000000007</v>
      </c>
      <c r="H815" s="945" t="s">
        <v>301</v>
      </c>
      <c r="I815" s="1226">
        <v>4.4000000000000004</v>
      </c>
    </row>
    <row r="816" spans="1:10" s="79" customFormat="1" ht="18" customHeight="1">
      <c r="A816" s="934"/>
      <c r="B816" s="566"/>
      <c r="C816" s="565"/>
      <c r="D816" s="254"/>
      <c r="E816" s="254"/>
      <c r="F816" s="254"/>
      <c r="G816" s="715"/>
      <c r="H816" s="935"/>
      <c r="I816" s="1231"/>
    </row>
    <row r="817" spans="1:16" s="79" customFormat="1" ht="18" customHeight="1">
      <c r="A817" s="934"/>
      <c r="B817" s="566"/>
      <c r="C817" s="565"/>
      <c r="D817" s="254"/>
      <c r="E817" s="254"/>
      <c r="F817" s="254"/>
      <c r="G817" s="715"/>
      <c r="H817" s="935"/>
      <c r="I817" s="1231"/>
    </row>
    <row r="818" spans="1:16" ht="18" customHeight="1">
      <c r="A818" s="453">
        <v>5.0999999999999996</v>
      </c>
      <c r="B818" s="387" t="s">
        <v>1637</v>
      </c>
      <c r="C818" s="70"/>
      <c r="D818" s="68"/>
      <c r="E818" s="68"/>
      <c r="F818" s="68"/>
      <c r="G818" s="68"/>
      <c r="H818" s="929"/>
    </row>
    <row r="819" spans="1:16" s="78" customFormat="1" ht="14.25">
      <c r="A819" s="75" t="s">
        <v>1909</v>
      </c>
      <c r="B819" s="80" t="s">
        <v>1300</v>
      </c>
      <c r="C819" s="70"/>
      <c r="D819" s="68"/>
      <c r="E819" s="68"/>
      <c r="F819" s="68"/>
      <c r="G819" s="68"/>
      <c r="H819" s="930"/>
      <c r="I819" s="1227"/>
    </row>
    <row r="820" spans="1:16" s="78" customFormat="1" ht="14.25">
      <c r="A820" s="75" t="s">
        <v>1909</v>
      </c>
      <c r="B820" s="63" t="s">
        <v>1301</v>
      </c>
      <c r="C820" s="70" t="s">
        <v>414</v>
      </c>
      <c r="D820" s="68" t="s">
        <v>120</v>
      </c>
      <c r="E820" s="68" t="s">
        <v>46</v>
      </c>
      <c r="F820" s="68" t="s">
        <v>1302</v>
      </c>
      <c r="G820" s="68"/>
      <c r="H820" s="930"/>
      <c r="I820" s="1227"/>
    </row>
    <row r="821" spans="1:16" s="78" customFormat="1" ht="14.25">
      <c r="A821" s="75" t="s">
        <v>1909</v>
      </c>
      <c r="B821" s="63" t="s">
        <v>1911</v>
      </c>
      <c r="C821" s="70">
        <v>72</v>
      </c>
      <c r="D821" s="68">
        <v>0.3</v>
      </c>
      <c r="E821" s="68">
        <v>0.35</v>
      </c>
      <c r="F821" s="68">
        <f>7850*0.012</f>
        <v>94.2</v>
      </c>
      <c r="G821" s="67">
        <f t="shared" ref="G821:G829" si="33">IF(C821&lt;&gt;0,ROUND(PRODUCT(D821:F821)*C821,2)," ")</f>
        <v>712.15</v>
      </c>
      <c r="H821" s="930"/>
      <c r="I821" s="1227"/>
    </row>
    <row r="822" spans="1:16" s="78" customFormat="1" ht="18" customHeight="1">
      <c r="A822" s="432"/>
      <c r="B822" s="496" t="s">
        <v>1638</v>
      </c>
      <c r="C822" s="70" t="s">
        <v>414</v>
      </c>
      <c r="D822" s="68" t="s">
        <v>4</v>
      </c>
      <c r="E822" s="68"/>
      <c r="F822" s="68" t="s">
        <v>1302</v>
      </c>
      <c r="G822" s="67"/>
      <c r="H822" s="930"/>
      <c r="I822" s="1227"/>
    </row>
    <row r="823" spans="1:16" ht="18" customHeight="1">
      <c r="A823" s="128" t="s">
        <v>1921</v>
      </c>
      <c r="B823" s="64" t="s">
        <v>1630</v>
      </c>
      <c r="C823" s="573">
        <v>4</v>
      </c>
      <c r="D823" s="405">
        <f>3.2+6.45+6.45-1.024-1.05</f>
        <v>14.026</v>
      </c>
      <c r="E823" s="68"/>
      <c r="F823" s="68">
        <v>3.54</v>
      </c>
      <c r="G823" s="67">
        <f t="shared" si="33"/>
        <v>198.61</v>
      </c>
      <c r="H823" s="929"/>
    </row>
    <row r="824" spans="1:16" s="78" customFormat="1" ht="18" customHeight="1">
      <c r="A824" s="128" t="s">
        <v>1921</v>
      </c>
      <c r="B824" s="63" t="s">
        <v>1631</v>
      </c>
      <c r="C824" s="573">
        <v>4</v>
      </c>
      <c r="D824" s="405">
        <v>20.2</v>
      </c>
      <c r="E824" s="68"/>
      <c r="F824" s="68">
        <v>3.54</v>
      </c>
      <c r="G824" s="67">
        <f t="shared" si="33"/>
        <v>286.02999999999997</v>
      </c>
      <c r="H824" s="930"/>
      <c r="I824" s="1227"/>
    </row>
    <row r="825" spans="1:16" ht="18" customHeight="1">
      <c r="A825" s="128" t="s">
        <v>1921</v>
      </c>
      <c r="B825" s="356" t="s">
        <v>1632</v>
      </c>
      <c r="C825" s="404">
        <v>4</v>
      </c>
      <c r="D825" s="574">
        <f>3.2+6.45-1.025</f>
        <v>8.625</v>
      </c>
      <c r="E825" s="68"/>
      <c r="F825" s="68">
        <v>3.54</v>
      </c>
      <c r="G825" s="67">
        <f t="shared" si="33"/>
        <v>122.13</v>
      </c>
      <c r="H825" s="929"/>
    </row>
    <row r="826" spans="1:16" s="78" customFormat="1" ht="18" customHeight="1">
      <c r="A826" s="128" t="s">
        <v>1921</v>
      </c>
      <c r="B826" s="362" t="s">
        <v>1633</v>
      </c>
      <c r="C826" s="70"/>
      <c r="D826" s="77"/>
      <c r="E826" s="68"/>
      <c r="F826" s="68"/>
      <c r="G826" s="67" t="str">
        <f t="shared" si="33"/>
        <v xml:space="preserve"> </v>
      </c>
      <c r="H826" s="930"/>
      <c r="I826" s="1227"/>
    </row>
    <row r="827" spans="1:16" ht="18" customHeight="1">
      <c r="A827" s="128" t="s">
        <v>1921</v>
      </c>
      <c r="B827" s="356" t="s">
        <v>1634</v>
      </c>
      <c r="C827" s="573">
        <v>4</v>
      </c>
      <c r="D827" s="572">
        <v>10.91</v>
      </c>
      <c r="E827" s="68"/>
      <c r="F827" s="68">
        <v>3.54</v>
      </c>
      <c r="G827" s="67">
        <f t="shared" si="33"/>
        <v>154.49</v>
      </c>
      <c r="H827" s="929"/>
      <c r="L827" s="78"/>
      <c r="O827" s="78"/>
      <c r="P827" s="78"/>
    </row>
    <row r="828" spans="1:16" s="78" customFormat="1" ht="18" customHeight="1">
      <c r="A828" s="128" t="s">
        <v>1921</v>
      </c>
      <c r="B828" s="64" t="s">
        <v>1635</v>
      </c>
      <c r="C828" s="573">
        <v>4</v>
      </c>
      <c r="D828" s="572">
        <v>10.91</v>
      </c>
      <c r="E828" s="68"/>
      <c r="F828" s="68">
        <v>3.54</v>
      </c>
      <c r="G828" s="67">
        <f t="shared" si="33"/>
        <v>154.49</v>
      </c>
      <c r="H828" s="930"/>
      <c r="I828" s="1227"/>
    </row>
    <row r="829" spans="1:16" ht="18" customHeight="1">
      <c r="A829" s="128" t="s">
        <v>1921</v>
      </c>
      <c r="B829" s="63" t="s">
        <v>1636</v>
      </c>
      <c r="C829" s="404">
        <v>4</v>
      </c>
      <c r="D829" s="567">
        <v>10.8</v>
      </c>
      <c r="E829" s="68"/>
      <c r="F829" s="68">
        <v>3.54</v>
      </c>
      <c r="G829" s="67">
        <f t="shared" si="33"/>
        <v>152.93</v>
      </c>
      <c r="H829" s="929"/>
    </row>
    <row r="830" spans="1:16" s="488" customFormat="1" ht="19.5" customHeight="1">
      <c r="A830" s="128" t="s">
        <v>1921</v>
      </c>
      <c r="B830" s="406" t="s">
        <v>1657</v>
      </c>
      <c r="C830" s="495"/>
      <c r="D830" s="489"/>
      <c r="E830" s="486"/>
      <c r="F830" s="486"/>
      <c r="G830" s="567">
        <f>323</f>
        <v>323</v>
      </c>
      <c r="H830" s="938"/>
      <c r="I830" s="1229"/>
    </row>
    <row r="831" spans="1:16" ht="18" customHeight="1">
      <c r="A831" s="932"/>
      <c r="B831" s="876" t="s">
        <v>2188</v>
      </c>
      <c r="C831" s="875"/>
      <c r="D831" s="874"/>
      <c r="E831" s="874"/>
      <c r="F831" s="874"/>
      <c r="G831" s="842">
        <f>SUM(G821:G830)</f>
        <v>2103.83</v>
      </c>
      <c r="H831" s="945" t="s">
        <v>405</v>
      </c>
      <c r="I831" s="1226">
        <v>5.0999999999999996</v>
      </c>
    </row>
    <row r="832" spans="1:16" s="79" customFormat="1" ht="18" customHeight="1">
      <c r="A832" s="934"/>
      <c r="B832" s="566"/>
      <c r="C832" s="565"/>
      <c r="D832" s="254"/>
      <c r="E832" s="254"/>
      <c r="F832" s="254"/>
      <c r="G832" s="715"/>
      <c r="H832" s="935"/>
      <c r="I832" s="1231"/>
    </row>
    <row r="833" spans="1:15" ht="14.25">
      <c r="A833" s="380" t="s">
        <v>422</v>
      </c>
      <c r="B833" s="387" t="s">
        <v>1912</v>
      </c>
      <c r="C833" s="70"/>
      <c r="D833" s="67"/>
      <c r="E833" s="67"/>
      <c r="F833" s="67"/>
      <c r="G833" s="67"/>
      <c r="H833" s="929"/>
    </row>
    <row r="834" spans="1:15" s="78" customFormat="1" ht="18" customHeight="1">
      <c r="A834" s="75" t="s">
        <v>1280</v>
      </c>
      <c r="B834" s="607" t="s">
        <v>939</v>
      </c>
      <c r="C834" s="70"/>
      <c r="D834" s="68"/>
      <c r="E834" s="68"/>
      <c r="F834" s="68"/>
      <c r="G834" s="68">
        <f>PRODUCT(C834:F834)</f>
        <v>0</v>
      </c>
      <c r="H834" s="930"/>
      <c r="I834" s="1227"/>
    </row>
    <row r="835" spans="1:15" s="78" customFormat="1" ht="18" customHeight="1">
      <c r="A835" s="75"/>
      <c r="B835" s="607" t="s">
        <v>944</v>
      </c>
      <c r="C835" s="70"/>
      <c r="D835" s="68"/>
      <c r="E835" s="68"/>
      <c r="F835" s="68"/>
      <c r="G835" s="68"/>
      <c r="H835" s="930"/>
      <c r="I835" s="1227"/>
    </row>
    <row r="836" spans="1:15" s="78" customFormat="1" ht="18" customHeight="1">
      <c r="A836" s="75"/>
      <c r="B836" s="406" t="s">
        <v>940</v>
      </c>
      <c r="C836" s="70">
        <v>1</v>
      </c>
      <c r="D836" s="68">
        <v>3.194</v>
      </c>
      <c r="E836" s="68">
        <v>0.2</v>
      </c>
      <c r="F836" s="68">
        <v>2.9750000000000001</v>
      </c>
      <c r="G836" s="67">
        <f t="shared" ref="G836:G899" si="34">IF(C836&lt;&gt;0,ROUND(PRODUCT(D836:F836)*C836,2)," ")</f>
        <v>1.9</v>
      </c>
      <c r="H836" s="930"/>
      <c r="I836" s="1227"/>
    </row>
    <row r="837" spans="1:15" s="78" customFormat="1" ht="18" customHeight="1">
      <c r="A837" s="75"/>
      <c r="B837" s="406" t="s">
        <v>941</v>
      </c>
      <c r="C837" s="70">
        <v>-1</v>
      </c>
      <c r="D837" s="68">
        <v>1</v>
      </c>
      <c r="E837" s="68">
        <v>0.2</v>
      </c>
      <c r="F837" s="68">
        <v>1.8</v>
      </c>
      <c r="G837" s="67">
        <f t="shared" si="34"/>
        <v>-0.36</v>
      </c>
      <c r="H837" s="930"/>
      <c r="I837" s="1227"/>
    </row>
    <row r="838" spans="1:15" s="78" customFormat="1" ht="18" customHeight="1">
      <c r="A838" s="75"/>
      <c r="B838" s="406" t="s">
        <v>1596</v>
      </c>
      <c r="C838" s="70">
        <v>1</v>
      </c>
      <c r="D838" s="68">
        <v>4.4089999999999998</v>
      </c>
      <c r="E838" s="68">
        <v>0.2</v>
      </c>
      <c r="F838" s="68">
        <v>2.9750000000000001</v>
      </c>
      <c r="G838" s="67">
        <f t="shared" si="34"/>
        <v>2.62</v>
      </c>
      <c r="H838" s="930"/>
      <c r="I838" s="1227"/>
      <c r="O838" s="220"/>
    </row>
    <row r="839" spans="1:15" s="78" customFormat="1" ht="18" customHeight="1">
      <c r="A839" s="75"/>
      <c r="B839" s="63" t="s">
        <v>942</v>
      </c>
      <c r="C839" s="70">
        <v>1</v>
      </c>
      <c r="D839" s="68">
        <f>6.45+6.4+6.4+3.25+0.1-0.1</f>
        <v>22.5</v>
      </c>
      <c r="E839" s="68">
        <v>0.2</v>
      </c>
      <c r="F839" s="68">
        <v>2.95</v>
      </c>
      <c r="G839" s="67">
        <f t="shared" si="34"/>
        <v>13.28</v>
      </c>
      <c r="H839" s="930"/>
      <c r="I839" s="1227"/>
    </row>
    <row r="840" spans="1:15" s="78" customFormat="1" ht="18" customHeight="1">
      <c r="A840" s="75"/>
      <c r="B840" s="409" t="s">
        <v>943</v>
      </c>
      <c r="C840" s="70">
        <v>-7</v>
      </c>
      <c r="D840" s="68">
        <v>1</v>
      </c>
      <c r="E840" s="68">
        <v>0.2</v>
      </c>
      <c r="F840" s="68">
        <v>1.8</v>
      </c>
      <c r="G840" s="67">
        <f t="shared" si="34"/>
        <v>-2.52</v>
      </c>
      <c r="H840" s="930"/>
      <c r="I840" s="1227"/>
    </row>
    <row r="841" spans="1:15" s="78" customFormat="1" ht="18" customHeight="1">
      <c r="A841" s="75"/>
      <c r="B841" s="63" t="s">
        <v>1913</v>
      </c>
      <c r="C841" s="70">
        <v>1</v>
      </c>
      <c r="D841" s="68">
        <v>4.18</v>
      </c>
      <c r="E841" s="68">
        <v>0.2</v>
      </c>
      <c r="F841" s="68">
        <v>2.9750000000000001</v>
      </c>
      <c r="G841" s="67">
        <f t="shared" si="34"/>
        <v>2.4900000000000002</v>
      </c>
      <c r="H841" s="930"/>
      <c r="I841" s="1227"/>
    </row>
    <row r="842" spans="1:15" s="78" customFormat="1" ht="18" customHeight="1">
      <c r="A842" s="75"/>
      <c r="B842" s="63" t="s">
        <v>945</v>
      </c>
      <c r="C842" s="70">
        <v>1</v>
      </c>
      <c r="D842" s="68">
        <v>3.1840000000000002</v>
      </c>
      <c r="E842" s="68">
        <v>0.2</v>
      </c>
      <c r="F842" s="68">
        <v>2.9750000000000001</v>
      </c>
      <c r="G842" s="67">
        <f t="shared" si="34"/>
        <v>1.89</v>
      </c>
      <c r="H842" s="930"/>
      <c r="I842" s="1227"/>
    </row>
    <row r="843" spans="1:15" s="78" customFormat="1" ht="18" customHeight="1">
      <c r="A843" s="75"/>
      <c r="B843" s="63" t="s">
        <v>946</v>
      </c>
      <c r="C843" s="70">
        <v>-1</v>
      </c>
      <c r="D843" s="68">
        <v>2.85</v>
      </c>
      <c r="E843" s="68">
        <v>0.2</v>
      </c>
      <c r="F843" s="68">
        <v>1.2</v>
      </c>
      <c r="G843" s="67">
        <f t="shared" si="34"/>
        <v>-0.68</v>
      </c>
      <c r="H843" s="930"/>
      <c r="I843" s="1227"/>
    </row>
    <row r="844" spans="1:15" s="78" customFormat="1" ht="18" customHeight="1">
      <c r="A844" s="75"/>
      <c r="B844" s="63" t="s">
        <v>947</v>
      </c>
      <c r="C844" s="70">
        <v>1</v>
      </c>
      <c r="D844" s="68">
        <v>14.433999999999999</v>
      </c>
      <c r="E844" s="68">
        <v>0.2</v>
      </c>
      <c r="F844" s="68">
        <v>2.9750000000000001</v>
      </c>
      <c r="G844" s="67">
        <f t="shared" si="34"/>
        <v>8.59</v>
      </c>
      <c r="H844" s="930"/>
      <c r="I844" s="1227"/>
    </row>
    <row r="845" spans="1:15" s="78" customFormat="1" ht="18" customHeight="1">
      <c r="A845" s="75"/>
      <c r="B845" s="63" t="s">
        <v>948</v>
      </c>
      <c r="C845" s="70">
        <v>-4</v>
      </c>
      <c r="D845" s="68">
        <v>1</v>
      </c>
      <c r="E845" s="68">
        <v>0.2</v>
      </c>
      <c r="F845" s="68">
        <v>1.8</v>
      </c>
      <c r="G845" s="67">
        <f t="shared" si="34"/>
        <v>-1.44</v>
      </c>
      <c r="H845" s="930"/>
      <c r="I845" s="1227"/>
    </row>
    <row r="846" spans="1:15" s="78" customFormat="1" ht="18" customHeight="1">
      <c r="A846" s="75"/>
      <c r="B846" s="63" t="s">
        <v>949</v>
      </c>
      <c r="C846" s="70">
        <v>-1</v>
      </c>
      <c r="D846" s="68">
        <v>1</v>
      </c>
      <c r="E846" s="68">
        <v>0.2</v>
      </c>
      <c r="F846" s="68">
        <v>1.8</v>
      </c>
      <c r="G846" s="67">
        <f t="shared" si="34"/>
        <v>-0.36</v>
      </c>
      <c r="H846" s="930"/>
      <c r="I846" s="1227"/>
    </row>
    <row r="847" spans="1:15" s="78" customFormat="1" ht="18" customHeight="1">
      <c r="A847" s="75"/>
      <c r="B847" s="63" t="s">
        <v>1914</v>
      </c>
      <c r="C847" s="70">
        <v>1</v>
      </c>
      <c r="D847" s="68">
        <v>4.218</v>
      </c>
      <c r="E847" s="68">
        <v>0.2</v>
      </c>
      <c r="F847" s="68">
        <v>2.9750000000000001</v>
      </c>
      <c r="G847" s="67">
        <f t="shared" si="34"/>
        <v>2.5099999999999998</v>
      </c>
      <c r="H847" s="930"/>
      <c r="I847" s="1227"/>
    </row>
    <row r="848" spans="1:15" s="78" customFormat="1" ht="18" customHeight="1">
      <c r="A848" s="75"/>
      <c r="B848" s="63" t="s">
        <v>1915</v>
      </c>
      <c r="C848" s="70">
        <v>1</v>
      </c>
      <c r="D848" s="68">
        <v>4.218</v>
      </c>
      <c r="E848" s="68">
        <v>0.2</v>
      </c>
      <c r="F848" s="68">
        <v>2.9750000000000001</v>
      </c>
      <c r="G848" s="67">
        <f t="shared" si="34"/>
        <v>2.5099999999999998</v>
      </c>
      <c r="H848" s="930"/>
      <c r="I848" s="1227"/>
    </row>
    <row r="849" spans="1:9" s="78" customFormat="1" ht="18" customHeight="1">
      <c r="A849" s="75"/>
      <c r="B849" s="63" t="s">
        <v>1916</v>
      </c>
      <c r="C849" s="70">
        <v>1</v>
      </c>
      <c r="D849" s="68">
        <f>3.25-0.1+0.1</f>
        <v>3.25</v>
      </c>
      <c r="E849" s="68">
        <v>0.2</v>
      </c>
      <c r="F849" s="68">
        <v>2.9750000000000001</v>
      </c>
      <c r="G849" s="67">
        <f t="shared" si="34"/>
        <v>1.93</v>
      </c>
      <c r="H849" s="930"/>
      <c r="I849" s="1227"/>
    </row>
    <row r="850" spans="1:9" s="78" customFormat="1" ht="18" customHeight="1">
      <c r="A850" s="75"/>
      <c r="B850" s="63" t="s">
        <v>1917</v>
      </c>
      <c r="C850" s="70">
        <v>1</v>
      </c>
      <c r="D850" s="68">
        <v>4.22</v>
      </c>
      <c r="E850" s="68">
        <v>0.2</v>
      </c>
      <c r="F850" s="68">
        <v>2.9750000000000001</v>
      </c>
      <c r="G850" s="67">
        <f t="shared" si="34"/>
        <v>2.5099999999999998</v>
      </c>
      <c r="H850" s="930"/>
      <c r="I850" s="1227"/>
    </row>
    <row r="851" spans="1:9" s="78" customFormat="1" ht="18" customHeight="1">
      <c r="A851" s="75"/>
      <c r="B851" s="63" t="s">
        <v>1918</v>
      </c>
      <c r="C851" s="70">
        <v>1</v>
      </c>
      <c r="D851" s="68">
        <v>2.91</v>
      </c>
      <c r="E851" s="68">
        <v>0.2</v>
      </c>
      <c r="F851" s="68">
        <v>2.9750000000000001</v>
      </c>
      <c r="G851" s="67">
        <f t="shared" si="34"/>
        <v>1.73</v>
      </c>
      <c r="H851" s="930"/>
      <c r="I851" s="1227"/>
    </row>
    <row r="852" spans="1:9" s="78" customFormat="1" ht="18" customHeight="1">
      <c r="A852" s="75"/>
      <c r="B852" s="63" t="s">
        <v>1919</v>
      </c>
      <c r="C852" s="70">
        <v>1</v>
      </c>
      <c r="D852" s="68">
        <v>3.3</v>
      </c>
      <c r="E852" s="68">
        <v>0.2</v>
      </c>
      <c r="F852" s="68">
        <v>2.9750000000000001</v>
      </c>
      <c r="G852" s="67">
        <f t="shared" si="34"/>
        <v>1.96</v>
      </c>
      <c r="H852" s="930"/>
      <c r="I852" s="1227"/>
    </row>
    <row r="853" spans="1:9" s="78" customFormat="1" ht="18" customHeight="1">
      <c r="A853" s="75"/>
      <c r="B853" s="63"/>
      <c r="C853" s="70">
        <v>1</v>
      </c>
      <c r="D853" s="68">
        <v>1.5</v>
      </c>
      <c r="E853" s="68">
        <v>0.2</v>
      </c>
      <c r="F853" s="68">
        <v>2.9750000000000001</v>
      </c>
      <c r="G853" s="67">
        <f t="shared" si="34"/>
        <v>0.89</v>
      </c>
      <c r="H853" s="930"/>
      <c r="I853" s="1227"/>
    </row>
    <row r="854" spans="1:9" s="78" customFormat="1" ht="18" customHeight="1">
      <c r="A854" s="75"/>
      <c r="B854" s="63" t="s">
        <v>950</v>
      </c>
      <c r="C854" s="70">
        <v>1</v>
      </c>
      <c r="D854" s="68">
        <v>3.1</v>
      </c>
      <c r="E854" s="68">
        <v>0.2</v>
      </c>
      <c r="F854" s="68">
        <v>2.9750000000000001</v>
      </c>
      <c r="G854" s="67">
        <f t="shared" si="34"/>
        <v>1.84</v>
      </c>
      <c r="H854" s="930"/>
      <c r="I854" s="1227"/>
    </row>
    <row r="855" spans="1:9" s="78" customFormat="1" ht="18" customHeight="1">
      <c r="A855" s="75"/>
      <c r="B855" s="63" t="s">
        <v>951</v>
      </c>
      <c r="C855" s="70">
        <v>-1</v>
      </c>
      <c r="D855" s="68">
        <v>1</v>
      </c>
      <c r="E855" s="68">
        <v>0.2</v>
      </c>
      <c r="F855" s="68">
        <v>1.8</v>
      </c>
      <c r="G855" s="67">
        <f t="shared" si="34"/>
        <v>-0.36</v>
      </c>
      <c r="H855" s="930"/>
      <c r="I855" s="1227"/>
    </row>
    <row r="856" spans="1:9" s="78" customFormat="1" ht="18" customHeight="1">
      <c r="A856" s="75"/>
      <c r="B856" s="63" t="s">
        <v>952</v>
      </c>
      <c r="C856" s="70">
        <v>1</v>
      </c>
      <c r="D856" s="68">
        <v>6.7039999999999997</v>
      </c>
      <c r="E856" s="68">
        <v>0.2</v>
      </c>
      <c r="F856" s="68">
        <v>2.9750000000000001</v>
      </c>
      <c r="G856" s="67">
        <f t="shared" si="34"/>
        <v>3.99</v>
      </c>
      <c r="H856" s="930"/>
      <c r="I856" s="1227"/>
    </row>
    <row r="857" spans="1:9" s="78" customFormat="1" ht="18" customHeight="1">
      <c r="A857" s="75"/>
      <c r="B857" s="63" t="s">
        <v>953</v>
      </c>
      <c r="C857" s="70">
        <v>-1</v>
      </c>
      <c r="D857" s="68">
        <v>1.2</v>
      </c>
      <c r="E857" s="68">
        <v>0.2</v>
      </c>
      <c r="F857" s="68">
        <v>2.1</v>
      </c>
      <c r="G857" s="67">
        <f t="shared" si="34"/>
        <v>-0.5</v>
      </c>
      <c r="H857" s="930"/>
      <c r="I857" s="1227"/>
    </row>
    <row r="858" spans="1:9" s="78" customFormat="1" ht="18" customHeight="1">
      <c r="A858" s="75"/>
      <c r="B858" s="63" t="s">
        <v>954</v>
      </c>
      <c r="C858" s="70"/>
      <c r="D858" s="68"/>
      <c r="E858" s="68"/>
      <c r="F858" s="68"/>
      <c r="G858" s="67" t="str">
        <f t="shared" si="34"/>
        <v xml:space="preserve"> </v>
      </c>
      <c r="H858" s="930"/>
      <c r="I858" s="1227"/>
    </row>
    <row r="859" spans="1:9" s="78" customFormat="1" ht="18" customHeight="1">
      <c r="A859" s="75"/>
      <c r="B859" s="63" t="s">
        <v>955</v>
      </c>
      <c r="C859" s="70">
        <v>1</v>
      </c>
      <c r="D859" s="68">
        <f>3.175-0.2</f>
        <v>2.9749999999999996</v>
      </c>
      <c r="E859" s="68">
        <v>0.2</v>
      </c>
      <c r="F859" s="68">
        <v>2.9750000000000001</v>
      </c>
      <c r="G859" s="67">
        <f t="shared" si="34"/>
        <v>1.77</v>
      </c>
      <c r="H859" s="930"/>
      <c r="I859" s="1227"/>
    </row>
    <row r="860" spans="1:9" s="78" customFormat="1" ht="18" customHeight="1">
      <c r="A860" s="75"/>
      <c r="B860" s="63" t="s">
        <v>953</v>
      </c>
      <c r="C860" s="70">
        <v>-1</v>
      </c>
      <c r="D860" s="68">
        <v>1.2</v>
      </c>
      <c r="E860" s="68">
        <v>0.2</v>
      </c>
      <c r="F860" s="68">
        <v>2.1</v>
      </c>
      <c r="G860" s="67">
        <f t="shared" si="34"/>
        <v>-0.5</v>
      </c>
      <c r="H860" s="930"/>
      <c r="I860" s="1227"/>
    </row>
    <row r="861" spans="1:9" s="78" customFormat="1" ht="18" customHeight="1">
      <c r="A861" s="75"/>
      <c r="B861" s="63" t="s">
        <v>956</v>
      </c>
      <c r="C861" s="70">
        <v>-1</v>
      </c>
      <c r="D861" s="68">
        <v>0.9</v>
      </c>
      <c r="E861" s="68">
        <v>0.2</v>
      </c>
      <c r="F861" s="68">
        <v>2</v>
      </c>
      <c r="G861" s="67">
        <f t="shared" si="34"/>
        <v>-0.36</v>
      </c>
      <c r="H861" s="930"/>
      <c r="I861" s="1227"/>
    </row>
    <row r="862" spans="1:9" s="78" customFormat="1" ht="18" customHeight="1">
      <c r="A862" s="75"/>
      <c r="B862" s="63" t="s">
        <v>957</v>
      </c>
      <c r="C862" s="70">
        <v>1</v>
      </c>
      <c r="D862" s="68">
        <v>0.94</v>
      </c>
      <c r="E862" s="68">
        <v>0.2</v>
      </c>
      <c r="F862" s="68">
        <v>2.9750000000000001</v>
      </c>
      <c r="G862" s="67">
        <f t="shared" si="34"/>
        <v>0.56000000000000005</v>
      </c>
      <c r="H862" s="930"/>
      <c r="I862" s="1227"/>
    </row>
    <row r="863" spans="1:9" s="78" customFormat="1" ht="18" customHeight="1">
      <c r="A863" s="75"/>
      <c r="B863" s="63"/>
      <c r="C863" s="70">
        <v>1</v>
      </c>
      <c r="D863" s="68">
        <f>3.175-0.1-0.1-1.2</f>
        <v>1.7749999999999997</v>
      </c>
      <c r="E863" s="68">
        <v>0.2</v>
      </c>
      <c r="F863" s="68">
        <v>2.9750000000000001</v>
      </c>
      <c r="G863" s="67">
        <f t="shared" si="34"/>
        <v>1.06</v>
      </c>
      <c r="H863" s="930"/>
      <c r="I863" s="1227"/>
    </row>
    <row r="864" spans="1:9" s="78" customFormat="1" ht="18" customHeight="1">
      <c r="A864" s="75"/>
      <c r="B864" s="607" t="s">
        <v>1048</v>
      </c>
      <c r="C864" s="70"/>
      <c r="D864" s="68"/>
      <c r="E864" s="68"/>
      <c r="F864" s="68"/>
      <c r="G864" s="67" t="str">
        <f t="shared" si="34"/>
        <v xml:space="preserve"> </v>
      </c>
      <c r="H864" s="930"/>
      <c r="I864" s="1227"/>
    </row>
    <row r="865" spans="1:9" s="78" customFormat="1" ht="18" customHeight="1">
      <c r="A865" s="75"/>
      <c r="B865" s="406" t="s">
        <v>1049</v>
      </c>
      <c r="C865" s="70">
        <v>1</v>
      </c>
      <c r="D865" s="68">
        <v>10.275</v>
      </c>
      <c r="E865" s="68">
        <v>0.2</v>
      </c>
      <c r="F865" s="68">
        <f>3.15-0.2</f>
        <v>2.9499999999999997</v>
      </c>
      <c r="G865" s="67">
        <f t="shared" si="34"/>
        <v>6.06</v>
      </c>
      <c r="H865" s="930"/>
      <c r="I865" s="1227"/>
    </row>
    <row r="866" spans="1:9" s="78" customFormat="1" ht="18" customHeight="1">
      <c r="A866" s="75"/>
      <c r="B866" s="406" t="s">
        <v>941</v>
      </c>
      <c r="C866" s="70">
        <v>-3</v>
      </c>
      <c r="D866" s="68">
        <v>1</v>
      </c>
      <c r="E866" s="68">
        <v>0.2</v>
      </c>
      <c r="F866" s="68">
        <v>1.8</v>
      </c>
      <c r="G866" s="67">
        <f t="shared" si="34"/>
        <v>-1.08</v>
      </c>
      <c r="H866" s="930"/>
      <c r="I866" s="1227"/>
    </row>
    <row r="867" spans="1:9" s="78" customFormat="1" ht="18" customHeight="1">
      <c r="A867" s="75"/>
      <c r="B867" s="406" t="s">
        <v>1050</v>
      </c>
      <c r="C867" s="70">
        <v>1</v>
      </c>
      <c r="D867" s="68">
        <v>13.4</v>
      </c>
      <c r="E867" s="68">
        <v>0.2</v>
      </c>
      <c r="F867" s="68">
        <f>3.15-0.2</f>
        <v>2.9499999999999997</v>
      </c>
      <c r="G867" s="67">
        <f t="shared" si="34"/>
        <v>7.91</v>
      </c>
      <c r="H867" s="930"/>
      <c r="I867" s="1227"/>
    </row>
    <row r="868" spans="1:9" s="78" customFormat="1" ht="18" customHeight="1">
      <c r="A868" s="75"/>
      <c r="B868" s="406" t="s">
        <v>1051</v>
      </c>
      <c r="C868" s="70">
        <v>-2</v>
      </c>
      <c r="D868" s="68">
        <v>1</v>
      </c>
      <c r="E868" s="68">
        <v>0.2</v>
      </c>
      <c r="F868" s="68">
        <v>1.8</v>
      </c>
      <c r="G868" s="67">
        <f t="shared" si="34"/>
        <v>-0.72</v>
      </c>
      <c r="H868" s="930"/>
      <c r="I868" s="1227"/>
    </row>
    <row r="869" spans="1:9" s="78" customFormat="1" ht="18" customHeight="1">
      <c r="A869" s="75"/>
      <c r="B869" s="406" t="s">
        <v>1052</v>
      </c>
      <c r="C869" s="70">
        <v>-1</v>
      </c>
      <c r="D869" s="68">
        <v>3</v>
      </c>
      <c r="E869" s="68">
        <v>0.2</v>
      </c>
      <c r="F869" s="68">
        <v>1.8</v>
      </c>
      <c r="G869" s="67">
        <f t="shared" si="34"/>
        <v>-1.08</v>
      </c>
      <c r="H869" s="930"/>
      <c r="I869" s="1227"/>
    </row>
    <row r="870" spans="1:9" s="78" customFormat="1" ht="18" customHeight="1">
      <c r="A870" s="75"/>
      <c r="B870" s="63" t="s">
        <v>1969</v>
      </c>
      <c r="C870" s="70">
        <v>1</v>
      </c>
      <c r="D870" s="68">
        <v>4.218</v>
      </c>
      <c r="E870" s="68">
        <v>0.2</v>
      </c>
      <c r="F870" s="68">
        <f>3.15-0.2</f>
        <v>2.9499999999999997</v>
      </c>
      <c r="G870" s="67">
        <f t="shared" si="34"/>
        <v>2.4900000000000002</v>
      </c>
      <c r="H870" s="930"/>
      <c r="I870" s="1227"/>
    </row>
    <row r="871" spans="1:9" s="78" customFormat="1" ht="18" customHeight="1">
      <c r="A871" s="75"/>
      <c r="B871" s="409" t="s">
        <v>1970</v>
      </c>
      <c r="C871" s="70">
        <v>1</v>
      </c>
      <c r="D871" s="68">
        <v>4.218</v>
      </c>
      <c r="E871" s="68">
        <v>0.2</v>
      </c>
      <c r="F871" s="68">
        <v>2.95</v>
      </c>
      <c r="G871" s="67">
        <f t="shared" si="34"/>
        <v>2.4900000000000002</v>
      </c>
      <c r="H871" s="930"/>
      <c r="I871" s="1227"/>
    </row>
    <row r="872" spans="1:9" s="78" customFormat="1" ht="18" customHeight="1">
      <c r="A872" s="75"/>
      <c r="B872" s="409" t="s">
        <v>1971</v>
      </c>
      <c r="C872" s="70">
        <v>1</v>
      </c>
      <c r="D872" s="68">
        <v>4.218</v>
      </c>
      <c r="E872" s="68">
        <v>0.2</v>
      </c>
      <c r="F872" s="68">
        <v>2.95</v>
      </c>
      <c r="G872" s="67">
        <f t="shared" si="34"/>
        <v>2.4900000000000002</v>
      </c>
      <c r="H872" s="930"/>
      <c r="I872" s="1227"/>
    </row>
    <row r="873" spans="1:9" s="78" customFormat="1" ht="18" customHeight="1">
      <c r="A873" s="75"/>
      <c r="B873" s="409" t="s">
        <v>1972</v>
      </c>
      <c r="C873" s="70">
        <v>1</v>
      </c>
      <c r="D873" s="68">
        <v>4.218</v>
      </c>
      <c r="E873" s="68">
        <v>0.2</v>
      </c>
      <c r="F873" s="68">
        <v>2.95</v>
      </c>
      <c r="G873" s="67">
        <f t="shared" si="34"/>
        <v>2.4900000000000002</v>
      </c>
      <c r="H873" s="930"/>
      <c r="I873" s="1227"/>
    </row>
    <row r="874" spans="1:9" s="78" customFormat="1" ht="18" customHeight="1">
      <c r="A874" s="75"/>
      <c r="B874" s="409" t="s">
        <v>1973</v>
      </c>
      <c r="C874" s="70">
        <v>1</v>
      </c>
      <c r="D874" s="68">
        <v>3.05</v>
      </c>
      <c r="E874" s="68">
        <v>0.2</v>
      </c>
      <c r="F874" s="68">
        <v>2.95</v>
      </c>
      <c r="G874" s="67">
        <f t="shared" si="34"/>
        <v>1.8</v>
      </c>
      <c r="H874" s="930"/>
      <c r="I874" s="1227"/>
    </row>
    <row r="875" spans="1:9" s="78" customFormat="1" ht="18" customHeight="1">
      <c r="A875" s="75"/>
      <c r="B875" s="409" t="s">
        <v>964</v>
      </c>
      <c r="C875" s="70">
        <v>-1</v>
      </c>
      <c r="D875" s="68">
        <v>1</v>
      </c>
      <c r="E875" s="68">
        <v>0.2</v>
      </c>
      <c r="F875" s="68">
        <v>2.1</v>
      </c>
      <c r="G875" s="67">
        <f t="shared" si="34"/>
        <v>-0.42</v>
      </c>
      <c r="H875" s="930"/>
      <c r="I875" s="1227"/>
    </row>
    <row r="876" spans="1:9" s="78" customFormat="1" ht="18" customHeight="1">
      <c r="A876" s="75"/>
      <c r="B876" s="63" t="s">
        <v>1053</v>
      </c>
      <c r="C876" s="70">
        <v>1</v>
      </c>
      <c r="D876" s="68">
        <v>3.2450000000000001</v>
      </c>
      <c r="E876" s="68">
        <v>0.2</v>
      </c>
      <c r="F876" s="68">
        <v>2.9750000000000001</v>
      </c>
      <c r="G876" s="67">
        <f t="shared" si="34"/>
        <v>1.93</v>
      </c>
      <c r="H876" s="930"/>
      <c r="I876" s="1227"/>
    </row>
    <row r="877" spans="1:9" s="78" customFormat="1" ht="18" customHeight="1">
      <c r="A877" s="75"/>
      <c r="B877" s="63" t="s">
        <v>1054</v>
      </c>
      <c r="C877" s="70">
        <v>-1</v>
      </c>
      <c r="D877" s="68">
        <v>1.8</v>
      </c>
      <c r="E877" s="68">
        <v>0.2</v>
      </c>
      <c r="F877" s="68">
        <v>2.1</v>
      </c>
      <c r="G877" s="67">
        <f t="shared" si="34"/>
        <v>-0.76</v>
      </c>
      <c r="H877" s="930"/>
      <c r="I877" s="1227"/>
    </row>
    <row r="878" spans="1:9" s="78" customFormat="1" ht="18" customHeight="1">
      <c r="A878" s="75"/>
      <c r="B878" s="64" t="s">
        <v>1055</v>
      </c>
      <c r="C878" s="70"/>
      <c r="D878" s="68"/>
      <c r="E878" s="68"/>
      <c r="F878" s="68"/>
      <c r="G878" s="67" t="str">
        <f t="shared" si="34"/>
        <v xml:space="preserve"> </v>
      </c>
      <c r="H878" s="930"/>
      <c r="I878" s="1227"/>
    </row>
    <row r="879" spans="1:9" s="78" customFormat="1" ht="18" customHeight="1">
      <c r="A879" s="75"/>
      <c r="B879" s="409" t="s">
        <v>1056</v>
      </c>
      <c r="C879" s="70">
        <v>1</v>
      </c>
      <c r="D879" s="68">
        <v>12.75</v>
      </c>
      <c r="E879" s="68">
        <v>0.2</v>
      </c>
      <c r="F879" s="68">
        <v>2.95</v>
      </c>
      <c r="G879" s="67">
        <f t="shared" si="34"/>
        <v>7.52</v>
      </c>
      <c r="H879" s="930"/>
      <c r="I879" s="1227"/>
    </row>
    <row r="880" spans="1:9" s="78" customFormat="1" ht="18" customHeight="1">
      <c r="A880" s="75"/>
      <c r="B880" s="409" t="s">
        <v>1051</v>
      </c>
      <c r="C880" s="70">
        <v>-4</v>
      </c>
      <c r="D880" s="68">
        <v>1</v>
      </c>
      <c r="E880" s="68">
        <v>0.2</v>
      </c>
      <c r="F880" s="68">
        <v>1.8</v>
      </c>
      <c r="G880" s="67">
        <f t="shared" si="34"/>
        <v>-1.44</v>
      </c>
      <c r="H880" s="930"/>
      <c r="I880" s="1227"/>
    </row>
    <row r="881" spans="1:9" s="78" customFormat="1" ht="18" customHeight="1">
      <c r="A881" s="75"/>
      <c r="B881" s="63" t="s">
        <v>1057</v>
      </c>
      <c r="C881" s="70">
        <v>1</v>
      </c>
      <c r="D881" s="68">
        <v>12.75</v>
      </c>
      <c r="E881" s="68">
        <v>0.2</v>
      </c>
      <c r="F881" s="68">
        <v>2.9750000000000001</v>
      </c>
      <c r="G881" s="67">
        <f t="shared" si="34"/>
        <v>7.59</v>
      </c>
      <c r="H881" s="930"/>
      <c r="I881" s="1227"/>
    </row>
    <row r="882" spans="1:9" s="78" customFormat="1" ht="18" customHeight="1">
      <c r="A882" s="75"/>
      <c r="B882" s="63" t="s">
        <v>1051</v>
      </c>
      <c r="C882" s="70">
        <v>-2</v>
      </c>
      <c r="D882" s="68">
        <v>1</v>
      </c>
      <c r="E882" s="68">
        <v>0.2</v>
      </c>
      <c r="F882" s="68">
        <v>1.8</v>
      </c>
      <c r="G882" s="67">
        <f t="shared" si="34"/>
        <v>-0.72</v>
      </c>
      <c r="H882" s="930"/>
      <c r="I882" s="1227"/>
    </row>
    <row r="883" spans="1:9" s="78" customFormat="1" ht="18" customHeight="1">
      <c r="A883" s="75"/>
      <c r="B883" s="63" t="s">
        <v>1058</v>
      </c>
      <c r="C883" s="70">
        <v>-2</v>
      </c>
      <c r="D883" s="68">
        <v>0.8</v>
      </c>
      <c r="E883" s="68">
        <v>0.2</v>
      </c>
      <c r="F883" s="68">
        <v>1.8</v>
      </c>
      <c r="G883" s="67">
        <f t="shared" si="34"/>
        <v>-0.57999999999999996</v>
      </c>
      <c r="H883" s="930"/>
      <c r="I883" s="1227"/>
    </row>
    <row r="884" spans="1:9" s="78" customFormat="1" ht="18" customHeight="1">
      <c r="A884" s="75"/>
      <c r="B884" s="63" t="s">
        <v>1059</v>
      </c>
      <c r="C884" s="70">
        <v>-2</v>
      </c>
      <c r="D884" s="68">
        <v>0.6</v>
      </c>
      <c r="E884" s="68">
        <v>0.2</v>
      </c>
      <c r="F884" s="68">
        <v>0.6</v>
      </c>
      <c r="G884" s="67">
        <f t="shared" si="34"/>
        <v>-0.14000000000000001</v>
      </c>
      <c r="H884" s="930"/>
      <c r="I884" s="1227"/>
    </row>
    <row r="885" spans="1:9" s="78" customFormat="1" ht="18" customHeight="1">
      <c r="A885" s="75"/>
      <c r="B885" s="63" t="s">
        <v>1974</v>
      </c>
      <c r="C885" s="70">
        <v>1</v>
      </c>
      <c r="D885" s="68">
        <v>7.88</v>
      </c>
      <c r="E885" s="68">
        <v>0.2</v>
      </c>
      <c r="F885" s="68">
        <v>2.9750000000000001</v>
      </c>
      <c r="G885" s="67">
        <f t="shared" si="34"/>
        <v>4.6900000000000004</v>
      </c>
      <c r="H885" s="930"/>
      <c r="I885" s="1227"/>
    </row>
    <row r="886" spans="1:9" s="78" customFormat="1" ht="18" customHeight="1">
      <c r="A886" s="75"/>
      <c r="B886" s="63" t="s">
        <v>1975</v>
      </c>
      <c r="C886" s="70">
        <v>1</v>
      </c>
      <c r="D886" s="68">
        <f>1.525+3.075+1.6-0.275-0.2</f>
        <v>5.7249999999999988</v>
      </c>
      <c r="E886" s="68">
        <v>0.2</v>
      </c>
      <c r="F886" s="68">
        <v>2.9750000000000001</v>
      </c>
      <c r="G886" s="67">
        <f t="shared" si="34"/>
        <v>3.41</v>
      </c>
      <c r="H886" s="930"/>
      <c r="I886" s="1227"/>
    </row>
    <row r="887" spans="1:9" s="78" customFormat="1" ht="18" customHeight="1">
      <c r="A887" s="75"/>
      <c r="B887" s="63" t="s">
        <v>1060</v>
      </c>
      <c r="C887" s="70">
        <v>1</v>
      </c>
      <c r="D887" s="68">
        <v>3.25</v>
      </c>
      <c r="E887" s="68">
        <v>0.2</v>
      </c>
      <c r="F887" s="68">
        <v>2.9750000000000001</v>
      </c>
      <c r="G887" s="67">
        <f t="shared" si="34"/>
        <v>1.93</v>
      </c>
      <c r="H887" s="930"/>
      <c r="I887" s="1227"/>
    </row>
    <row r="888" spans="1:9" s="78" customFormat="1" ht="18" customHeight="1">
      <c r="A888" s="75"/>
      <c r="B888" s="63" t="s">
        <v>1061</v>
      </c>
      <c r="C888" s="70">
        <v>-1</v>
      </c>
      <c r="D888" s="68">
        <v>1</v>
      </c>
      <c r="E888" s="68">
        <v>0.2</v>
      </c>
      <c r="F888" s="68">
        <v>2.1</v>
      </c>
      <c r="G888" s="67">
        <f t="shared" si="34"/>
        <v>-0.42</v>
      </c>
      <c r="H888" s="930"/>
      <c r="I888" s="1227"/>
    </row>
    <row r="889" spans="1:9" s="78" customFormat="1" ht="18" customHeight="1">
      <c r="A889" s="75"/>
      <c r="B889" s="64" t="s">
        <v>1062</v>
      </c>
      <c r="C889" s="70"/>
      <c r="D889" s="68"/>
      <c r="E889" s="68"/>
      <c r="F889" s="68"/>
      <c r="G889" s="67" t="str">
        <f t="shared" si="34"/>
        <v xml:space="preserve"> </v>
      </c>
      <c r="H889" s="930"/>
      <c r="I889" s="1227"/>
    </row>
    <row r="890" spans="1:9" s="78" customFormat="1" ht="18" customHeight="1">
      <c r="A890" s="75"/>
      <c r="B890" s="63" t="s">
        <v>1063</v>
      </c>
      <c r="C890" s="70">
        <v>1</v>
      </c>
      <c r="D890" s="68">
        <v>18.399999999999999</v>
      </c>
      <c r="E890" s="68">
        <v>0.2</v>
      </c>
      <c r="F890" s="68">
        <v>2.9750000000000001</v>
      </c>
      <c r="G890" s="67">
        <f t="shared" si="34"/>
        <v>10.95</v>
      </c>
      <c r="H890" s="930"/>
      <c r="I890" s="1227"/>
    </row>
    <row r="891" spans="1:9" s="78" customFormat="1" ht="18" customHeight="1">
      <c r="A891" s="75"/>
      <c r="B891" s="63" t="s">
        <v>1064</v>
      </c>
      <c r="C891" s="70">
        <v>-1</v>
      </c>
      <c r="D891" s="68">
        <v>1.2</v>
      </c>
      <c r="E891" s="68">
        <v>0.2</v>
      </c>
      <c r="F891" s="68">
        <v>2.1</v>
      </c>
      <c r="G891" s="67">
        <f t="shared" si="34"/>
        <v>-0.5</v>
      </c>
      <c r="H891" s="930"/>
      <c r="I891" s="1227"/>
    </row>
    <row r="892" spans="1:9" s="78" customFormat="1" ht="18" customHeight="1">
      <c r="A892" s="75"/>
      <c r="B892" s="63" t="s">
        <v>1065</v>
      </c>
      <c r="C892" s="70">
        <v>-3</v>
      </c>
      <c r="D892" s="68">
        <v>1</v>
      </c>
      <c r="E892" s="68">
        <v>0.2</v>
      </c>
      <c r="F892" s="68">
        <v>1.8</v>
      </c>
      <c r="G892" s="67">
        <f t="shared" si="34"/>
        <v>-1.08</v>
      </c>
      <c r="H892" s="930"/>
      <c r="I892" s="1227"/>
    </row>
    <row r="893" spans="1:9" s="78" customFormat="1" ht="18" customHeight="1">
      <c r="A893" s="75"/>
      <c r="B893" s="63" t="s">
        <v>1066</v>
      </c>
      <c r="C893" s="70">
        <v>-1</v>
      </c>
      <c r="D893" s="68">
        <v>3</v>
      </c>
      <c r="E893" s="68">
        <v>0.2</v>
      </c>
      <c r="F893" s="68">
        <v>1.8</v>
      </c>
      <c r="G893" s="67">
        <f t="shared" si="34"/>
        <v>-1.08</v>
      </c>
      <c r="H893" s="930"/>
      <c r="I893" s="1227"/>
    </row>
    <row r="894" spans="1:9" s="78" customFormat="1" ht="18" customHeight="1">
      <c r="A894" s="75"/>
      <c r="B894" s="63" t="s">
        <v>1067</v>
      </c>
      <c r="C894" s="70">
        <v>1</v>
      </c>
      <c r="D894" s="68">
        <v>10.275</v>
      </c>
      <c r="E894" s="68">
        <v>0.2</v>
      </c>
      <c r="F894" s="68">
        <v>2.9750000000000001</v>
      </c>
      <c r="G894" s="67">
        <f t="shared" si="34"/>
        <v>6.11</v>
      </c>
      <c r="H894" s="930"/>
      <c r="I894" s="1227"/>
    </row>
    <row r="895" spans="1:9" s="78" customFormat="1" ht="18" customHeight="1">
      <c r="A895" s="75"/>
      <c r="B895" s="63" t="s">
        <v>1051</v>
      </c>
      <c r="C895" s="70">
        <v>-3</v>
      </c>
      <c r="D895" s="68">
        <v>1</v>
      </c>
      <c r="E895" s="68">
        <v>0.2</v>
      </c>
      <c r="F895" s="68">
        <v>1.8</v>
      </c>
      <c r="G895" s="67">
        <f t="shared" si="34"/>
        <v>-1.08</v>
      </c>
      <c r="H895" s="930"/>
      <c r="I895" s="1227"/>
    </row>
    <row r="896" spans="1:9" s="78" customFormat="1" ht="18" customHeight="1">
      <c r="A896" s="75"/>
      <c r="B896" s="63" t="s">
        <v>1976</v>
      </c>
      <c r="C896" s="70">
        <v>1</v>
      </c>
      <c r="D896" s="68">
        <f>1.425+3.175-0.38</f>
        <v>4.22</v>
      </c>
      <c r="E896" s="68">
        <v>0.2</v>
      </c>
      <c r="F896" s="68">
        <v>2.9750000000000001</v>
      </c>
      <c r="G896" s="67">
        <f t="shared" si="34"/>
        <v>2.5099999999999998</v>
      </c>
      <c r="H896" s="930"/>
      <c r="I896" s="1227"/>
    </row>
    <row r="897" spans="1:9" s="78" customFormat="1" ht="18" customHeight="1">
      <c r="A897" s="75"/>
      <c r="B897" s="63" t="s">
        <v>1605</v>
      </c>
      <c r="C897" s="70">
        <v>1</v>
      </c>
      <c r="D897" s="68">
        <f>2.725+1.875-0.38</f>
        <v>4.22</v>
      </c>
      <c r="E897" s="68">
        <v>0.2</v>
      </c>
      <c r="F897" s="68">
        <v>2.9750000000000001</v>
      </c>
      <c r="G897" s="67">
        <f t="shared" si="34"/>
        <v>2.5099999999999998</v>
      </c>
      <c r="H897" s="930"/>
      <c r="I897" s="1227"/>
    </row>
    <row r="898" spans="1:9" s="78" customFormat="1" ht="18" customHeight="1">
      <c r="A898" s="75"/>
      <c r="B898" s="63" t="s">
        <v>1977</v>
      </c>
      <c r="C898" s="70">
        <v>1</v>
      </c>
      <c r="D898" s="68">
        <f>1.425+3.175-0.38</f>
        <v>4.22</v>
      </c>
      <c r="E898" s="68">
        <v>0.2</v>
      </c>
      <c r="F898" s="68">
        <v>2.9750000000000001</v>
      </c>
      <c r="G898" s="67">
        <f t="shared" si="34"/>
        <v>2.5099999999999998</v>
      </c>
      <c r="H898" s="930"/>
      <c r="I898" s="1227"/>
    </row>
    <row r="899" spans="1:9" s="78" customFormat="1" ht="18" customHeight="1">
      <c r="A899" s="75"/>
      <c r="B899" s="63" t="s">
        <v>1978</v>
      </c>
      <c r="C899" s="70">
        <v>1</v>
      </c>
      <c r="D899" s="68">
        <f>2.725+1.875-0.38</f>
        <v>4.22</v>
      </c>
      <c r="E899" s="68">
        <v>0.2</v>
      </c>
      <c r="F899" s="68">
        <v>2.9750000000000001</v>
      </c>
      <c r="G899" s="67">
        <f t="shared" si="34"/>
        <v>2.5099999999999998</v>
      </c>
      <c r="H899" s="930"/>
      <c r="I899" s="1227"/>
    </row>
    <row r="900" spans="1:9" s="78" customFormat="1" ht="18" customHeight="1">
      <c r="A900" s="75"/>
      <c r="B900" s="63" t="s">
        <v>1979</v>
      </c>
      <c r="C900" s="70">
        <v>1</v>
      </c>
      <c r="D900" s="68">
        <v>2.25</v>
      </c>
      <c r="E900" s="68">
        <v>0.2</v>
      </c>
      <c r="F900" s="68">
        <v>2.9750000000000001</v>
      </c>
      <c r="G900" s="67">
        <f t="shared" ref="G900:G963" si="35">IF(C900&lt;&gt;0,ROUND(PRODUCT(D900:F900)*C900,2)," ")</f>
        <v>1.34</v>
      </c>
      <c r="H900" s="930"/>
      <c r="I900" s="1227"/>
    </row>
    <row r="901" spans="1:9" s="78" customFormat="1" ht="18" customHeight="1">
      <c r="A901" s="75"/>
      <c r="B901" s="63" t="s">
        <v>1068</v>
      </c>
      <c r="C901" s="70">
        <v>1</v>
      </c>
      <c r="D901" s="68">
        <v>3.25</v>
      </c>
      <c r="E901" s="68">
        <v>0.2</v>
      </c>
      <c r="F901" s="68">
        <v>2.9750000000000001</v>
      </c>
      <c r="G901" s="67">
        <f t="shared" si="35"/>
        <v>1.93</v>
      </c>
      <c r="H901" s="930"/>
      <c r="I901" s="1227"/>
    </row>
    <row r="902" spans="1:9" s="78" customFormat="1" ht="18" customHeight="1">
      <c r="A902" s="75"/>
      <c r="B902" s="63" t="s">
        <v>1069</v>
      </c>
      <c r="C902" s="70">
        <v>-1</v>
      </c>
      <c r="D902" s="68">
        <v>1.8</v>
      </c>
      <c r="E902" s="68">
        <v>0.2</v>
      </c>
      <c r="F902" s="68">
        <v>2.1</v>
      </c>
      <c r="G902" s="67">
        <f t="shared" si="35"/>
        <v>-0.76</v>
      </c>
      <c r="H902" s="930"/>
      <c r="I902" s="1227"/>
    </row>
    <row r="903" spans="1:9" ht="18" customHeight="1">
      <c r="A903" s="75"/>
      <c r="B903" s="63" t="s">
        <v>1070</v>
      </c>
      <c r="C903" s="70"/>
      <c r="D903" s="68"/>
      <c r="E903" s="68"/>
      <c r="F903" s="68"/>
      <c r="G903" s="67" t="str">
        <f t="shared" si="35"/>
        <v xml:space="preserve"> </v>
      </c>
      <c r="H903" s="930"/>
    </row>
    <row r="904" spans="1:9" ht="18" customHeight="1">
      <c r="A904" s="75"/>
      <c r="B904" s="63" t="s">
        <v>1071</v>
      </c>
      <c r="C904" s="70">
        <v>1</v>
      </c>
      <c r="D904" s="68">
        <v>5.0999999999999996</v>
      </c>
      <c r="E904" s="68">
        <v>0.2</v>
      </c>
      <c r="F904" s="68">
        <v>2.9750000000000001</v>
      </c>
      <c r="G904" s="67">
        <f t="shared" si="35"/>
        <v>3.03</v>
      </c>
      <c r="H904" s="930"/>
    </row>
    <row r="905" spans="1:9" s="78" customFormat="1" ht="18" customHeight="1">
      <c r="A905" s="75"/>
      <c r="B905" s="63" t="s">
        <v>1072</v>
      </c>
      <c r="C905" s="70">
        <v>-1</v>
      </c>
      <c r="D905" s="68">
        <v>1.2</v>
      </c>
      <c r="E905" s="68">
        <v>0.2</v>
      </c>
      <c r="F905" s="68">
        <v>2.1</v>
      </c>
      <c r="G905" s="67">
        <f t="shared" si="35"/>
        <v>-0.5</v>
      </c>
      <c r="H905" s="930"/>
      <c r="I905" s="1227"/>
    </row>
    <row r="906" spans="1:9" ht="18" customHeight="1">
      <c r="A906" s="75"/>
      <c r="B906" s="63" t="s">
        <v>1073</v>
      </c>
      <c r="C906" s="70">
        <v>1</v>
      </c>
      <c r="D906" s="68">
        <v>3.3</v>
      </c>
      <c r="E906" s="68">
        <v>0.2</v>
      </c>
      <c r="F906" s="68">
        <v>2.9750000000000001</v>
      </c>
      <c r="G906" s="67">
        <f t="shared" si="35"/>
        <v>1.96</v>
      </c>
      <c r="H906" s="930"/>
    </row>
    <row r="907" spans="1:9" ht="18" customHeight="1">
      <c r="A907" s="75"/>
      <c r="B907" s="63" t="s">
        <v>1074</v>
      </c>
      <c r="C907" s="70">
        <v>1</v>
      </c>
      <c r="D907" s="68">
        <v>3.3</v>
      </c>
      <c r="E907" s="68">
        <v>0.2</v>
      </c>
      <c r="F907" s="68">
        <v>0.95</v>
      </c>
      <c r="G907" s="67">
        <f t="shared" si="35"/>
        <v>0.63</v>
      </c>
      <c r="H907" s="930"/>
    </row>
    <row r="908" spans="1:9" s="78" customFormat="1" ht="18" customHeight="1">
      <c r="A908" s="75"/>
      <c r="B908" s="63" t="s">
        <v>1075</v>
      </c>
      <c r="C908" s="70">
        <v>-1</v>
      </c>
      <c r="D908" s="68">
        <v>1.5</v>
      </c>
      <c r="E908" s="68">
        <v>0.2</v>
      </c>
      <c r="F908" s="68">
        <v>1.1000000000000001</v>
      </c>
      <c r="G908" s="67">
        <f t="shared" si="35"/>
        <v>-0.33</v>
      </c>
      <c r="H908" s="930"/>
      <c r="I908" s="1227"/>
    </row>
    <row r="909" spans="1:9" s="78" customFormat="1" ht="18" customHeight="1">
      <c r="A909" s="75"/>
      <c r="B909" s="64" t="s">
        <v>1076</v>
      </c>
      <c r="C909" s="70"/>
      <c r="D909" s="68"/>
      <c r="E909" s="68"/>
      <c r="F909" s="68"/>
      <c r="G909" s="67" t="str">
        <f t="shared" si="35"/>
        <v xml:space="preserve"> </v>
      </c>
      <c r="H909" s="930"/>
      <c r="I909" s="1227"/>
    </row>
    <row r="910" spans="1:9" s="78" customFormat="1" ht="18" customHeight="1">
      <c r="A910" s="75"/>
      <c r="B910" s="63" t="s">
        <v>1980</v>
      </c>
      <c r="C910" s="70">
        <v>1</v>
      </c>
      <c r="D910" s="68">
        <v>7.88</v>
      </c>
      <c r="E910" s="68">
        <v>0.2</v>
      </c>
      <c r="F910" s="68">
        <v>2.9750000000000001</v>
      </c>
      <c r="G910" s="67">
        <f t="shared" si="35"/>
        <v>4.6900000000000004</v>
      </c>
      <c r="H910" s="930"/>
      <c r="I910" s="1227"/>
    </row>
    <row r="911" spans="1:9" s="78" customFormat="1" ht="18" customHeight="1">
      <c r="A911" s="75"/>
      <c r="B911" s="63" t="s">
        <v>1981</v>
      </c>
      <c r="C911" s="70">
        <v>1</v>
      </c>
      <c r="D911" s="68">
        <v>6.5</v>
      </c>
      <c r="E911" s="68">
        <v>0.2</v>
      </c>
      <c r="F911" s="68">
        <v>2.9750000000000001</v>
      </c>
      <c r="G911" s="67">
        <f t="shared" si="35"/>
        <v>3.87</v>
      </c>
      <c r="H911" s="930"/>
      <c r="I911" s="1227"/>
    </row>
    <row r="912" spans="1:9" s="78" customFormat="1" ht="18" customHeight="1">
      <c r="A912" s="75"/>
      <c r="B912" s="63" t="s">
        <v>1982</v>
      </c>
      <c r="C912" s="70">
        <v>1</v>
      </c>
      <c r="D912" s="68">
        <v>4.9000000000000004</v>
      </c>
      <c r="E912" s="68">
        <v>0.2</v>
      </c>
      <c r="F912" s="68">
        <v>2.9750000000000001</v>
      </c>
      <c r="G912" s="67">
        <f t="shared" si="35"/>
        <v>2.92</v>
      </c>
      <c r="H912" s="930"/>
      <c r="I912" s="1227"/>
    </row>
    <row r="913" spans="1:9" s="78" customFormat="1" ht="18" customHeight="1">
      <c r="A913" s="75"/>
      <c r="B913" s="63" t="s">
        <v>1077</v>
      </c>
      <c r="C913" s="70">
        <v>1</v>
      </c>
      <c r="D913" s="68">
        <v>0.8</v>
      </c>
      <c r="E913" s="68">
        <v>0.2</v>
      </c>
      <c r="F913" s="68">
        <v>2.9750000000000001</v>
      </c>
      <c r="G913" s="67">
        <f t="shared" si="35"/>
        <v>0.48</v>
      </c>
      <c r="H913" s="930"/>
      <c r="I913" s="1227"/>
    </row>
    <row r="914" spans="1:9" s="78" customFormat="1" ht="18" customHeight="1">
      <c r="A914" s="75"/>
      <c r="B914" s="63" t="s">
        <v>1078</v>
      </c>
      <c r="C914" s="70">
        <v>-1</v>
      </c>
      <c r="D914" s="68">
        <v>0.9</v>
      </c>
      <c r="E914" s="68">
        <v>0.2</v>
      </c>
      <c r="F914" s="68">
        <v>2</v>
      </c>
      <c r="G914" s="67">
        <f t="shared" si="35"/>
        <v>-0.36</v>
      </c>
      <c r="H914" s="930"/>
      <c r="I914" s="1227"/>
    </row>
    <row r="915" spans="1:9" s="78" customFormat="1" ht="18" customHeight="1">
      <c r="A915" s="75"/>
      <c r="B915" s="63" t="s">
        <v>1079</v>
      </c>
      <c r="C915" s="70">
        <v>1</v>
      </c>
      <c r="D915" s="68">
        <v>3</v>
      </c>
      <c r="E915" s="68">
        <v>0.2</v>
      </c>
      <c r="F915" s="68">
        <v>2.9750000000000001</v>
      </c>
      <c r="G915" s="67">
        <f t="shared" si="35"/>
        <v>1.79</v>
      </c>
      <c r="H915" s="930"/>
      <c r="I915" s="1227"/>
    </row>
    <row r="916" spans="1:9" s="78" customFormat="1" ht="18" customHeight="1">
      <c r="A916" s="75"/>
      <c r="B916" s="63" t="s">
        <v>1080</v>
      </c>
      <c r="C916" s="70">
        <v>-1</v>
      </c>
      <c r="D916" s="68">
        <v>1.2</v>
      </c>
      <c r="E916" s="68">
        <v>0.2</v>
      </c>
      <c r="F916" s="68">
        <v>2.1</v>
      </c>
      <c r="G916" s="67">
        <f t="shared" si="35"/>
        <v>-0.5</v>
      </c>
      <c r="H916" s="930"/>
      <c r="I916" s="1227"/>
    </row>
    <row r="917" spans="1:9" s="78" customFormat="1" ht="18" customHeight="1">
      <c r="A917" s="75"/>
      <c r="B917" s="63" t="s">
        <v>1081</v>
      </c>
      <c r="C917" s="70">
        <v>1</v>
      </c>
      <c r="D917" s="68">
        <v>12.75</v>
      </c>
      <c r="E917" s="68">
        <v>0.2</v>
      </c>
      <c r="F917" s="68">
        <v>2.95</v>
      </c>
      <c r="G917" s="67">
        <f t="shared" si="35"/>
        <v>7.52</v>
      </c>
      <c r="H917" s="930"/>
      <c r="I917" s="1227"/>
    </row>
    <row r="918" spans="1:9" s="78" customFormat="1" ht="18" customHeight="1">
      <c r="A918" s="75"/>
      <c r="B918" s="63" t="s">
        <v>1051</v>
      </c>
      <c r="C918" s="70">
        <v>-4</v>
      </c>
      <c r="D918" s="68">
        <v>1</v>
      </c>
      <c r="E918" s="68">
        <v>0.2</v>
      </c>
      <c r="F918" s="68">
        <v>1.8</v>
      </c>
      <c r="G918" s="67">
        <f t="shared" si="35"/>
        <v>-1.44</v>
      </c>
      <c r="H918" s="930"/>
      <c r="I918" s="1227"/>
    </row>
    <row r="919" spans="1:9" s="78" customFormat="1" ht="18" customHeight="1">
      <c r="A919" s="75"/>
      <c r="B919" s="63" t="s">
        <v>1082</v>
      </c>
      <c r="C919" s="70">
        <v>1</v>
      </c>
      <c r="D919" s="68">
        <f>6.45+6.45-0.1</f>
        <v>12.8</v>
      </c>
      <c r="E919" s="68">
        <v>0.2</v>
      </c>
      <c r="F919" s="68">
        <v>2.95</v>
      </c>
      <c r="G919" s="67">
        <f t="shared" si="35"/>
        <v>7.55</v>
      </c>
      <c r="H919" s="930"/>
      <c r="I919" s="1227"/>
    </row>
    <row r="920" spans="1:9" s="78" customFormat="1" ht="18" customHeight="1">
      <c r="A920" s="75"/>
      <c r="B920" s="63" t="s">
        <v>1051</v>
      </c>
      <c r="C920" s="70">
        <v>-2</v>
      </c>
      <c r="D920" s="68">
        <v>1</v>
      </c>
      <c r="E920" s="68">
        <v>0.2</v>
      </c>
      <c r="F920" s="68">
        <v>1.8</v>
      </c>
      <c r="G920" s="67">
        <f t="shared" si="35"/>
        <v>-0.72</v>
      </c>
      <c r="H920" s="930"/>
      <c r="I920" s="1227"/>
    </row>
    <row r="921" spans="1:9" s="78" customFormat="1" ht="18" customHeight="1">
      <c r="A921" s="75"/>
      <c r="B921" s="63" t="s">
        <v>1083</v>
      </c>
      <c r="C921" s="70">
        <v>-1</v>
      </c>
      <c r="D921" s="68">
        <v>1</v>
      </c>
      <c r="E921" s="68">
        <v>0.2</v>
      </c>
      <c r="F921" s="68">
        <v>1.8</v>
      </c>
      <c r="G921" s="67">
        <f t="shared" si="35"/>
        <v>-0.36</v>
      </c>
      <c r="H921" s="930"/>
      <c r="I921" s="1227"/>
    </row>
    <row r="922" spans="1:9" s="78" customFormat="1" ht="18" customHeight="1">
      <c r="A922" s="75"/>
      <c r="B922" s="63" t="s">
        <v>1059</v>
      </c>
      <c r="C922" s="70">
        <v>-1</v>
      </c>
      <c r="D922" s="68">
        <v>0.6</v>
      </c>
      <c r="E922" s="68">
        <v>0.2</v>
      </c>
      <c r="F922" s="68">
        <v>0.6</v>
      </c>
      <c r="G922" s="67">
        <f t="shared" si="35"/>
        <v>-7.0000000000000007E-2</v>
      </c>
      <c r="H922" s="930"/>
      <c r="I922" s="1227"/>
    </row>
    <row r="923" spans="1:9" s="78" customFormat="1" ht="18" customHeight="1">
      <c r="A923" s="75"/>
      <c r="B923" s="64" t="s">
        <v>1084</v>
      </c>
      <c r="C923" s="70"/>
      <c r="D923" s="68"/>
      <c r="E923" s="68"/>
      <c r="F923" s="68"/>
      <c r="G923" s="67" t="str">
        <f t="shared" si="35"/>
        <v xml:space="preserve"> </v>
      </c>
      <c r="H923" s="930"/>
      <c r="I923" s="1227"/>
    </row>
    <row r="924" spans="1:9" s="78" customFormat="1" ht="18" customHeight="1">
      <c r="A924" s="75"/>
      <c r="B924" s="406" t="s">
        <v>1085</v>
      </c>
      <c r="C924" s="70">
        <v>1</v>
      </c>
      <c r="D924" s="68">
        <v>3.194</v>
      </c>
      <c r="E924" s="68">
        <v>0.2</v>
      </c>
      <c r="F924" s="68">
        <f>3.15-0.2</f>
        <v>2.9499999999999997</v>
      </c>
      <c r="G924" s="67">
        <f t="shared" si="35"/>
        <v>1.88</v>
      </c>
      <c r="H924" s="930"/>
      <c r="I924" s="1227"/>
    </row>
    <row r="925" spans="1:9" s="78" customFormat="1" ht="18" customHeight="1">
      <c r="A925" s="75"/>
      <c r="B925" s="406" t="s">
        <v>941</v>
      </c>
      <c r="C925" s="70">
        <v>-1</v>
      </c>
      <c r="D925" s="68">
        <v>1</v>
      </c>
      <c r="E925" s="68">
        <v>0.2</v>
      </c>
      <c r="F925" s="68">
        <v>1.8</v>
      </c>
      <c r="G925" s="67">
        <f t="shared" si="35"/>
        <v>-0.36</v>
      </c>
      <c r="H925" s="930"/>
      <c r="I925" s="1227"/>
    </row>
    <row r="926" spans="1:9" s="78" customFormat="1" ht="18" customHeight="1">
      <c r="A926" s="75"/>
      <c r="B926" s="406" t="s">
        <v>1599</v>
      </c>
      <c r="C926" s="70">
        <v>1</v>
      </c>
      <c r="D926" s="68">
        <v>4.4089999999999998</v>
      </c>
      <c r="E926" s="68">
        <v>0.2</v>
      </c>
      <c r="F926" s="68">
        <f>3.15-0.2</f>
        <v>2.9499999999999997</v>
      </c>
      <c r="G926" s="67">
        <f t="shared" si="35"/>
        <v>2.6</v>
      </c>
      <c r="H926" s="930"/>
      <c r="I926" s="1227"/>
    </row>
    <row r="927" spans="1:9" s="78" customFormat="1" ht="18" customHeight="1">
      <c r="A927" s="75"/>
      <c r="B927" s="63" t="s">
        <v>1086</v>
      </c>
      <c r="C927" s="70">
        <v>1</v>
      </c>
      <c r="D927" s="68">
        <f>6.45+6.4+6.4+3.25+0.1-0.1</f>
        <v>22.5</v>
      </c>
      <c r="E927" s="68">
        <v>0.2</v>
      </c>
      <c r="F927" s="68">
        <f>3.15-0.2</f>
        <v>2.9499999999999997</v>
      </c>
      <c r="G927" s="67">
        <f t="shared" si="35"/>
        <v>13.28</v>
      </c>
      <c r="H927" s="930"/>
      <c r="I927" s="1227"/>
    </row>
    <row r="928" spans="1:9" s="78" customFormat="1" ht="18" customHeight="1">
      <c r="A928" s="75"/>
      <c r="B928" s="409" t="s">
        <v>943</v>
      </c>
      <c r="C928" s="70">
        <v>-7</v>
      </c>
      <c r="D928" s="68">
        <v>1</v>
      </c>
      <c r="E928" s="68">
        <v>0.2</v>
      </c>
      <c r="F928" s="68">
        <v>1.8</v>
      </c>
      <c r="G928" s="67">
        <f t="shared" si="35"/>
        <v>-2.52</v>
      </c>
      <c r="H928" s="930"/>
      <c r="I928" s="1227"/>
    </row>
    <row r="929" spans="1:9" s="78" customFormat="1" ht="18" customHeight="1">
      <c r="A929" s="75"/>
      <c r="B929" s="63" t="s">
        <v>1983</v>
      </c>
      <c r="C929" s="70">
        <v>1</v>
      </c>
      <c r="D929" s="68">
        <v>4.218</v>
      </c>
      <c r="E929" s="68">
        <v>0.2</v>
      </c>
      <c r="F929" s="68">
        <v>2.9750000000000001</v>
      </c>
      <c r="G929" s="67">
        <f t="shared" si="35"/>
        <v>2.5099999999999998</v>
      </c>
      <c r="H929" s="930"/>
      <c r="I929" s="1227"/>
    </row>
    <row r="930" spans="1:9" s="78" customFormat="1" ht="18" customHeight="1">
      <c r="A930" s="75"/>
      <c r="B930" s="63" t="s">
        <v>1087</v>
      </c>
      <c r="C930" s="70">
        <v>1</v>
      </c>
      <c r="D930" s="68">
        <v>3.1840000000000002</v>
      </c>
      <c r="E930" s="68">
        <v>0.2</v>
      </c>
      <c r="F930" s="68">
        <v>2.9750000000000001</v>
      </c>
      <c r="G930" s="67">
        <f t="shared" si="35"/>
        <v>1.89</v>
      </c>
      <c r="H930" s="930"/>
      <c r="I930" s="1227"/>
    </row>
    <row r="931" spans="1:9" s="78" customFormat="1" ht="18" customHeight="1">
      <c r="A931" s="75"/>
      <c r="B931" s="63" t="s">
        <v>946</v>
      </c>
      <c r="C931" s="70">
        <v>-1</v>
      </c>
      <c r="D931" s="68">
        <v>2.85</v>
      </c>
      <c r="E931" s="68">
        <v>0.2</v>
      </c>
      <c r="F931" s="68">
        <v>1.2</v>
      </c>
      <c r="G931" s="67">
        <f t="shared" si="35"/>
        <v>-0.68</v>
      </c>
      <c r="H931" s="930"/>
      <c r="I931" s="1227"/>
    </row>
    <row r="932" spans="1:9" s="78" customFormat="1" ht="18" customHeight="1">
      <c r="A932" s="75"/>
      <c r="B932" s="63" t="s">
        <v>1088</v>
      </c>
      <c r="C932" s="70">
        <v>1</v>
      </c>
      <c r="D932" s="68">
        <v>14.433999999999999</v>
      </c>
      <c r="E932" s="68">
        <v>0.2</v>
      </c>
      <c r="F932" s="68">
        <v>2.9750000000000001</v>
      </c>
      <c r="G932" s="67">
        <f t="shared" si="35"/>
        <v>8.59</v>
      </c>
      <c r="H932" s="930"/>
      <c r="I932" s="1227"/>
    </row>
    <row r="933" spans="1:9" s="78" customFormat="1" ht="18" customHeight="1">
      <c r="A933" s="75"/>
      <c r="B933" s="63" t="s">
        <v>948</v>
      </c>
      <c r="C933" s="70">
        <v>-4</v>
      </c>
      <c r="D933" s="68">
        <v>1</v>
      </c>
      <c r="E933" s="68">
        <v>0.2</v>
      </c>
      <c r="F933" s="68">
        <v>1.8</v>
      </c>
      <c r="G933" s="67">
        <f t="shared" si="35"/>
        <v>-1.44</v>
      </c>
      <c r="H933" s="930"/>
      <c r="I933" s="1227"/>
    </row>
    <row r="934" spans="1:9" s="78" customFormat="1" ht="18" customHeight="1">
      <c r="A934" s="75"/>
      <c r="B934" s="63" t="s">
        <v>949</v>
      </c>
      <c r="C934" s="70">
        <v>-1</v>
      </c>
      <c r="D934" s="68">
        <v>1</v>
      </c>
      <c r="E934" s="68">
        <v>0.2</v>
      </c>
      <c r="F934" s="68">
        <v>1.8</v>
      </c>
      <c r="G934" s="67">
        <f t="shared" si="35"/>
        <v>-0.36</v>
      </c>
      <c r="H934" s="930"/>
      <c r="I934" s="1227"/>
    </row>
    <row r="935" spans="1:9" s="78" customFormat="1" ht="18" customHeight="1">
      <c r="A935" s="75"/>
      <c r="B935" s="63" t="s">
        <v>1984</v>
      </c>
      <c r="C935" s="70">
        <v>1</v>
      </c>
      <c r="D935" s="68">
        <v>4.3949999999999996</v>
      </c>
      <c r="E935" s="68">
        <v>0.2</v>
      </c>
      <c r="F935" s="68">
        <v>2.9750000000000001</v>
      </c>
      <c r="G935" s="67">
        <f t="shared" si="35"/>
        <v>2.62</v>
      </c>
      <c r="H935" s="930"/>
      <c r="I935" s="1227"/>
    </row>
    <row r="936" spans="1:9" s="78" customFormat="1" ht="18" customHeight="1">
      <c r="A936" s="75"/>
      <c r="B936" s="63" t="s">
        <v>1985</v>
      </c>
      <c r="C936" s="70">
        <v>1</v>
      </c>
      <c r="D936" s="68">
        <f>3.25-0.1+0.1</f>
        <v>3.25</v>
      </c>
      <c r="E936" s="68">
        <v>0.2</v>
      </c>
      <c r="F936" s="68">
        <v>2.9750000000000001</v>
      </c>
      <c r="G936" s="67">
        <f t="shared" si="35"/>
        <v>1.93</v>
      </c>
      <c r="H936" s="930"/>
      <c r="I936" s="1227"/>
    </row>
    <row r="937" spans="1:9" s="78" customFormat="1" ht="18" customHeight="1">
      <c r="A937" s="75"/>
      <c r="B937" s="63" t="s">
        <v>1986</v>
      </c>
      <c r="C937" s="70">
        <v>1</v>
      </c>
      <c r="D937" s="68">
        <v>4.22</v>
      </c>
      <c r="E937" s="68">
        <v>0.2</v>
      </c>
      <c r="F937" s="68">
        <v>2.9750000000000001</v>
      </c>
      <c r="G937" s="67">
        <f t="shared" si="35"/>
        <v>2.5099999999999998</v>
      </c>
      <c r="H937" s="930"/>
      <c r="I937" s="1227"/>
    </row>
    <row r="938" spans="1:9" s="78" customFormat="1" ht="18" customHeight="1">
      <c r="A938" s="75"/>
      <c r="B938" s="63" t="s">
        <v>1987</v>
      </c>
      <c r="C938" s="70">
        <v>1</v>
      </c>
      <c r="D938" s="68">
        <v>2.91</v>
      </c>
      <c r="E938" s="68">
        <v>0.2</v>
      </c>
      <c r="F938" s="68">
        <v>2.9750000000000001</v>
      </c>
      <c r="G938" s="67">
        <f t="shared" si="35"/>
        <v>1.73</v>
      </c>
      <c r="H938" s="930"/>
      <c r="I938" s="1227"/>
    </row>
    <row r="939" spans="1:9" s="78" customFormat="1" ht="18" customHeight="1">
      <c r="A939" s="75"/>
      <c r="B939" s="63" t="s">
        <v>1988</v>
      </c>
      <c r="C939" s="70">
        <v>1</v>
      </c>
      <c r="D939" s="68">
        <v>3.3</v>
      </c>
      <c r="E939" s="68">
        <v>0.2</v>
      </c>
      <c r="F939" s="68">
        <v>2.9750000000000001</v>
      </c>
      <c r="G939" s="67">
        <f t="shared" si="35"/>
        <v>1.96</v>
      </c>
      <c r="H939" s="930"/>
      <c r="I939" s="1227"/>
    </row>
    <row r="940" spans="1:9" s="78" customFormat="1" ht="18" customHeight="1">
      <c r="A940" s="75"/>
      <c r="B940" s="63"/>
      <c r="C940" s="70">
        <v>1</v>
      </c>
      <c r="D940" s="68">
        <v>1.5</v>
      </c>
      <c r="E940" s="68">
        <v>0.2</v>
      </c>
      <c r="F940" s="68">
        <v>2.9750000000000001</v>
      </c>
      <c r="G940" s="67">
        <f t="shared" si="35"/>
        <v>0.89</v>
      </c>
      <c r="H940" s="930"/>
      <c r="I940" s="1227"/>
    </row>
    <row r="941" spans="1:9" s="78" customFormat="1" ht="18" customHeight="1">
      <c r="A941" s="75"/>
      <c r="B941" s="63" t="s">
        <v>1089</v>
      </c>
      <c r="C941" s="70">
        <v>1</v>
      </c>
      <c r="D941" s="68">
        <v>3.1</v>
      </c>
      <c r="E941" s="68">
        <v>0.2</v>
      </c>
      <c r="F941" s="68">
        <v>2.9750000000000001</v>
      </c>
      <c r="G941" s="67">
        <f t="shared" si="35"/>
        <v>1.84</v>
      </c>
      <c r="H941" s="930"/>
      <c r="I941" s="1227"/>
    </row>
    <row r="942" spans="1:9" s="78" customFormat="1" ht="18" customHeight="1">
      <c r="A942" s="75"/>
      <c r="B942" s="63" t="s">
        <v>951</v>
      </c>
      <c r="C942" s="70">
        <v>-1</v>
      </c>
      <c r="D942" s="68">
        <v>1</v>
      </c>
      <c r="E942" s="68">
        <v>0.2</v>
      </c>
      <c r="F942" s="68">
        <v>1.8</v>
      </c>
      <c r="G942" s="67">
        <f t="shared" si="35"/>
        <v>-0.36</v>
      </c>
      <c r="H942" s="930"/>
      <c r="I942" s="1227"/>
    </row>
    <row r="943" spans="1:9" s="78" customFormat="1" ht="18" customHeight="1">
      <c r="A943" s="75"/>
      <c r="B943" s="63" t="s">
        <v>1989</v>
      </c>
      <c r="C943" s="70">
        <v>1</v>
      </c>
      <c r="D943" s="68">
        <v>6.7039999999999997</v>
      </c>
      <c r="E943" s="68">
        <v>0.2</v>
      </c>
      <c r="F943" s="68">
        <v>2.9750000000000001</v>
      </c>
      <c r="G943" s="67">
        <f t="shared" si="35"/>
        <v>3.99</v>
      </c>
      <c r="H943" s="930"/>
      <c r="I943" s="1227"/>
    </row>
    <row r="944" spans="1:9" s="78" customFormat="1" ht="18" customHeight="1">
      <c r="A944" s="75"/>
      <c r="B944" s="63" t="s">
        <v>954</v>
      </c>
      <c r="C944" s="70"/>
      <c r="D944" s="68"/>
      <c r="E944" s="68"/>
      <c r="F944" s="68"/>
      <c r="G944" s="67" t="str">
        <f t="shared" si="35"/>
        <v xml:space="preserve"> </v>
      </c>
      <c r="H944" s="930"/>
      <c r="I944" s="1227"/>
    </row>
    <row r="945" spans="1:15" s="78" customFormat="1" ht="18" customHeight="1">
      <c r="A945" s="75"/>
      <c r="B945" s="63" t="s">
        <v>1090</v>
      </c>
      <c r="C945" s="70">
        <v>1</v>
      </c>
      <c r="D945" s="68">
        <f>3.175-0.2</f>
        <v>2.9749999999999996</v>
      </c>
      <c r="E945" s="68">
        <v>0.2</v>
      </c>
      <c r="F945" s="68">
        <v>2.9750000000000001</v>
      </c>
      <c r="G945" s="67">
        <f t="shared" si="35"/>
        <v>1.77</v>
      </c>
      <c r="H945" s="930"/>
      <c r="I945" s="1227"/>
    </row>
    <row r="946" spans="1:15" s="78" customFormat="1" ht="18" customHeight="1">
      <c r="A946" s="75"/>
      <c r="B946" s="63" t="s">
        <v>953</v>
      </c>
      <c r="C946" s="70">
        <v>-1</v>
      </c>
      <c r="D946" s="68">
        <v>1.2</v>
      </c>
      <c r="E946" s="68">
        <v>0.2</v>
      </c>
      <c r="F946" s="68">
        <v>2.1</v>
      </c>
      <c r="G946" s="67">
        <f t="shared" si="35"/>
        <v>-0.5</v>
      </c>
      <c r="H946" s="930"/>
      <c r="I946" s="1227"/>
    </row>
    <row r="947" spans="1:15" s="78" customFormat="1" ht="18" customHeight="1">
      <c r="A947" s="75"/>
      <c r="B947" s="63" t="s">
        <v>956</v>
      </c>
      <c r="C947" s="70">
        <v>-1</v>
      </c>
      <c r="D947" s="68">
        <v>0.9</v>
      </c>
      <c r="E947" s="68">
        <v>0.2</v>
      </c>
      <c r="F947" s="68">
        <v>2</v>
      </c>
      <c r="G947" s="67">
        <f t="shared" si="35"/>
        <v>-0.36</v>
      </c>
      <c r="H947" s="930"/>
      <c r="I947" s="1227"/>
    </row>
    <row r="948" spans="1:15" s="78" customFormat="1" ht="18" customHeight="1">
      <c r="A948" s="75"/>
      <c r="B948" s="63" t="s">
        <v>1990</v>
      </c>
      <c r="C948" s="70">
        <v>1</v>
      </c>
      <c r="D948" s="68">
        <v>0.94</v>
      </c>
      <c r="E948" s="68">
        <v>0.2</v>
      </c>
      <c r="F948" s="68">
        <v>2.9750000000000001</v>
      </c>
      <c r="G948" s="67">
        <f t="shared" si="35"/>
        <v>0.56000000000000005</v>
      </c>
      <c r="H948" s="930"/>
      <c r="I948" s="1227"/>
    </row>
    <row r="949" spans="1:15" s="78" customFormat="1" ht="18" customHeight="1">
      <c r="A949" s="75"/>
      <c r="B949" s="63"/>
      <c r="C949" s="70">
        <v>1</v>
      </c>
      <c r="D949" s="68">
        <f>3.175-0.1-0.1-1.2</f>
        <v>1.7749999999999997</v>
      </c>
      <c r="E949" s="68">
        <v>0.2</v>
      </c>
      <c r="F949" s="68">
        <v>2.9750000000000001</v>
      </c>
      <c r="G949" s="67">
        <f t="shared" si="35"/>
        <v>1.06</v>
      </c>
      <c r="H949" s="930"/>
      <c r="I949" s="1227"/>
    </row>
    <row r="950" spans="1:15" s="78" customFormat="1" ht="18" customHeight="1">
      <c r="A950" s="75"/>
      <c r="B950" s="607" t="s">
        <v>937</v>
      </c>
      <c r="C950" s="70"/>
      <c r="D950" s="68"/>
      <c r="E950" s="68"/>
      <c r="F950" s="68"/>
      <c r="G950" s="67" t="str">
        <f t="shared" si="35"/>
        <v xml:space="preserve"> </v>
      </c>
      <c r="H950" s="930"/>
      <c r="I950" s="1227"/>
    </row>
    <row r="951" spans="1:15" s="78" customFormat="1" ht="18" customHeight="1">
      <c r="A951" s="75"/>
      <c r="B951" s="607" t="s">
        <v>944</v>
      </c>
      <c r="C951" s="70"/>
      <c r="D951" s="68"/>
      <c r="E951" s="68"/>
      <c r="F951" s="68"/>
      <c r="G951" s="67" t="str">
        <f t="shared" si="35"/>
        <v xml:space="preserve"> </v>
      </c>
      <c r="H951" s="930"/>
      <c r="I951" s="1227"/>
    </row>
    <row r="952" spans="1:15" s="78" customFormat="1" ht="18" customHeight="1">
      <c r="A952" s="75"/>
      <c r="B952" s="406" t="s">
        <v>940</v>
      </c>
      <c r="C952" s="70">
        <v>1</v>
      </c>
      <c r="D952" s="68">
        <v>3.194</v>
      </c>
      <c r="E952" s="68">
        <v>0.2</v>
      </c>
      <c r="F952" s="68">
        <f>3.15-0.2</f>
        <v>2.9499999999999997</v>
      </c>
      <c r="G952" s="67">
        <f t="shared" si="35"/>
        <v>1.88</v>
      </c>
      <c r="H952" s="930"/>
      <c r="I952" s="1227"/>
    </row>
    <row r="953" spans="1:15" s="78" customFormat="1" ht="18" customHeight="1">
      <c r="A953" s="75"/>
      <c r="B953" s="406" t="s">
        <v>941</v>
      </c>
      <c r="C953" s="70">
        <v>-1</v>
      </c>
      <c r="D953" s="68">
        <v>1</v>
      </c>
      <c r="E953" s="68">
        <v>0.2</v>
      </c>
      <c r="F953" s="68">
        <v>1.8</v>
      </c>
      <c r="G953" s="67">
        <f t="shared" si="35"/>
        <v>-0.36</v>
      </c>
      <c r="H953" s="930"/>
      <c r="I953" s="1227"/>
    </row>
    <row r="954" spans="1:15" s="78" customFormat="1" ht="18" customHeight="1">
      <c r="A954" s="75"/>
      <c r="B954" s="406" t="s">
        <v>1596</v>
      </c>
      <c r="C954" s="70">
        <v>1</v>
      </c>
      <c r="D954" s="68">
        <v>4.4089999999999998</v>
      </c>
      <c r="E954" s="68">
        <v>0.2</v>
      </c>
      <c r="F954" s="68">
        <f>3.15-0.2</f>
        <v>2.9499999999999997</v>
      </c>
      <c r="G954" s="67">
        <f t="shared" si="35"/>
        <v>2.6</v>
      </c>
      <c r="H954" s="930"/>
      <c r="I954" s="1227"/>
      <c r="O954" s="220"/>
    </row>
    <row r="955" spans="1:15" s="78" customFormat="1" ht="18" customHeight="1">
      <c r="A955" s="75"/>
      <c r="B955" s="63" t="s">
        <v>942</v>
      </c>
      <c r="C955" s="70">
        <v>1</v>
      </c>
      <c r="D955" s="68">
        <f>6.45+6.4+6.4+3.25+0.1-0.1</f>
        <v>22.5</v>
      </c>
      <c r="E955" s="68">
        <v>0.2</v>
      </c>
      <c r="F955" s="68">
        <f>3.15-0.2</f>
        <v>2.9499999999999997</v>
      </c>
      <c r="G955" s="67">
        <f t="shared" si="35"/>
        <v>13.28</v>
      </c>
      <c r="H955" s="930"/>
      <c r="I955" s="1227"/>
    </row>
    <row r="956" spans="1:15" s="78" customFormat="1" ht="18" customHeight="1">
      <c r="A956" s="75"/>
      <c r="B956" s="409" t="s">
        <v>943</v>
      </c>
      <c r="C956" s="70">
        <v>-7</v>
      </c>
      <c r="D956" s="68">
        <v>1</v>
      </c>
      <c r="E956" s="68">
        <v>0.2</v>
      </c>
      <c r="F956" s="68">
        <v>1.8</v>
      </c>
      <c r="G956" s="67">
        <f t="shared" si="35"/>
        <v>-2.52</v>
      </c>
      <c r="H956" s="930"/>
      <c r="I956" s="1227"/>
    </row>
    <row r="957" spans="1:15" s="78" customFormat="1" ht="18" customHeight="1">
      <c r="A957" s="75"/>
      <c r="B957" s="63" t="s">
        <v>1913</v>
      </c>
      <c r="C957" s="70">
        <v>1</v>
      </c>
      <c r="D957" s="68">
        <v>4.218</v>
      </c>
      <c r="E957" s="68">
        <v>0.2</v>
      </c>
      <c r="F957" s="68">
        <v>2.9750000000000001</v>
      </c>
      <c r="G957" s="67">
        <f t="shared" si="35"/>
        <v>2.5099999999999998</v>
      </c>
      <c r="H957" s="930"/>
      <c r="I957" s="1227"/>
    </row>
    <row r="958" spans="1:15" s="78" customFormat="1" ht="18" customHeight="1">
      <c r="A958" s="75"/>
      <c r="B958" s="63" t="s">
        <v>945</v>
      </c>
      <c r="C958" s="70">
        <v>1</v>
      </c>
      <c r="D958" s="68">
        <v>3.1840000000000002</v>
      </c>
      <c r="E958" s="68">
        <v>0.2</v>
      </c>
      <c r="F958" s="68">
        <v>2.9750000000000001</v>
      </c>
      <c r="G958" s="67">
        <f t="shared" si="35"/>
        <v>1.89</v>
      </c>
      <c r="H958" s="930"/>
      <c r="I958" s="1227"/>
    </row>
    <row r="959" spans="1:15" s="78" customFormat="1" ht="18" customHeight="1">
      <c r="A959" s="75"/>
      <c r="B959" s="63" t="s">
        <v>946</v>
      </c>
      <c r="C959" s="70">
        <v>-1</v>
      </c>
      <c r="D959" s="68">
        <v>2.85</v>
      </c>
      <c r="E959" s="68">
        <v>0.2</v>
      </c>
      <c r="F959" s="68">
        <v>1.2</v>
      </c>
      <c r="G959" s="67">
        <f t="shared" si="35"/>
        <v>-0.68</v>
      </c>
      <c r="H959" s="930"/>
      <c r="I959" s="1227"/>
    </row>
    <row r="960" spans="1:15" s="78" customFormat="1" ht="18" customHeight="1">
      <c r="A960" s="75"/>
      <c r="B960" s="63" t="s">
        <v>947</v>
      </c>
      <c r="C960" s="70">
        <v>1</v>
      </c>
      <c r="D960" s="68">
        <v>14.433999999999999</v>
      </c>
      <c r="E960" s="68">
        <v>0.2</v>
      </c>
      <c r="F960" s="68">
        <v>2.9750000000000001</v>
      </c>
      <c r="G960" s="67">
        <f t="shared" si="35"/>
        <v>8.59</v>
      </c>
      <c r="H960" s="930"/>
      <c r="I960" s="1227"/>
    </row>
    <row r="961" spans="1:9" s="78" customFormat="1" ht="18" customHeight="1">
      <c r="A961" s="75"/>
      <c r="B961" s="63" t="s">
        <v>948</v>
      </c>
      <c r="C961" s="70">
        <v>-4</v>
      </c>
      <c r="D961" s="68">
        <v>1</v>
      </c>
      <c r="E961" s="68">
        <v>0.2</v>
      </c>
      <c r="F961" s="68">
        <v>1.8</v>
      </c>
      <c r="G961" s="67">
        <f t="shared" si="35"/>
        <v>-1.44</v>
      </c>
      <c r="H961" s="930"/>
      <c r="I961" s="1227"/>
    </row>
    <row r="962" spans="1:9" s="78" customFormat="1" ht="18" customHeight="1">
      <c r="A962" s="75"/>
      <c r="B962" s="63" t="s">
        <v>949</v>
      </c>
      <c r="C962" s="70">
        <v>-1</v>
      </c>
      <c r="D962" s="68">
        <v>1</v>
      </c>
      <c r="E962" s="68">
        <v>0.2</v>
      </c>
      <c r="F962" s="68">
        <v>1.8</v>
      </c>
      <c r="G962" s="67">
        <f t="shared" si="35"/>
        <v>-0.36</v>
      </c>
      <c r="H962" s="930"/>
      <c r="I962" s="1227"/>
    </row>
    <row r="963" spans="1:9" s="78" customFormat="1" ht="18" customHeight="1">
      <c r="A963" s="75"/>
      <c r="B963" s="63" t="s">
        <v>1914</v>
      </c>
      <c r="C963" s="70">
        <v>1</v>
      </c>
      <c r="D963" s="68">
        <v>4.218</v>
      </c>
      <c r="E963" s="68">
        <v>0.2</v>
      </c>
      <c r="F963" s="68">
        <v>2.9750000000000001</v>
      </c>
      <c r="G963" s="67">
        <f t="shared" si="35"/>
        <v>2.5099999999999998</v>
      </c>
      <c r="H963" s="930"/>
      <c r="I963" s="1227"/>
    </row>
    <row r="964" spans="1:9" s="78" customFormat="1" ht="18" customHeight="1">
      <c r="A964" s="75"/>
      <c r="B964" s="63" t="s">
        <v>1915</v>
      </c>
      <c r="C964" s="70">
        <v>1</v>
      </c>
      <c r="D964" s="68">
        <v>4.218</v>
      </c>
      <c r="E964" s="68">
        <v>0.2</v>
      </c>
      <c r="F964" s="68">
        <v>2.9750000000000001</v>
      </c>
      <c r="G964" s="67">
        <f t="shared" ref="G964:G1027" si="36">IF(C964&lt;&gt;0,ROUND(PRODUCT(D964:F964)*C964,2)," ")</f>
        <v>2.5099999999999998</v>
      </c>
      <c r="H964" s="930"/>
      <c r="I964" s="1227"/>
    </row>
    <row r="965" spans="1:9" s="78" customFormat="1" ht="18" customHeight="1">
      <c r="A965" s="75"/>
      <c r="B965" s="63" t="s">
        <v>1916</v>
      </c>
      <c r="C965" s="70">
        <v>1</v>
      </c>
      <c r="D965" s="68">
        <f>3.25-0.1+0.1</f>
        <v>3.25</v>
      </c>
      <c r="E965" s="68">
        <v>0.2</v>
      </c>
      <c r="F965" s="68">
        <v>2.9750000000000001</v>
      </c>
      <c r="G965" s="67">
        <f t="shared" si="36"/>
        <v>1.93</v>
      </c>
      <c r="H965" s="930"/>
      <c r="I965" s="1227"/>
    </row>
    <row r="966" spans="1:9" s="78" customFormat="1" ht="18" customHeight="1">
      <c r="A966" s="75"/>
      <c r="B966" s="63" t="s">
        <v>1917</v>
      </c>
      <c r="C966" s="70">
        <v>1</v>
      </c>
      <c r="D966" s="68">
        <v>4.22</v>
      </c>
      <c r="E966" s="68">
        <v>0.2</v>
      </c>
      <c r="F966" s="68">
        <v>2.9750000000000001</v>
      </c>
      <c r="G966" s="67">
        <f t="shared" si="36"/>
        <v>2.5099999999999998</v>
      </c>
      <c r="H966" s="930"/>
      <c r="I966" s="1227"/>
    </row>
    <row r="967" spans="1:9" s="78" customFormat="1" ht="18" customHeight="1">
      <c r="A967" s="75"/>
      <c r="B967" s="63" t="s">
        <v>1918</v>
      </c>
      <c r="C967" s="70">
        <v>1</v>
      </c>
      <c r="D967" s="68">
        <v>2.91</v>
      </c>
      <c r="E967" s="68">
        <v>0.2</v>
      </c>
      <c r="F967" s="68">
        <v>2.9750000000000001</v>
      </c>
      <c r="G967" s="67">
        <f t="shared" si="36"/>
        <v>1.73</v>
      </c>
      <c r="H967" s="930"/>
      <c r="I967" s="1227"/>
    </row>
    <row r="968" spans="1:9" s="78" customFormat="1" ht="18" customHeight="1">
      <c r="A968" s="75"/>
      <c r="B968" s="63" t="s">
        <v>1919</v>
      </c>
      <c r="C968" s="70">
        <v>1</v>
      </c>
      <c r="D968" s="68">
        <v>3.3</v>
      </c>
      <c r="E968" s="68">
        <v>0.2</v>
      </c>
      <c r="F968" s="68">
        <v>2.9750000000000001</v>
      </c>
      <c r="G968" s="67">
        <f t="shared" si="36"/>
        <v>1.96</v>
      </c>
      <c r="H968" s="930"/>
      <c r="I968" s="1227"/>
    </row>
    <row r="969" spans="1:9" s="78" customFormat="1" ht="18" customHeight="1">
      <c r="A969" s="75"/>
      <c r="B969" s="63"/>
      <c r="C969" s="70">
        <v>1</v>
      </c>
      <c r="D969" s="68">
        <v>1.5</v>
      </c>
      <c r="E969" s="68">
        <v>0.2</v>
      </c>
      <c r="F969" s="68">
        <v>2.9750000000000001</v>
      </c>
      <c r="G969" s="67">
        <f t="shared" si="36"/>
        <v>0.89</v>
      </c>
      <c r="H969" s="930"/>
      <c r="I969" s="1227"/>
    </row>
    <row r="970" spans="1:9" s="78" customFormat="1" ht="18" customHeight="1">
      <c r="A970" s="75"/>
      <c r="B970" s="63" t="s">
        <v>950</v>
      </c>
      <c r="C970" s="70">
        <v>1</v>
      </c>
      <c r="D970" s="68">
        <v>3.1</v>
      </c>
      <c r="E970" s="68">
        <v>0.2</v>
      </c>
      <c r="F970" s="68">
        <v>2.9750000000000001</v>
      </c>
      <c r="G970" s="67">
        <f t="shared" si="36"/>
        <v>1.84</v>
      </c>
      <c r="H970" s="930"/>
      <c r="I970" s="1227"/>
    </row>
    <row r="971" spans="1:9" s="78" customFormat="1" ht="18" customHeight="1">
      <c r="A971" s="75"/>
      <c r="B971" s="63" t="s">
        <v>951</v>
      </c>
      <c r="C971" s="70">
        <v>-1</v>
      </c>
      <c r="D971" s="68">
        <v>1</v>
      </c>
      <c r="E971" s="68">
        <v>0.2</v>
      </c>
      <c r="F971" s="68">
        <v>1.8</v>
      </c>
      <c r="G971" s="67">
        <f t="shared" si="36"/>
        <v>-0.36</v>
      </c>
      <c r="H971" s="930"/>
      <c r="I971" s="1227"/>
    </row>
    <row r="972" spans="1:9" s="78" customFormat="1" ht="18" customHeight="1">
      <c r="A972" s="75"/>
      <c r="B972" s="63" t="s">
        <v>952</v>
      </c>
      <c r="C972" s="70">
        <v>1</v>
      </c>
      <c r="D972" s="68">
        <v>6.7039999999999997</v>
      </c>
      <c r="E972" s="68">
        <v>0.2</v>
      </c>
      <c r="F972" s="68">
        <v>2.9750000000000001</v>
      </c>
      <c r="G972" s="67">
        <f t="shared" si="36"/>
        <v>3.99</v>
      </c>
      <c r="H972" s="930"/>
      <c r="I972" s="1227"/>
    </row>
    <row r="973" spans="1:9" s="78" customFormat="1" ht="18" customHeight="1">
      <c r="A973" s="75"/>
      <c r="B973" s="63" t="s">
        <v>953</v>
      </c>
      <c r="C973" s="70">
        <v>-1</v>
      </c>
      <c r="D973" s="68">
        <v>1.2</v>
      </c>
      <c r="E973" s="68">
        <v>0.2</v>
      </c>
      <c r="F973" s="68">
        <v>2.1</v>
      </c>
      <c r="G973" s="67">
        <f t="shared" si="36"/>
        <v>-0.5</v>
      </c>
      <c r="H973" s="930"/>
      <c r="I973" s="1227"/>
    </row>
    <row r="974" spans="1:9" s="78" customFormat="1" ht="18" customHeight="1">
      <c r="A974" s="75"/>
      <c r="B974" s="63" t="s">
        <v>954</v>
      </c>
      <c r="C974" s="70"/>
      <c r="D974" s="68"/>
      <c r="E974" s="68"/>
      <c r="F974" s="68"/>
      <c r="G974" s="67" t="str">
        <f t="shared" si="36"/>
        <v xml:space="preserve"> </v>
      </c>
      <c r="H974" s="930"/>
      <c r="I974" s="1227"/>
    </row>
    <row r="975" spans="1:9" s="78" customFormat="1" ht="18" customHeight="1">
      <c r="A975" s="75"/>
      <c r="B975" s="63" t="s">
        <v>955</v>
      </c>
      <c r="C975" s="70">
        <v>1</v>
      </c>
      <c r="D975" s="68">
        <f>3.175-0.2</f>
        <v>2.9749999999999996</v>
      </c>
      <c r="E975" s="68">
        <v>0.2</v>
      </c>
      <c r="F975" s="68">
        <v>2.9750000000000001</v>
      </c>
      <c r="G975" s="67">
        <f t="shared" si="36"/>
        <v>1.77</v>
      </c>
      <c r="H975" s="930"/>
      <c r="I975" s="1227"/>
    </row>
    <row r="976" spans="1:9" s="78" customFormat="1" ht="18" customHeight="1">
      <c r="A976" s="75"/>
      <c r="B976" s="63" t="s">
        <v>953</v>
      </c>
      <c r="C976" s="70">
        <v>-1</v>
      </c>
      <c r="D976" s="68">
        <v>1.2</v>
      </c>
      <c r="E976" s="68">
        <v>0.2</v>
      </c>
      <c r="F976" s="68">
        <v>2.1</v>
      </c>
      <c r="G976" s="67">
        <f t="shared" si="36"/>
        <v>-0.5</v>
      </c>
      <c r="H976" s="930"/>
      <c r="I976" s="1227"/>
    </row>
    <row r="977" spans="1:9" s="78" customFormat="1" ht="18" customHeight="1">
      <c r="A977" s="75"/>
      <c r="B977" s="63" t="s">
        <v>956</v>
      </c>
      <c r="C977" s="70">
        <v>-1</v>
      </c>
      <c r="D977" s="68">
        <v>0.9</v>
      </c>
      <c r="E977" s="68">
        <v>0.2</v>
      </c>
      <c r="F977" s="68">
        <v>2</v>
      </c>
      <c r="G977" s="67">
        <f t="shared" si="36"/>
        <v>-0.36</v>
      </c>
      <c r="H977" s="930"/>
      <c r="I977" s="1227"/>
    </row>
    <row r="978" spans="1:9" s="78" customFormat="1" ht="18" customHeight="1">
      <c r="A978" s="75"/>
      <c r="B978" s="63" t="s">
        <v>957</v>
      </c>
      <c r="C978" s="70">
        <v>1</v>
      </c>
      <c r="D978" s="68">
        <v>0.94</v>
      </c>
      <c r="E978" s="68">
        <v>0.2</v>
      </c>
      <c r="F978" s="68">
        <v>2.9750000000000001</v>
      </c>
      <c r="G978" s="67">
        <f t="shared" si="36"/>
        <v>0.56000000000000005</v>
      </c>
      <c r="H978" s="930"/>
      <c r="I978" s="1227"/>
    </row>
    <row r="979" spans="1:9" s="78" customFormat="1" ht="18" customHeight="1">
      <c r="A979" s="75"/>
      <c r="B979" s="63"/>
      <c r="C979" s="70">
        <v>1</v>
      </c>
      <c r="D979" s="68">
        <f>3.175-0.1-0.1-1.2</f>
        <v>1.7749999999999997</v>
      </c>
      <c r="E979" s="68">
        <v>0.2</v>
      </c>
      <c r="F979" s="68">
        <v>2.9750000000000001</v>
      </c>
      <c r="G979" s="67">
        <f t="shared" si="36"/>
        <v>1.06</v>
      </c>
      <c r="H979" s="930"/>
      <c r="I979" s="1227"/>
    </row>
    <row r="980" spans="1:9" s="78" customFormat="1" ht="18" customHeight="1">
      <c r="A980" s="75"/>
      <c r="B980" s="64" t="s">
        <v>959</v>
      </c>
      <c r="C980" s="70"/>
      <c r="D980" s="68"/>
      <c r="E980" s="68"/>
      <c r="F980" s="68"/>
      <c r="G980" s="67" t="str">
        <f t="shared" si="36"/>
        <v xml:space="preserve"> </v>
      </c>
      <c r="H980" s="930"/>
      <c r="I980" s="1227"/>
    </row>
    <row r="981" spans="1:9" s="78" customFormat="1" ht="18" customHeight="1">
      <c r="A981" s="75"/>
      <c r="B981" s="63" t="s">
        <v>960</v>
      </c>
      <c r="C981" s="70">
        <v>1</v>
      </c>
      <c r="D981" s="68">
        <v>6.5659999999999998</v>
      </c>
      <c r="E981" s="68">
        <v>0.2</v>
      </c>
      <c r="F981" s="68">
        <v>2.9750000000000001</v>
      </c>
      <c r="G981" s="67">
        <f t="shared" si="36"/>
        <v>3.91</v>
      </c>
      <c r="H981" s="930"/>
      <c r="I981" s="1227"/>
    </row>
    <row r="982" spans="1:9" s="78" customFormat="1" ht="18" customHeight="1">
      <c r="A982" s="75"/>
      <c r="B982" s="63" t="s">
        <v>961</v>
      </c>
      <c r="C982" s="70">
        <v>1</v>
      </c>
      <c r="D982" s="68">
        <v>4.3449999999999998</v>
      </c>
      <c r="E982" s="68">
        <v>0.2</v>
      </c>
      <c r="F982" s="68">
        <v>2.9750000000000001</v>
      </c>
      <c r="G982" s="67">
        <f t="shared" si="36"/>
        <v>2.59</v>
      </c>
      <c r="H982" s="930"/>
      <c r="I982" s="1227"/>
    </row>
    <row r="983" spans="1:9" s="78" customFormat="1" ht="18" customHeight="1">
      <c r="A983" s="75"/>
      <c r="B983" s="63" t="s">
        <v>962</v>
      </c>
      <c r="C983" s="70">
        <v>1</v>
      </c>
      <c r="D983" s="68">
        <v>10.462999999999999</v>
      </c>
      <c r="E983" s="68">
        <v>0.2</v>
      </c>
      <c r="F983" s="68">
        <v>2.9750000000000001</v>
      </c>
      <c r="G983" s="67">
        <f t="shared" si="36"/>
        <v>6.23</v>
      </c>
      <c r="H983" s="930"/>
      <c r="I983" s="1227"/>
    </row>
    <row r="984" spans="1:9" s="78" customFormat="1" ht="18" customHeight="1">
      <c r="A984" s="75"/>
      <c r="B984" s="63" t="s">
        <v>963</v>
      </c>
      <c r="C984" s="70">
        <v>-1</v>
      </c>
      <c r="D984" s="68">
        <v>0.8</v>
      </c>
      <c r="E984" s="68">
        <v>0.2</v>
      </c>
      <c r="F984" s="68">
        <v>2</v>
      </c>
      <c r="G984" s="67">
        <f t="shared" si="36"/>
        <v>-0.32</v>
      </c>
      <c r="H984" s="930"/>
      <c r="I984" s="1227"/>
    </row>
    <row r="985" spans="1:9" s="78" customFormat="1" ht="18" customHeight="1">
      <c r="A985" s="75"/>
      <c r="B985" s="63" t="s">
        <v>964</v>
      </c>
      <c r="C985" s="70">
        <v>-2</v>
      </c>
      <c r="D985" s="68">
        <v>1.2</v>
      </c>
      <c r="E985" s="68">
        <v>0.2</v>
      </c>
      <c r="F985" s="68">
        <v>1.2</v>
      </c>
      <c r="G985" s="67">
        <f t="shared" si="36"/>
        <v>-0.57999999999999996</v>
      </c>
      <c r="H985" s="930"/>
      <c r="I985" s="1227"/>
    </row>
    <row r="986" spans="1:9" s="78" customFormat="1" ht="18" customHeight="1">
      <c r="A986" s="75"/>
      <c r="B986" s="63" t="s">
        <v>965</v>
      </c>
      <c r="C986" s="70">
        <v>1</v>
      </c>
      <c r="D986" s="68">
        <f>2.298+4.6+3.825+0.1-0.1</f>
        <v>10.722999999999999</v>
      </c>
      <c r="E986" s="68">
        <v>0.2</v>
      </c>
      <c r="F986" s="68">
        <v>2.9750000000000001</v>
      </c>
      <c r="G986" s="67">
        <f t="shared" si="36"/>
        <v>6.38</v>
      </c>
      <c r="H986" s="930"/>
      <c r="I986" s="1227"/>
    </row>
    <row r="987" spans="1:9" s="78" customFormat="1" ht="18" customHeight="1">
      <c r="A987" s="75"/>
      <c r="B987" s="63" t="s">
        <v>966</v>
      </c>
      <c r="C987" s="70">
        <v>-2</v>
      </c>
      <c r="D987" s="68">
        <v>1</v>
      </c>
      <c r="E987" s="68">
        <v>0.2</v>
      </c>
      <c r="F987" s="68">
        <v>1.8</v>
      </c>
      <c r="G987" s="67">
        <f t="shared" si="36"/>
        <v>-0.72</v>
      </c>
      <c r="H987" s="930"/>
      <c r="I987" s="1227"/>
    </row>
    <row r="988" spans="1:9" s="78" customFormat="1" ht="18" customHeight="1">
      <c r="A988" s="75"/>
      <c r="B988" s="63" t="s">
        <v>1920</v>
      </c>
      <c r="C988" s="70">
        <v>1</v>
      </c>
      <c r="D988" s="68">
        <v>0.8</v>
      </c>
      <c r="E988" s="68">
        <v>0.2</v>
      </c>
      <c r="F988" s="68">
        <v>2.9750000000000001</v>
      </c>
      <c r="G988" s="67">
        <f t="shared" si="36"/>
        <v>0.48</v>
      </c>
      <c r="H988" s="930"/>
      <c r="I988" s="1227"/>
    </row>
    <row r="989" spans="1:9" s="78" customFormat="1" ht="18" customHeight="1">
      <c r="A989" s="75"/>
      <c r="B989" s="63" t="s">
        <v>967</v>
      </c>
      <c r="C989" s="70">
        <v>1</v>
      </c>
      <c r="D989" s="68">
        <v>8.6170000000000009</v>
      </c>
      <c r="E989" s="68">
        <v>0.2</v>
      </c>
      <c r="F989" s="68">
        <v>2.9750000000000001</v>
      </c>
      <c r="G989" s="67">
        <f t="shared" si="36"/>
        <v>5.13</v>
      </c>
      <c r="H989" s="930"/>
      <c r="I989" s="1227"/>
    </row>
    <row r="990" spans="1:9" s="78" customFormat="1" ht="18" customHeight="1">
      <c r="A990" s="75"/>
      <c r="B990" s="63" t="s">
        <v>968</v>
      </c>
      <c r="C990" s="70">
        <v>1</v>
      </c>
      <c r="D990" s="68">
        <v>5</v>
      </c>
      <c r="E990" s="68">
        <v>0.2</v>
      </c>
      <c r="F990" s="68">
        <v>2.9750000000000001</v>
      </c>
      <c r="G990" s="67">
        <f t="shared" si="36"/>
        <v>2.98</v>
      </c>
      <c r="H990" s="930"/>
      <c r="I990" s="1227"/>
    </row>
    <row r="991" spans="1:9" s="78" customFormat="1" ht="18" customHeight="1">
      <c r="A991" s="75"/>
      <c r="B991" s="63" t="s">
        <v>970</v>
      </c>
      <c r="C991" s="70">
        <v>1</v>
      </c>
      <c r="D991" s="68">
        <v>5</v>
      </c>
      <c r="E991" s="68">
        <v>0.2</v>
      </c>
      <c r="F991" s="68">
        <v>2.9750000000000001</v>
      </c>
      <c r="G991" s="67">
        <f t="shared" si="36"/>
        <v>2.98</v>
      </c>
      <c r="H991" s="930"/>
      <c r="I991" s="1227"/>
    </row>
    <row r="992" spans="1:9" s="78" customFormat="1" ht="18" customHeight="1">
      <c r="A992" s="75"/>
      <c r="B992" s="63" t="s">
        <v>969</v>
      </c>
      <c r="C992" s="70">
        <v>1</v>
      </c>
      <c r="D992" s="68">
        <v>7.0620000000000003</v>
      </c>
      <c r="E992" s="68">
        <v>0.2</v>
      </c>
      <c r="F992" s="68">
        <v>2.9750000000000001</v>
      </c>
      <c r="G992" s="67">
        <f t="shared" si="36"/>
        <v>4.2</v>
      </c>
      <c r="H992" s="930"/>
      <c r="I992" s="1227"/>
    </row>
    <row r="993" spans="1:9" s="78" customFormat="1" ht="18" customHeight="1">
      <c r="A993" s="75"/>
      <c r="B993" s="607" t="s">
        <v>1091</v>
      </c>
      <c r="C993" s="70"/>
      <c r="D993" s="68"/>
      <c r="E993" s="68"/>
      <c r="F993" s="68"/>
      <c r="G993" s="67" t="str">
        <f t="shared" si="36"/>
        <v xml:space="preserve"> </v>
      </c>
      <c r="H993" s="930"/>
      <c r="I993" s="1227"/>
    </row>
    <row r="994" spans="1:9" s="78" customFormat="1" ht="18" customHeight="1">
      <c r="A994" s="75"/>
      <c r="B994" s="406" t="s">
        <v>1049</v>
      </c>
      <c r="C994" s="70">
        <v>1</v>
      </c>
      <c r="D994" s="68">
        <v>12.275</v>
      </c>
      <c r="E994" s="68">
        <v>0.2</v>
      </c>
      <c r="F994" s="68">
        <f>3.15-0.2</f>
        <v>2.9499999999999997</v>
      </c>
      <c r="G994" s="67">
        <f t="shared" si="36"/>
        <v>7.24</v>
      </c>
      <c r="H994" s="930"/>
      <c r="I994" s="1227"/>
    </row>
    <row r="995" spans="1:9" s="78" customFormat="1" ht="18" customHeight="1">
      <c r="A995" s="75"/>
      <c r="B995" s="406" t="s">
        <v>941</v>
      </c>
      <c r="C995" s="70">
        <v>-3</v>
      </c>
      <c r="D995" s="68">
        <v>1</v>
      </c>
      <c r="E995" s="68">
        <v>0.2</v>
      </c>
      <c r="F995" s="68">
        <v>1.8</v>
      </c>
      <c r="G995" s="67">
        <f t="shared" si="36"/>
        <v>-1.08</v>
      </c>
      <c r="H995" s="930"/>
      <c r="I995" s="1227"/>
    </row>
    <row r="996" spans="1:9" ht="18" customHeight="1">
      <c r="A996" s="75"/>
      <c r="B996" s="406" t="s">
        <v>1050</v>
      </c>
      <c r="C996" s="70">
        <v>1</v>
      </c>
      <c r="D996" s="68">
        <v>13.4</v>
      </c>
      <c r="E996" s="68">
        <v>0.2</v>
      </c>
      <c r="F996" s="68">
        <f>3.15-0.2</f>
        <v>2.9499999999999997</v>
      </c>
      <c r="G996" s="67">
        <f t="shared" si="36"/>
        <v>7.91</v>
      </c>
      <c r="H996" s="930"/>
    </row>
    <row r="997" spans="1:9" ht="18" customHeight="1">
      <c r="A997" s="75"/>
      <c r="B997" s="406" t="s">
        <v>1093</v>
      </c>
      <c r="C997" s="70">
        <v>-3</v>
      </c>
      <c r="D997" s="68">
        <v>1</v>
      </c>
      <c r="E997" s="68">
        <v>0.2</v>
      </c>
      <c r="F997" s="68">
        <v>1.8</v>
      </c>
      <c r="G997" s="67">
        <f t="shared" si="36"/>
        <v>-1.08</v>
      </c>
      <c r="H997" s="930"/>
    </row>
    <row r="998" spans="1:9" s="78" customFormat="1" ht="18" customHeight="1">
      <c r="A998" s="75"/>
      <c r="B998" s="406" t="s">
        <v>1094</v>
      </c>
      <c r="C998" s="70">
        <v>-1</v>
      </c>
      <c r="D998" s="68">
        <v>3</v>
      </c>
      <c r="E998" s="68">
        <v>0.2</v>
      </c>
      <c r="F998" s="452">
        <v>2.4</v>
      </c>
      <c r="G998" s="67">
        <f t="shared" si="36"/>
        <v>-1.44</v>
      </c>
      <c r="H998" s="930"/>
      <c r="I998" s="1227"/>
    </row>
    <row r="999" spans="1:9" s="78" customFormat="1" ht="18" customHeight="1">
      <c r="A999" s="75"/>
      <c r="B999" s="63" t="s">
        <v>1969</v>
      </c>
      <c r="C999" s="70">
        <v>1</v>
      </c>
      <c r="D999" s="68">
        <f>1.425+3.175+0.275-0.2</f>
        <v>4.6749999999999998</v>
      </c>
      <c r="E999" s="68">
        <v>0.2</v>
      </c>
      <c r="F999" s="68">
        <f>3.15-0.2</f>
        <v>2.9499999999999997</v>
      </c>
      <c r="G999" s="67">
        <f t="shared" si="36"/>
        <v>2.76</v>
      </c>
      <c r="H999" s="930"/>
      <c r="I999" s="1227"/>
    </row>
    <row r="1000" spans="1:9" ht="18" customHeight="1">
      <c r="A1000" s="75"/>
      <c r="B1000" s="409" t="s">
        <v>1970</v>
      </c>
      <c r="C1000" s="70">
        <v>1</v>
      </c>
      <c r="D1000" s="68">
        <f>1.875+2.725+0.275-0.2</f>
        <v>4.6749999999999998</v>
      </c>
      <c r="E1000" s="68">
        <v>0.2</v>
      </c>
      <c r="F1000" s="68">
        <v>2.95</v>
      </c>
      <c r="G1000" s="67">
        <f t="shared" si="36"/>
        <v>2.76</v>
      </c>
      <c r="H1000" s="930"/>
    </row>
    <row r="1001" spans="1:9" ht="18" customHeight="1">
      <c r="A1001" s="75"/>
      <c r="B1001" s="409" t="s">
        <v>1095</v>
      </c>
      <c r="C1001" s="70"/>
      <c r="D1001" s="68"/>
      <c r="E1001" s="68"/>
      <c r="F1001" s="68"/>
      <c r="G1001" s="67" t="str">
        <f t="shared" si="36"/>
        <v xml:space="preserve"> </v>
      </c>
      <c r="H1001" s="930"/>
    </row>
    <row r="1002" spans="1:9" ht="18" customHeight="1">
      <c r="A1002" s="75"/>
      <c r="B1002" s="409" t="s">
        <v>1056</v>
      </c>
      <c r="C1002" s="70">
        <v>1</v>
      </c>
      <c r="D1002" s="68">
        <v>12.75</v>
      </c>
      <c r="E1002" s="68">
        <v>0.2</v>
      </c>
      <c r="F1002" s="68">
        <v>2.95</v>
      </c>
      <c r="G1002" s="67">
        <f t="shared" si="36"/>
        <v>7.52</v>
      </c>
      <c r="H1002" s="930"/>
    </row>
    <row r="1003" spans="1:9" ht="18" customHeight="1">
      <c r="A1003" s="75"/>
      <c r="B1003" s="409" t="s">
        <v>1051</v>
      </c>
      <c r="C1003" s="70">
        <v>-4</v>
      </c>
      <c r="D1003" s="68">
        <v>1</v>
      </c>
      <c r="E1003" s="68">
        <v>0.2</v>
      </c>
      <c r="F1003" s="68">
        <v>1.8</v>
      </c>
      <c r="G1003" s="67">
        <f t="shared" si="36"/>
        <v>-1.44</v>
      </c>
      <c r="H1003" s="930"/>
    </row>
    <row r="1004" spans="1:9" s="78" customFormat="1" ht="18" customHeight="1">
      <c r="A1004" s="75"/>
      <c r="B1004" s="63" t="s">
        <v>1057</v>
      </c>
      <c r="C1004" s="70">
        <v>1</v>
      </c>
      <c r="D1004" s="68">
        <v>12.75</v>
      </c>
      <c r="E1004" s="68">
        <v>0.2</v>
      </c>
      <c r="F1004" s="68">
        <v>2.9750000000000001</v>
      </c>
      <c r="G1004" s="67">
        <f t="shared" si="36"/>
        <v>7.59</v>
      </c>
      <c r="H1004" s="930"/>
      <c r="I1004" s="1227"/>
    </row>
    <row r="1005" spans="1:9" ht="18" customHeight="1">
      <c r="A1005" s="75"/>
      <c r="B1005" s="63" t="s">
        <v>1051</v>
      </c>
      <c r="C1005" s="70">
        <v>-4</v>
      </c>
      <c r="D1005" s="68">
        <v>1</v>
      </c>
      <c r="E1005" s="68">
        <v>0.2</v>
      </c>
      <c r="F1005" s="68">
        <v>1.8</v>
      </c>
      <c r="G1005" s="67">
        <f t="shared" si="36"/>
        <v>-1.44</v>
      </c>
      <c r="H1005" s="930"/>
    </row>
    <row r="1006" spans="1:9" s="78" customFormat="1" ht="18" customHeight="1">
      <c r="A1006" s="75"/>
      <c r="B1006" s="63" t="s">
        <v>1991</v>
      </c>
      <c r="C1006" s="70">
        <v>1</v>
      </c>
      <c r="D1006" s="68">
        <f>2.025+4.6+0.275-0.2+0.275</f>
        <v>6.9750000000000005</v>
      </c>
      <c r="E1006" s="68">
        <v>0.2</v>
      </c>
      <c r="F1006" s="68">
        <v>2.9750000000000001</v>
      </c>
      <c r="G1006" s="67">
        <f t="shared" si="36"/>
        <v>4.1500000000000004</v>
      </c>
      <c r="H1006" s="930"/>
      <c r="I1006" s="1227"/>
    </row>
    <row r="1007" spans="1:9" s="78" customFormat="1" ht="18" customHeight="1">
      <c r="A1007" s="75"/>
      <c r="B1007" s="63" t="s">
        <v>1992</v>
      </c>
      <c r="C1007" s="70">
        <v>1</v>
      </c>
      <c r="D1007" s="68">
        <f>2.4-0.2+0.275-0.2</f>
        <v>2.2749999999999995</v>
      </c>
      <c r="E1007" s="68">
        <v>0.2</v>
      </c>
      <c r="F1007" s="68">
        <v>0.95</v>
      </c>
      <c r="G1007" s="67">
        <f t="shared" si="36"/>
        <v>0.43</v>
      </c>
      <c r="H1007" s="930"/>
      <c r="I1007" s="1227"/>
    </row>
    <row r="1008" spans="1:9" s="78" customFormat="1" ht="18" customHeight="1">
      <c r="A1008" s="75"/>
      <c r="B1008" s="63" t="s">
        <v>1975</v>
      </c>
      <c r="C1008" s="70">
        <v>1</v>
      </c>
      <c r="D1008" s="68">
        <f>1.525+3.075+1.6-0.275-0.2</f>
        <v>5.7249999999999988</v>
      </c>
      <c r="E1008" s="68">
        <v>0.2</v>
      </c>
      <c r="F1008" s="68">
        <v>2.9750000000000001</v>
      </c>
      <c r="G1008" s="67">
        <f t="shared" si="36"/>
        <v>3.41</v>
      </c>
      <c r="H1008" s="930"/>
      <c r="I1008" s="1227"/>
    </row>
    <row r="1009" spans="1:9" s="78" customFormat="1" ht="18" customHeight="1">
      <c r="A1009" s="75"/>
      <c r="B1009" s="63" t="s">
        <v>1993</v>
      </c>
      <c r="C1009" s="70"/>
      <c r="D1009" s="68"/>
      <c r="E1009" s="68"/>
      <c r="F1009" s="68"/>
      <c r="G1009" s="67" t="str">
        <f t="shared" si="36"/>
        <v xml:space="preserve"> </v>
      </c>
      <c r="H1009" s="930"/>
      <c r="I1009" s="1227"/>
    </row>
    <row r="1010" spans="1:9" s="78" customFormat="1" ht="18" customHeight="1">
      <c r="A1010" s="75"/>
      <c r="B1010" s="63" t="s">
        <v>1994</v>
      </c>
      <c r="C1010" s="70">
        <v>1</v>
      </c>
      <c r="D1010" s="68">
        <f>2.462+1.388+5.234-0.2</f>
        <v>8.8840000000000003</v>
      </c>
      <c r="E1010" s="68">
        <v>0.2</v>
      </c>
      <c r="F1010" s="68">
        <v>0.95</v>
      </c>
      <c r="G1010" s="67">
        <f t="shared" si="36"/>
        <v>1.69</v>
      </c>
      <c r="H1010" s="930"/>
      <c r="I1010" s="1227"/>
    </row>
    <row r="1011" spans="1:9" s="78" customFormat="1" ht="18" customHeight="1">
      <c r="A1011" s="75"/>
      <c r="B1011" s="63" t="s">
        <v>1995</v>
      </c>
      <c r="C1011" s="70">
        <v>1</v>
      </c>
      <c r="D1011" s="68">
        <f>2.462+1.388+5.234-0.2</f>
        <v>8.8840000000000003</v>
      </c>
      <c r="E1011" s="68">
        <v>0.2</v>
      </c>
      <c r="F1011" s="68">
        <v>0.95</v>
      </c>
      <c r="G1011" s="67">
        <f t="shared" si="36"/>
        <v>1.69</v>
      </c>
      <c r="H1011" s="930"/>
      <c r="I1011" s="1227"/>
    </row>
    <row r="1012" spans="1:9" s="78" customFormat="1" ht="18" customHeight="1">
      <c r="A1012" s="75"/>
      <c r="B1012" s="63" t="s">
        <v>1096</v>
      </c>
      <c r="C1012" s="70">
        <v>1</v>
      </c>
      <c r="D1012" s="68">
        <f>3.2+6.3+3.2+0.2</f>
        <v>12.899999999999999</v>
      </c>
      <c r="E1012" s="68">
        <v>0.2</v>
      </c>
      <c r="F1012" s="68">
        <v>0.95</v>
      </c>
      <c r="G1012" s="67">
        <f t="shared" si="36"/>
        <v>2.4500000000000002</v>
      </c>
      <c r="H1012" s="930"/>
      <c r="I1012" s="1227"/>
    </row>
    <row r="1013" spans="1:9" s="78" customFormat="1" ht="18" customHeight="1">
      <c r="A1013" s="75"/>
      <c r="B1013" s="63" t="s">
        <v>1097</v>
      </c>
      <c r="C1013" s="70"/>
      <c r="D1013" s="68"/>
      <c r="E1013" s="68"/>
      <c r="F1013" s="68"/>
      <c r="G1013" s="67" t="str">
        <f t="shared" si="36"/>
        <v xml:space="preserve"> </v>
      </c>
      <c r="H1013" s="930"/>
      <c r="I1013" s="1227"/>
    </row>
    <row r="1014" spans="1:9" s="78" customFormat="1" ht="18" customHeight="1">
      <c r="A1014" s="75"/>
      <c r="B1014" s="63" t="s">
        <v>1063</v>
      </c>
      <c r="C1014" s="70">
        <v>1</v>
      </c>
      <c r="D1014" s="68">
        <v>18.3</v>
      </c>
      <c r="E1014" s="68">
        <v>0.2</v>
      </c>
      <c r="F1014" s="68">
        <v>2.9750000000000001</v>
      </c>
      <c r="G1014" s="67">
        <f t="shared" si="36"/>
        <v>10.89</v>
      </c>
      <c r="H1014" s="930"/>
      <c r="I1014" s="1227"/>
    </row>
    <row r="1015" spans="1:9" s="78" customFormat="1" ht="18" customHeight="1">
      <c r="A1015" s="75"/>
      <c r="B1015" s="63" t="s">
        <v>1065</v>
      </c>
      <c r="C1015" s="70">
        <v>-3</v>
      </c>
      <c r="D1015" s="68">
        <v>1</v>
      </c>
      <c r="E1015" s="68">
        <v>0.2</v>
      </c>
      <c r="F1015" s="68">
        <v>1.8</v>
      </c>
      <c r="G1015" s="67">
        <f t="shared" si="36"/>
        <v>-1.08</v>
      </c>
      <c r="H1015" s="930"/>
      <c r="I1015" s="1227"/>
    </row>
    <row r="1016" spans="1:9" s="78" customFormat="1" ht="18" customHeight="1">
      <c r="A1016" s="75"/>
      <c r="B1016" s="63" t="s">
        <v>1098</v>
      </c>
      <c r="C1016" s="70">
        <v>-1</v>
      </c>
      <c r="D1016" s="68">
        <v>1.85</v>
      </c>
      <c r="E1016" s="68">
        <v>0.2</v>
      </c>
      <c r="F1016" s="68">
        <v>2.4</v>
      </c>
      <c r="G1016" s="67">
        <f t="shared" si="36"/>
        <v>-0.89</v>
      </c>
      <c r="H1016" s="930"/>
      <c r="I1016" s="1227"/>
    </row>
    <row r="1017" spans="1:9" s="78" customFormat="1" ht="18" customHeight="1">
      <c r="A1017" s="75"/>
      <c r="B1017" s="63" t="s">
        <v>1069</v>
      </c>
      <c r="C1017" s="70">
        <v>-1</v>
      </c>
      <c r="D1017" s="68">
        <v>1.8</v>
      </c>
      <c r="E1017" s="68">
        <v>0.2</v>
      </c>
      <c r="F1017" s="68">
        <v>2.1</v>
      </c>
      <c r="G1017" s="67">
        <f t="shared" si="36"/>
        <v>-0.76</v>
      </c>
      <c r="H1017" s="930"/>
      <c r="I1017" s="1227"/>
    </row>
    <row r="1018" spans="1:9" s="78" customFormat="1" ht="18" customHeight="1">
      <c r="A1018" s="75"/>
      <c r="B1018" s="63" t="s">
        <v>1099</v>
      </c>
      <c r="C1018" s="70">
        <v>1</v>
      </c>
      <c r="D1018" s="68">
        <v>18.3</v>
      </c>
      <c r="E1018" s="68">
        <v>0.2</v>
      </c>
      <c r="F1018" s="68">
        <v>2.9750000000000001</v>
      </c>
      <c r="G1018" s="67">
        <f t="shared" si="36"/>
        <v>10.89</v>
      </c>
      <c r="H1018" s="930"/>
      <c r="I1018" s="1227"/>
    </row>
    <row r="1019" spans="1:9" ht="18" customHeight="1">
      <c r="A1019" s="75"/>
      <c r="B1019" s="63" t="s">
        <v>1051</v>
      </c>
      <c r="C1019" s="70">
        <v>-3</v>
      </c>
      <c r="D1019" s="68">
        <v>1</v>
      </c>
      <c r="E1019" s="68">
        <v>0.2</v>
      </c>
      <c r="F1019" s="68">
        <v>1.8</v>
      </c>
      <c r="G1019" s="67">
        <f t="shared" si="36"/>
        <v>-1.08</v>
      </c>
      <c r="H1019" s="930"/>
    </row>
    <row r="1020" spans="1:9" ht="18" customHeight="1">
      <c r="A1020" s="75"/>
      <c r="B1020" s="63" t="s">
        <v>1092</v>
      </c>
      <c r="C1020" s="70">
        <v>-1</v>
      </c>
      <c r="D1020" s="68">
        <v>1.85</v>
      </c>
      <c r="E1020" s="68">
        <v>0.2</v>
      </c>
      <c r="F1020" s="68">
        <v>2.4</v>
      </c>
      <c r="G1020" s="67">
        <f t="shared" si="36"/>
        <v>-0.89</v>
      </c>
      <c r="H1020" s="930"/>
    </row>
    <row r="1021" spans="1:9" ht="18" customHeight="1">
      <c r="A1021" s="75"/>
      <c r="B1021" s="63" t="s">
        <v>1069</v>
      </c>
      <c r="C1021" s="70">
        <v>-1</v>
      </c>
      <c r="D1021" s="68">
        <v>1.8</v>
      </c>
      <c r="E1021" s="68">
        <v>0.2</v>
      </c>
      <c r="F1021" s="68">
        <v>2.1</v>
      </c>
      <c r="G1021" s="67">
        <f t="shared" si="36"/>
        <v>-0.76</v>
      </c>
      <c r="H1021" s="930"/>
    </row>
    <row r="1022" spans="1:9" ht="18" customHeight="1">
      <c r="A1022" s="75"/>
      <c r="B1022" s="63" t="s">
        <v>1976</v>
      </c>
      <c r="C1022" s="70">
        <v>1</v>
      </c>
      <c r="D1022" s="68">
        <f>1.425+3.175-0.38</f>
        <v>4.22</v>
      </c>
      <c r="E1022" s="68">
        <v>0.2</v>
      </c>
      <c r="F1022" s="68">
        <v>2.9750000000000001</v>
      </c>
      <c r="G1022" s="67">
        <f t="shared" si="36"/>
        <v>2.5099999999999998</v>
      </c>
      <c r="H1022" s="930"/>
    </row>
    <row r="1023" spans="1:9" ht="18" customHeight="1">
      <c r="A1023" s="75"/>
      <c r="B1023" s="63" t="s">
        <v>1605</v>
      </c>
      <c r="C1023" s="70">
        <v>1</v>
      </c>
      <c r="D1023" s="68">
        <f>2.725+1.875-0.38</f>
        <v>4.22</v>
      </c>
      <c r="E1023" s="68">
        <v>0.2</v>
      </c>
      <c r="F1023" s="68">
        <v>2.9750000000000001</v>
      </c>
      <c r="G1023" s="67">
        <f t="shared" si="36"/>
        <v>2.5099999999999998</v>
      </c>
      <c r="H1023" s="930"/>
    </row>
    <row r="1024" spans="1:9" ht="18" customHeight="1">
      <c r="A1024" s="75"/>
      <c r="B1024" s="63" t="s">
        <v>1070</v>
      </c>
      <c r="C1024" s="70"/>
      <c r="D1024" s="68"/>
      <c r="E1024" s="68"/>
      <c r="F1024" s="68"/>
      <c r="G1024" s="67" t="str">
        <f t="shared" si="36"/>
        <v xml:space="preserve"> </v>
      </c>
      <c r="H1024" s="930"/>
    </row>
    <row r="1025" spans="1:9" ht="18" customHeight="1">
      <c r="A1025" s="75"/>
      <c r="B1025" s="63" t="s">
        <v>1996</v>
      </c>
      <c r="C1025" s="70">
        <v>1</v>
      </c>
      <c r="D1025" s="68">
        <f>4.9+0.2</f>
        <v>5.1000000000000005</v>
      </c>
      <c r="E1025" s="68">
        <v>0.2</v>
      </c>
      <c r="F1025" s="68">
        <v>0.95</v>
      </c>
      <c r="G1025" s="67">
        <f t="shared" si="36"/>
        <v>0.97</v>
      </c>
      <c r="H1025" s="930"/>
    </row>
    <row r="1026" spans="1:9" ht="18" customHeight="1">
      <c r="A1026" s="75"/>
      <c r="B1026" s="63" t="s">
        <v>1073</v>
      </c>
      <c r="C1026" s="70">
        <v>1</v>
      </c>
      <c r="D1026" s="68">
        <v>3</v>
      </c>
      <c r="E1026" s="68">
        <v>0.2</v>
      </c>
      <c r="F1026" s="68">
        <v>0.95</v>
      </c>
      <c r="G1026" s="67">
        <f t="shared" si="36"/>
        <v>0.56999999999999995</v>
      </c>
      <c r="H1026" s="930"/>
    </row>
    <row r="1027" spans="1:9" ht="18" customHeight="1">
      <c r="A1027" s="75"/>
      <c r="B1027" s="63" t="s">
        <v>1074</v>
      </c>
      <c r="C1027" s="70">
        <v>1</v>
      </c>
      <c r="D1027" s="68">
        <v>3</v>
      </c>
      <c r="E1027" s="68">
        <v>0.2</v>
      </c>
      <c r="F1027" s="68">
        <v>0.95</v>
      </c>
      <c r="G1027" s="67">
        <f t="shared" si="36"/>
        <v>0.56999999999999995</v>
      </c>
      <c r="H1027" s="930"/>
    </row>
    <row r="1028" spans="1:9" ht="18" customHeight="1">
      <c r="A1028" s="75"/>
      <c r="B1028" s="63" t="s">
        <v>1076</v>
      </c>
      <c r="C1028" s="70"/>
      <c r="D1028" s="68"/>
      <c r="E1028" s="68"/>
      <c r="F1028" s="68"/>
      <c r="G1028" s="67" t="str">
        <f t="shared" ref="G1028:G1091" si="37">IF(C1028&lt;&gt;0,ROUND(PRODUCT(D1028:F1028)*C1028,2)," ")</f>
        <v xml:space="preserve"> </v>
      </c>
      <c r="H1028" s="930"/>
    </row>
    <row r="1029" spans="1:9" s="355" customFormat="1" ht="18" customHeight="1">
      <c r="A1029" s="75"/>
      <c r="B1029" s="63" t="s">
        <v>1997</v>
      </c>
      <c r="C1029" s="70">
        <v>1</v>
      </c>
      <c r="D1029" s="68">
        <f>6.3+0.2</f>
        <v>6.5</v>
      </c>
      <c r="E1029" s="68">
        <v>0.2</v>
      </c>
      <c r="F1029" s="68">
        <v>0.95</v>
      </c>
      <c r="G1029" s="67">
        <f t="shared" si="37"/>
        <v>1.24</v>
      </c>
      <c r="H1029" s="930"/>
      <c r="I1029" s="1239"/>
    </row>
    <row r="1030" spans="1:9" s="355" customFormat="1" ht="18" customHeight="1">
      <c r="A1030" s="75"/>
      <c r="B1030" s="63" t="s">
        <v>1998</v>
      </c>
      <c r="C1030" s="70">
        <v>1</v>
      </c>
      <c r="D1030" s="68">
        <v>2.21</v>
      </c>
      <c r="E1030" s="68">
        <v>0.2</v>
      </c>
      <c r="F1030" s="68">
        <v>0.95</v>
      </c>
      <c r="G1030" s="67">
        <f t="shared" si="37"/>
        <v>0.42</v>
      </c>
      <c r="H1030" s="930"/>
      <c r="I1030" s="1239"/>
    </row>
    <row r="1031" spans="1:9" ht="18" customHeight="1">
      <c r="A1031" s="75"/>
      <c r="B1031" s="63" t="s">
        <v>1999</v>
      </c>
      <c r="C1031" s="70">
        <v>1</v>
      </c>
      <c r="D1031" s="68">
        <f>2.025+4.6+0.275-0.19</f>
        <v>6.71</v>
      </c>
      <c r="E1031" s="68">
        <v>0.2</v>
      </c>
      <c r="F1031" s="68">
        <v>2.9750000000000001</v>
      </c>
      <c r="G1031" s="67">
        <f t="shared" si="37"/>
        <v>3.99</v>
      </c>
      <c r="H1031" s="930"/>
    </row>
    <row r="1032" spans="1:9" ht="18" customHeight="1">
      <c r="A1032" s="75"/>
      <c r="B1032" s="63" t="s">
        <v>1981</v>
      </c>
      <c r="C1032" s="70">
        <v>1</v>
      </c>
      <c r="D1032" s="68">
        <v>6.58</v>
      </c>
      <c r="E1032" s="68">
        <v>0.2</v>
      </c>
      <c r="F1032" s="68">
        <v>2.9750000000000001</v>
      </c>
      <c r="G1032" s="67">
        <f t="shared" si="37"/>
        <v>3.92</v>
      </c>
      <c r="H1032" s="930"/>
    </row>
    <row r="1033" spans="1:9" ht="18" customHeight="1">
      <c r="A1033" s="75"/>
      <c r="B1033" s="63" t="s">
        <v>1982</v>
      </c>
      <c r="C1033" s="70">
        <v>1</v>
      </c>
      <c r="D1033" s="68">
        <v>4.9000000000000004</v>
      </c>
      <c r="E1033" s="68">
        <v>0.2</v>
      </c>
      <c r="F1033" s="68">
        <v>2.9750000000000001</v>
      </c>
      <c r="G1033" s="67">
        <f t="shared" si="37"/>
        <v>2.92</v>
      </c>
      <c r="H1033" s="930"/>
    </row>
    <row r="1034" spans="1:9" ht="18" customHeight="1">
      <c r="A1034" s="75"/>
      <c r="B1034" s="63" t="s">
        <v>1077</v>
      </c>
      <c r="C1034" s="70">
        <v>1</v>
      </c>
      <c r="D1034" s="68">
        <f>0.8+0.275+0.2</f>
        <v>1.2750000000000001</v>
      </c>
      <c r="E1034" s="68">
        <v>0.2</v>
      </c>
      <c r="F1034" s="68">
        <v>2.9750000000000001</v>
      </c>
      <c r="G1034" s="67">
        <f t="shared" si="37"/>
        <v>0.76</v>
      </c>
      <c r="H1034" s="930"/>
    </row>
    <row r="1035" spans="1:9" ht="18" customHeight="1">
      <c r="A1035" s="75"/>
      <c r="B1035" s="63" t="s">
        <v>1100</v>
      </c>
      <c r="C1035" s="70">
        <v>1</v>
      </c>
      <c r="D1035" s="68">
        <f>6.3</f>
        <v>6.3</v>
      </c>
      <c r="E1035" s="68">
        <v>0.2</v>
      </c>
      <c r="F1035" s="68">
        <v>2.9750000000000001</v>
      </c>
      <c r="G1035" s="67">
        <f t="shared" si="37"/>
        <v>3.75</v>
      </c>
      <c r="H1035" s="930"/>
    </row>
    <row r="1036" spans="1:9" ht="18" customHeight="1">
      <c r="A1036" s="75"/>
      <c r="B1036" s="63" t="s">
        <v>1101</v>
      </c>
      <c r="C1036" s="70">
        <v>-1</v>
      </c>
      <c r="D1036" s="68">
        <v>4.9000000000000004</v>
      </c>
      <c r="E1036" s="68">
        <v>0.2</v>
      </c>
      <c r="F1036" s="68">
        <v>1.8</v>
      </c>
      <c r="G1036" s="67">
        <f t="shared" si="37"/>
        <v>-1.76</v>
      </c>
      <c r="H1036" s="930"/>
    </row>
    <row r="1037" spans="1:9" ht="18" customHeight="1">
      <c r="A1037" s="75"/>
      <c r="B1037" s="63" t="s">
        <v>1081</v>
      </c>
      <c r="C1037" s="70">
        <v>1</v>
      </c>
      <c r="D1037" s="68">
        <f>6.45+6.45-0.1</f>
        <v>12.8</v>
      </c>
      <c r="E1037" s="68">
        <v>0.2</v>
      </c>
      <c r="F1037" s="68">
        <v>2.95</v>
      </c>
      <c r="G1037" s="67">
        <f t="shared" si="37"/>
        <v>7.55</v>
      </c>
      <c r="H1037" s="930"/>
    </row>
    <row r="1038" spans="1:9" ht="18" customHeight="1">
      <c r="A1038" s="75"/>
      <c r="B1038" s="63" t="s">
        <v>1051</v>
      </c>
      <c r="C1038" s="70">
        <v>-4</v>
      </c>
      <c r="D1038" s="68">
        <v>1</v>
      </c>
      <c r="E1038" s="68">
        <v>0.2</v>
      </c>
      <c r="F1038" s="68">
        <v>1.8</v>
      </c>
      <c r="G1038" s="67">
        <f t="shared" si="37"/>
        <v>-1.44</v>
      </c>
      <c r="H1038" s="930"/>
    </row>
    <row r="1039" spans="1:9" ht="18" customHeight="1">
      <c r="A1039" s="75"/>
      <c r="B1039" s="63" t="s">
        <v>1082</v>
      </c>
      <c r="C1039" s="70">
        <v>1</v>
      </c>
      <c r="D1039" s="68">
        <f>6.45+6.45-0.1</f>
        <v>12.8</v>
      </c>
      <c r="E1039" s="68">
        <v>0.2</v>
      </c>
      <c r="F1039" s="68">
        <v>2.95</v>
      </c>
      <c r="G1039" s="67">
        <f t="shared" si="37"/>
        <v>7.55</v>
      </c>
      <c r="H1039" s="930"/>
    </row>
    <row r="1040" spans="1:9" ht="18" customHeight="1">
      <c r="A1040" s="75"/>
      <c r="B1040" s="63" t="s">
        <v>1051</v>
      </c>
      <c r="C1040" s="70">
        <v>-3</v>
      </c>
      <c r="D1040" s="68">
        <v>1</v>
      </c>
      <c r="E1040" s="68">
        <v>0.2</v>
      </c>
      <c r="F1040" s="68">
        <v>1.8</v>
      </c>
      <c r="G1040" s="67">
        <f t="shared" si="37"/>
        <v>-1.08</v>
      </c>
      <c r="H1040" s="930"/>
    </row>
    <row r="1041" spans="1:8" ht="18" customHeight="1">
      <c r="A1041" s="75"/>
      <c r="B1041" s="63" t="s">
        <v>1083</v>
      </c>
      <c r="C1041" s="70">
        <v>-1</v>
      </c>
      <c r="D1041" s="68">
        <v>1</v>
      </c>
      <c r="E1041" s="68">
        <v>0.2</v>
      </c>
      <c r="F1041" s="68">
        <v>1.8</v>
      </c>
      <c r="G1041" s="67">
        <f t="shared" si="37"/>
        <v>-0.36</v>
      </c>
      <c r="H1041" s="930"/>
    </row>
    <row r="1042" spans="1:8" ht="18" customHeight="1">
      <c r="A1042" s="75"/>
      <c r="B1042" s="63" t="s">
        <v>1102</v>
      </c>
      <c r="C1042" s="70"/>
      <c r="D1042" s="68"/>
      <c r="E1042" s="68"/>
      <c r="F1042" s="68"/>
      <c r="G1042" s="67" t="str">
        <f t="shared" si="37"/>
        <v xml:space="preserve"> </v>
      </c>
      <c r="H1042" s="930"/>
    </row>
    <row r="1043" spans="1:8" ht="18" customHeight="1">
      <c r="A1043" s="75"/>
      <c r="B1043" s="406" t="s">
        <v>1085</v>
      </c>
      <c r="C1043" s="70">
        <v>1</v>
      </c>
      <c r="D1043" s="68">
        <v>3.194</v>
      </c>
      <c r="E1043" s="68">
        <v>0.2</v>
      </c>
      <c r="F1043" s="68">
        <f>3.15-0.2</f>
        <v>2.9499999999999997</v>
      </c>
      <c r="G1043" s="67">
        <f t="shared" si="37"/>
        <v>1.88</v>
      </c>
      <c r="H1043" s="930"/>
    </row>
    <row r="1044" spans="1:8" ht="18" customHeight="1">
      <c r="A1044" s="75"/>
      <c r="B1044" s="406" t="s">
        <v>941</v>
      </c>
      <c r="C1044" s="70">
        <v>-1</v>
      </c>
      <c r="D1044" s="68">
        <v>1</v>
      </c>
      <c r="E1044" s="68">
        <v>0.2</v>
      </c>
      <c r="F1044" s="68">
        <v>1.8</v>
      </c>
      <c r="G1044" s="67">
        <f t="shared" si="37"/>
        <v>-0.36</v>
      </c>
      <c r="H1044" s="930"/>
    </row>
    <row r="1045" spans="1:8" ht="18" customHeight="1">
      <c r="A1045" s="75"/>
      <c r="B1045" s="406" t="s">
        <v>1599</v>
      </c>
      <c r="C1045" s="70">
        <v>1</v>
      </c>
      <c r="D1045" s="68">
        <v>4.4089999999999998</v>
      </c>
      <c r="E1045" s="68">
        <v>0.2</v>
      </c>
      <c r="F1045" s="68">
        <f>3.15-0.2</f>
        <v>2.9499999999999997</v>
      </c>
      <c r="G1045" s="67">
        <f t="shared" si="37"/>
        <v>2.6</v>
      </c>
      <c r="H1045" s="930"/>
    </row>
    <row r="1046" spans="1:8" ht="18" customHeight="1">
      <c r="A1046" s="75"/>
      <c r="B1046" s="63" t="s">
        <v>1086</v>
      </c>
      <c r="C1046" s="70">
        <v>1</v>
      </c>
      <c r="D1046" s="68">
        <f>6.45+6.4+6.4+3.25+0.1-0.1</f>
        <v>22.5</v>
      </c>
      <c r="E1046" s="68">
        <v>0.2</v>
      </c>
      <c r="F1046" s="68">
        <f>3.15-0.2</f>
        <v>2.9499999999999997</v>
      </c>
      <c r="G1046" s="67">
        <f t="shared" si="37"/>
        <v>13.28</v>
      </c>
      <c r="H1046" s="930"/>
    </row>
    <row r="1047" spans="1:8" ht="18" customHeight="1">
      <c r="A1047" s="75"/>
      <c r="B1047" s="409" t="s">
        <v>943</v>
      </c>
      <c r="C1047" s="70">
        <v>-7</v>
      </c>
      <c r="D1047" s="68">
        <v>1</v>
      </c>
      <c r="E1047" s="68">
        <v>0.2</v>
      </c>
      <c r="F1047" s="68">
        <v>1.8</v>
      </c>
      <c r="G1047" s="67">
        <f t="shared" si="37"/>
        <v>-2.52</v>
      </c>
      <c r="H1047" s="930"/>
    </row>
    <row r="1048" spans="1:8" ht="18" customHeight="1">
      <c r="A1048" s="75"/>
      <c r="B1048" s="63" t="s">
        <v>1983</v>
      </c>
      <c r="C1048" s="70">
        <v>1</v>
      </c>
      <c r="D1048" s="68">
        <v>4.218</v>
      </c>
      <c r="E1048" s="68">
        <v>0.2</v>
      </c>
      <c r="F1048" s="68">
        <v>2.9750000000000001</v>
      </c>
      <c r="G1048" s="67">
        <f t="shared" si="37"/>
        <v>2.5099999999999998</v>
      </c>
      <c r="H1048" s="930"/>
    </row>
    <row r="1049" spans="1:8" ht="18" customHeight="1">
      <c r="A1049" s="75"/>
      <c r="B1049" s="63" t="s">
        <v>1087</v>
      </c>
      <c r="C1049" s="70">
        <v>1</v>
      </c>
      <c r="D1049" s="68">
        <v>3.1840000000000002</v>
      </c>
      <c r="E1049" s="68">
        <v>0.2</v>
      </c>
      <c r="F1049" s="68">
        <v>2.9750000000000001</v>
      </c>
      <c r="G1049" s="67">
        <f t="shared" si="37"/>
        <v>1.89</v>
      </c>
      <c r="H1049" s="930"/>
    </row>
    <row r="1050" spans="1:8" ht="18" customHeight="1">
      <c r="A1050" s="75"/>
      <c r="B1050" s="63" t="s">
        <v>946</v>
      </c>
      <c r="C1050" s="70">
        <v>-1</v>
      </c>
      <c r="D1050" s="68">
        <v>2.85</v>
      </c>
      <c r="E1050" s="68">
        <v>0.2</v>
      </c>
      <c r="F1050" s="68">
        <v>1.2</v>
      </c>
      <c r="G1050" s="67">
        <f t="shared" si="37"/>
        <v>-0.68</v>
      </c>
      <c r="H1050" s="930"/>
    </row>
    <row r="1051" spans="1:8" ht="18" customHeight="1">
      <c r="A1051" s="75"/>
      <c r="B1051" s="63" t="s">
        <v>1088</v>
      </c>
      <c r="C1051" s="70">
        <v>1</v>
      </c>
      <c r="D1051" s="68">
        <v>14.433999999999999</v>
      </c>
      <c r="E1051" s="68">
        <v>0.2</v>
      </c>
      <c r="F1051" s="68">
        <v>2.9750000000000001</v>
      </c>
      <c r="G1051" s="67">
        <f t="shared" si="37"/>
        <v>8.59</v>
      </c>
      <c r="H1051" s="930"/>
    </row>
    <row r="1052" spans="1:8" ht="18" customHeight="1">
      <c r="A1052" s="75"/>
      <c r="B1052" s="63" t="s">
        <v>948</v>
      </c>
      <c r="C1052" s="70">
        <v>-4</v>
      </c>
      <c r="D1052" s="68">
        <v>1</v>
      </c>
      <c r="E1052" s="68">
        <v>0.2</v>
      </c>
      <c r="F1052" s="68">
        <v>1.8</v>
      </c>
      <c r="G1052" s="67">
        <f t="shared" si="37"/>
        <v>-1.44</v>
      </c>
      <c r="H1052" s="930"/>
    </row>
    <row r="1053" spans="1:8" ht="18" customHeight="1">
      <c r="A1053" s="75"/>
      <c r="B1053" s="63" t="s">
        <v>949</v>
      </c>
      <c r="C1053" s="70">
        <v>-1</v>
      </c>
      <c r="D1053" s="68">
        <v>1</v>
      </c>
      <c r="E1053" s="68">
        <v>0.2</v>
      </c>
      <c r="F1053" s="68">
        <v>1.8</v>
      </c>
      <c r="G1053" s="67">
        <f t="shared" si="37"/>
        <v>-0.36</v>
      </c>
      <c r="H1053" s="930"/>
    </row>
    <row r="1054" spans="1:8" ht="18" customHeight="1">
      <c r="A1054" s="75"/>
      <c r="B1054" s="63" t="s">
        <v>1984</v>
      </c>
      <c r="C1054" s="70">
        <v>1</v>
      </c>
      <c r="D1054" s="68">
        <v>4.218</v>
      </c>
      <c r="E1054" s="68">
        <v>0.2</v>
      </c>
      <c r="F1054" s="68">
        <v>2.9750000000000001</v>
      </c>
      <c r="G1054" s="67">
        <f t="shared" si="37"/>
        <v>2.5099999999999998</v>
      </c>
      <c r="H1054" s="930"/>
    </row>
    <row r="1055" spans="1:8" ht="18" customHeight="1">
      <c r="A1055" s="75"/>
      <c r="B1055" s="63" t="s">
        <v>1985</v>
      </c>
      <c r="C1055" s="70">
        <v>1</v>
      </c>
      <c r="D1055" s="68">
        <f>3.25-0.1+0.1</f>
        <v>3.25</v>
      </c>
      <c r="E1055" s="68">
        <v>0.2</v>
      </c>
      <c r="F1055" s="68">
        <v>2.9750000000000001</v>
      </c>
      <c r="G1055" s="67">
        <f t="shared" si="37"/>
        <v>1.93</v>
      </c>
      <c r="H1055" s="930"/>
    </row>
    <row r="1056" spans="1:8" ht="18" customHeight="1">
      <c r="A1056" s="75"/>
      <c r="B1056" s="63" t="s">
        <v>1986</v>
      </c>
      <c r="C1056" s="70">
        <v>1</v>
      </c>
      <c r="D1056" s="68">
        <v>4.22</v>
      </c>
      <c r="E1056" s="68">
        <v>0.2</v>
      </c>
      <c r="F1056" s="68">
        <v>2.9750000000000001</v>
      </c>
      <c r="G1056" s="67">
        <f t="shared" si="37"/>
        <v>2.5099999999999998</v>
      </c>
      <c r="H1056" s="930"/>
    </row>
    <row r="1057" spans="1:8" ht="18" customHeight="1">
      <c r="A1057" s="75"/>
      <c r="B1057" s="63" t="s">
        <v>1987</v>
      </c>
      <c r="C1057" s="70">
        <v>1</v>
      </c>
      <c r="D1057" s="68">
        <v>2.91</v>
      </c>
      <c r="E1057" s="68">
        <v>0.2</v>
      </c>
      <c r="F1057" s="68">
        <v>2.9750000000000001</v>
      </c>
      <c r="G1057" s="67">
        <f t="shared" si="37"/>
        <v>1.73</v>
      </c>
      <c r="H1057" s="930"/>
    </row>
    <row r="1058" spans="1:8" ht="18" customHeight="1">
      <c r="A1058" s="75"/>
      <c r="B1058" s="63" t="s">
        <v>1988</v>
      </c>
      <c r="C1058" s="70">
        <v>1</v>
      </c>
      <c r="D1058" s="68">
        <v>3.3</v>
      </c>
      <c r="E1058" s="68">
        <v>0.2</v>
      </c>
      <c r="F1058" s="68">
        <v>2.9750000000000001</v>
      </c>
      <c r="G1058" s="67">
        <f t="shared" si="37"/>
        <v>1.96</v>
      </c>
      <c r="H1058" s="930"/>
    </row>
    <row r="1059" spans="1:8" ht="18" customHeight="1">
      <c r="A1059" s="75"/>
      <c r="B1059" s="63"/>
      <c r="C1059" s="70">
        <v>1</v>
      </c>
      <c r="D1059" s="68">
        <v>1.5</v>
      </c>
      <c r="E1059" s="68">
        <v>0.2</v>
      </c>
      <c r="F1059" s="68">
        <v>2.9750000000000001</v>
      </c>
      <c r="G1059" s="67">
        <f t="shared" si="37"/>
        <v>0.89</v>
      </c>
      <c r="H1059" s="930"/>
    </row>
    <row r="1060" spans="1:8" ht="18" customHeight="1">
      <c r="A1060" s="75"/>
      <c r="B1060" s="63" t="s">
        <v>1089</v>
      </c>
      <c r="C1060" s="70">
        <v>1</v>
      </c>
      <c r="D1060" s="68">
        <v>3.1</v>
      </c>
      <c r="E1060" s="68">
        <v>0.2</v>
      </c>
      <c r="F1060" s="68">
        <v>2.9750000000000001</v>
      </c>
      <c r="G1060" s="67">
        <f t="shared" si="37"/>
        <v>1.84</v>
      </c>
      <c r="H1060" s="930"/>
    </row>
    <row r="1061" spans="1:8" ht="18" customHeight="1">
      <c r="A1061" s="75"/>
      <c r="B1061" s="63" t="s">
        <v>951</v>
      </c>
      <c r="C1061" s="70">
        <v>-1</v>
      </c>
      <c r="D1061" s="68">
        <v>1</v>
      </c>
      <c r="E1061" s="68">
        <v>0.2</v>
      </c>
      <c r="F1061" s="68">
        <v>1.8</v>
      </c>
      <c r="G1061" s="67">
        <f t="shared" si="37"/>
        <v>-0.36</v>
      </c>
      <c r="H1061" s="930"/>
    </row>
    <row r="1062" spans="1:8" ht="18" customHeight="1">
      <c r="A1062" s="75"/>
      <c r="B1062" s="63" t="s">
        <v>1989</v>
      </c>
      <c r="C1062" s="70">
        <v>1</v>
      </c>
      <c r="D1062" s="68">
        <v>6.7039999999999997</v>
      </c>
      <c r="E1062" s="68">
        <v>0.2</v>
      </c>
      <c r="F1062" s="68">
        <v>2.9750000000000001</v>
      </c>
      <c r="G1062" s="67">
        <f t="shared" si="37"/>
        <v>3.99</v>
      </c>
      <c r="H1062" s="930"/>
    </row>
    <row r="1063" spans="1:8" ht="18" customHeight="1">
      <c r="A1063" s="75"/>
      <c r="B1063" s="63" t="s">
        <v>954</v>
      </c>
      <c r="C1063" s="70"/>
      <c r="D1063" s="68"/>
      <c r="E1063" s="68"/>
      <c r="F1063" s="68"/>
      <c r="G1063" s="67" t="str">
        <f t="shared" si="37"/>
        <v xml:space="preserve"> </v>
      </c>
      <c r="H1063" s="930"/>
    </row>
    <row r="1064" spans="1:8" ht="18" customHeight="1">
      <c r="A1064" s="75"/>
      <c r="B1064" s="63" t="s">
        <v>1090</v>
      </c>
      <c r="C1064" s="70">
        <v>1</v>
      </c>
      <c r="D1064" s="68">
        <f>3.175-0.2</f>
        <v>2.9749999999999996</v>
      </c>
      <c r="E1064" s="68">
        <v>0.2</v>
      </c>
      <c r="F1064" s="68">
        <v>2.9750000000000001</v>
      </c>
      <c r="G1064" s="67">
        <f t="shared" si="37"/>
        <v>1.77</v>
      </c>
      <c r="H1064" s="930"/>
    </row>
    <row r="1065" spans="1:8" ht="18" customHeight="1">
      <c r="A1065" s="75"/>
      <c r="B1065" s="63" t="s">
        <v>953</v>
      </c>
      <c r="C1065" s="70">
        <v>-1</v>
      </c>
      <c r="D1065" s="68">
        <v>1.2</v>
      </c>
      <c r="E1065" s="68">
        <v>0.2</v>
      </c>
      <c r="F1065" s="68">
        <v>2.1</v>
      </c>
      <c r="G1065" s="67">
        <f t="shared" si="37"/>
        <v>-0.5</v>
      </c>
      <c r="H1065" s="930"/>
    </row>
    <row r="1066" spans="1:8" ht="18" customHeight="1">
      <c r="A1066" s="75"/>
      <c r="B1066" s="63" t="s">
        <v>956</v>
      </c>
      <c r="C1066" s="70">
        <v>-1</v>
      </c>
      <c r="D1066" s="68">
        <v>0.9</v>
      </c>
      <c r="E1066" s="68">
        <v>0.2</v>
      </c>
      <c r="F1066" s="68">
        <v>2</v>
      </c>
      <c r="G1066" s="67">
        <f t="shared" si="37"/>
        <v>-0.36</v>
      </c>
      <c r="H1066" s="930"/>
    </row>
    <row r="1067" spans="1:8" ht="18" customHeight="1">
      <c r="A1067" s="75"/>
      <c r="B1067" s="63" t="s">
        <v>1990</v>
      </c>
      <c r="C1067" s="70">
        <v>1</v>
      </c>
      <c r="D1067" s="68">
        <v>0.94</v>
      </c>
      <c r="E1067" s="68">
        <v>0.2</v>
      </c>
      <c r="F1067" s="68">
        <v>2.9750000000000001</v>
      </c>
      <c r="G1067" s="67">
        <f t="shared" si="37"/>
        <v>0.56000000000000005</v>
      </c>
      <c r="H1067" s="930"/>
    </row>
    <row r="1068" spans="1:8" ht="18" customHeight="1">
      <c r="A1068" s="75"/>
      <c r="B1068" s="63"/>
      <c r="C1068" s="70">
        <v>1</v>
      </c>
      <c r="D1068" s="68">
        <f>3.175-0.1-0.1-1.2</f>
        <v>1.7749999999999997</v>
      </c>
      <c r="E1068" s="68">
        <v>0.2</v>
      </c>
      <c r="F1068" s="68">
        <v>2.9750000000000001</v>
      </c>
      <c r="G1068" s="67">
        <f t="shared" si="37"/>
        <v>1.06</v>
      </c>
      <c r="H1068" s="930"/>
    </row>
    <row r="1069" spans="1:8" ht="18" customHeight="1">
      <c r="A1069" s="75"/>
      <c r="B1069" s="63" t="s">
        <v>1103</v>
      </c>
      <c r="C1069" s="70"/>
      <c r="D1069" s="68"/>
      <c r="E1069" s="68"/>
      <c r="F1069" s="68"/>
      <c r="G1069" s="67" t="str">
        <f t="shared" si="37"/>
        <v xml:space="preserve"> </v>
      </c>
      <c r="H1069" s="930"/>
    </row>
    <row r="1070" spans="1:8" ht="18" customHeight="1">
      <c r="A1070" s="75"/>
      <c r="B1070" s="63" t="s">
        <v>2000</v>
      </c>
      <c r="C1070" s="70">
        <v>1</v>
      </c>
      <c r="D1070" s="68">
        <v>6.5659999999999998</v>
      </c>
      <c r="E1070" s="68">
        <v>0.2</v>
      </c>
      <c r="F1070" s="68">
        <v>2.9750000000000001</v>
      </c>
      <c r="G1070" s="67">
        <f t="shared" si="37"/>
        <v>3.91</v>
      </c>
      <c r="H1070" s="930"/>
    </row>
    <row r="1071" spans="1:8" ht="18" customHeight="1">
      <c r="A1071" s="75"/>
      <c r="B1071" s="63" t="s">
        <v>2001</v>
      </c>
      <c r="C1071" s="70">
        <v>1</v>
      </c>
      <c r="D1071" s="68">
        <v>4.3449999999999998</v>
      </c>
      <c r="E1071" s="68">
        <v>0.2</v>
      </c>
      <c r="F1071" s="68">
        <v>2.9750000000000001</v>
      </c>
      <c r="G1071" s="67">
        <f t="shared" si="37"/>
        <v>2.59</v>
      </c>
      <c r="H1071" s="930"/>
    </row>
    <row r="1072" spans="1:8" ht="18" customHeight="1">
      <c r="A1072" s="75"/>
      <c r="B1072" s="63" t="s">
        <v>1104</v>
      </c>
      <c r="C1072" s="70">
        <v>1</v>
      </c>
      <c r="D1072" s="68">
        <v>10.462999999999999</v>
      </c>
      <c r="E1072" s="68">
        <v>0.2</v>
      </c>
      <c r="F1072" s="68">
        <v>2.9750000000000001</v>
      </c>
      <c r="G1072" s="67">
        <f t="shared" si="37"/>
        <v>6.23</v>
      </c>
      <c r="H1072" s="930"/>
    </row>
    <row r="1073" spans="1:9" ht="18" customHeight="1">
      <c r="A1073" s="75"/>
      <c r="B1073" s="63" t="s">
        <v>963</v>
      </c>
      <c r="C1073" s="70">
        <v>-1</v>
      </c>
      <c r="D1073" s="68">
        <v>0.8</v>
      </c>
      <c r="E1073" s="68">
        <v>0.2</v>
      </c>
      <c r="F1073" s="68">
        <v>2</v>
      </c>
      <c r="G1073" s="67">
        <f t="shared" si="37"/>
        <v>-0.32</v>
      </c>
      <c r="H1073" s="930"/>
    </row>
    <row r="1074" spans="1:9" ht="18" customHeight="1">
      <c r="A1074" s="75"/>
      <c r="B1074" s="63" t="s">
        <v>964</v>
      </c>
      <c r="C1074" s="70">
        <v>-2</v>
      </c>
      <c r="D1074" s="68">
        <v>1.2</v>
      </c>
      <c r="E1074" s="68">
        <v>0.2</v>
      </c>
      <c r="F1074" s="68">
        <v>1.2</v>
      </c>
      <c r="G1074" s="67">
        <f t="shared" si="37"/>
        <v>-0.57999999999999996</v>
      </c>
      <c r="H1074" s="930"/>
    </row>
    <row r="1075" spans="1:9" ht="18" customHeight="1">
      <c r="A1075" s="75"/>
      <c r="B1075" s="63" t="s">
        <v>1105</v>
      </c>
      <c r="C1075" s="70">
        <v>1</v>
      </c>
      <c r="D1075" s="68">
        <v>10.722</v>
      </c>
      <c r="E1075" s="68">
        <v>0.2</v>
      </c>
      <c r="F1075" s="68">
        <v>2.9750000000000001</v>
      </c>
      <c r="G1075" s="67">
        <f t="shared" si="37"/>
        <v>6.38</v>
      </c>
      <c r="H1075" s="930"/>
    </row>
    <row r="1076" spans="1:9" ht="18" customHeight="1">
      <c r="A1076" s="75"/>
      <c r="B1076" s="63" t="s">
        <v>966</v>
      </c>
      <c r="C1076" s="70">
        <v>-2</v>
      </c>
      <c r="D1076" s="68">
        <v>1</v>
      </c>
      <c r="E1076" s="68">
        <v>0.2</v>
      </c>
      <c r="F1076" s="68">
        <v>1.8</v>
      </c>
      <c r="G1076" s="67">
        <f t="shared" si="37"/>
        <v>-0.72</v>
      </c>
      <c r="H1076" s="930"/>
    </row>
    <row r="1077" spans="1:9" ht="18" customHeight="1">
      <c r="A1077" s="75"/>
      <c r="B1077" s="63" t="s">
        <v>2002</v>
      </c>
      <c r="C1077" s="70">
        <v>1</v>
      </c>
      <c r="D1077" s="68">
        <v>0.8</v>
      </c>
      <c r="E1077" s="68">
        <v>0.2</v>
      </c>
      <c r="F1077" s="68">
        <v>2.9750000000000001</v>
      </c>
      <c r="G1077" s="67">
        <f t="shared" si="37"/>
        <v>0.48</v>
      </c>
      <c r="H1077" s="930"/>
    </row>
    <row r="1078" spans="1:9" ht="18" customHeight="1">
      <c r="A1078" s="75"/>
      <c r="B1078" s="63" t="s">
        <v>2003</v>
      </c>
      <c r="C1078" s="70">
        <v>1</v>
      </c>
      <c r="D1078" s="68">
        <v>8.6170000000000009</v>
      </c>
      <c r="E1078" s="68">
        <v>0.2</v>
      </c>
      <c r="F1078" s="68">
        <v>2.9750000000000001</v>
      </c>
      <c r="G1078" s="67">
        <f t="shared" si="37"/>
        <v>5.13</v>
      </c>
      <c r="H1078" s="930"/>
    </row>
    <row r="1079" spans="1:9" ht="18" customHeight="1">
      <c r="A1079" s="75"/>
      <c r="B1079" s="63" t="s">
        <v>2004</v>
      </c>
      <c r="C1079" s="70">
        <v>1</v>
      </c>
      <c r="D1079" s="68">
        <v>5</v>
      </c>
      <c r="E1079" s="68">
        <v>0.2</v>
      </c>
      <c r="F1079" s="68">
        <v>2.9750000000000001</v>
      </c>
      <c r="G1079" s="67">
        <f t="shared" si="37"/>
        <v>2.98</v>
      </c>
      <c r="H1079" s="930"/>
    </row>
    <row r="1080" spans="1:9" ht="18" customHeight="1">
      <c r="A1080" s="75"/>
      <c r="B1080" s="63" t="s">
        <v>2005</v>
      </c>
      <c r="C1080" s="70">
        <v>1</v>
      </c>
      <c r="D1080" s="68">
        <v>5</v>
      </c>
      <c r="E1080" s="68">
        <v>0.2</v>
      </c>
      <c r="F1080" s="68">
        <v>2.9750000000000001</v>
      </c>
      <c r="G1080" s="67">
        <f t="shared" si="37"/>
        <v>2.98</v>
      </c>
      <c r="H1080" s="930"/>
    </row>
    <row r="1081" spans="1:9" ht="18" customHeight="1">
      <c r="A1081" s="75"/>
      <c r="B1081" s="63" t="s">
        <v>2006</v>
      </c>
      <c r="C1081" s="70">
        <v>1</v>
      </c>
      <c r="D1081" s="68">
        <v>7.0620000000000003</v>
      </c>
      <c r="E1081" s="68">
        <v>0.2</v>
      </c>
      <c r="F1081" s="68">
        <v>2.9750000000000001</v>
      </c>
      <c r="G1081" s="67">
        <f t="shared" si="37"/>
        <v>4.2</v>
      </c>
      <c r="H1081" s="930"/>
    </row>
    <row r="1082" spans="1:9" s="78" customFormat="1" ht="18" customHeight="1">
      <c r="A1082" s="75"/>
      <c r="B1082" s="607" t="s">
        <v>938</v>
      </c>
      <c r="C1082" s="70"/>
      <c r="D1082" s="68"/>
      <c r="E1082" s="68"/>
      <c r="F1082" s="68"/>
      <c r="G1082" s="67" t="str">
        <f t="shared" si="37"/>
        <v xml:space="preserve"> </v>
      </c>
      <c r="H1082" s="930"/>
      <c r="I1082" s="1227"/>
    </row>
    <row r="1083" spans="1:9" ht="18" customHeight="1">
      <c r="A1083" s="75"/>
      <c r="B1083" s="607" t="s">
        <v>2007</v>
      </c>
      <c r="C1083" s="70"/>
      <c r="D1083" s="68"/>
      <c r="E1083" s="68"/>
      <c r="F1083" s="68"/>
      <c r="G1083" s="67" t="str">
        <f t="shared" si="37"/>
        <v xml:space="preserve"> </v>
      </c>
      <c r="H1083" s="930"/>
    </row>
    <row r="1084" spans="1:9" ht="18" customHeight="1">
      <c r="A1084" s="75"/>
      <c r="B1084" s="406" t="s">
        <v>940</v>
      </c>
      <c r="C1084" s="70">
        <v>1</v>
      </c>
      <c r="D1084" s="68">
        <v>3.194</v>
      </c>
      <c r="E1084" s="68">
        <v>0.2</v>
      </c>
      <c r="F1084" s="68">
        <v>4.5</v>
      </c>
      <c r="G1084" s="67">
        <f t="shared" si="37"/>
        <v>2.87</v>
      </c>
      <c r="H1084" s="930"/>
    </row>
    <row r="1085" spans="1:9" ht="18" customHeight="1">
      <c r="A1085" s="75"/>
      <c r="B1085" s="406" t="s">
        <v>941</v>
      </c>
      <c r="C1085" s="70">
        <v>-1</v>
      </c>
      <c r="D1085" s="68">
        <v>1</v>
      </c>
      <c r="E1085" s="68">
        <v>0.2</v>
      </c>
      <c r="F1085" s="68">
        <v>1.8</v>
      </c>
      <c r="G1085" s="67">
        <f t="shared" si="37"/>
        <v>-0.36</v>
      </c>
      <c r="H1085" s="930"/>
    </row>
    <row r="1086" spans="1:9" ht="18" customHeight="1">
      <c r="A1086" s="75"/>
      <c r="B1086" s="406" t="s">
        <v>1596</v>
      </c>
      <c r="C1086" s="70">
        <v>1</v>
      </c>
      <c r="D1086" s="68">
        <v>4.4089999999999998</v>
      </c>
      <c r="E1086" s="68">
        <v>0.2</v>
      </c>
      <c r="F1086" s="68">
        <v>4.5</v>
      </c>
      <c r="G1086" s="67">
        <f t="shared" si="37"/>
        <v>3.97</v>
      </c>
      <c r="H1086" s="930"/>
    </row>
    <row r="1087" spans="1:9" ht="18" customHeight="1">
      <c r="A1087" s="75"/>
      <c r="B1087" s="63" t="s">
        <v>942</v>
      </c>
      <c r="C1087" s="70">
        <v>1</v>
      </c>
      <c r="D1087" s="68">
        <f>6.45+6.4+6.4+3.25+0.1-0.1</f>
        <v>22.5</v>
      </c>
      <c r="E1087" s="68">
        <v>0.2</v>
      </c>
      <c r="F1087" s="68">
        <v>4.5</v>
      </c>
      <c r="G1087" s="67">
        <f t="shared" si="37"/>
        <v>20.25</v>
      </c>
      <c r="H1087" s="930"/>
    </row>
    <row r="1088" spans="1:9" ht="18" customHeight="1">
      <c r="A1088" s="75"/>
      <c r="B1088" s="409" t="s">
        <v>943</v>
      </c>
      <c r="C1088" s="70">
        <v>-7</v>
      </c>
      <c r="D1088" s="68">
        <v>1</v>
      </c>
      <c r="E1088" s="68">
        <v>0.2</v>
      </c>
      <c r="F1088" s="68">
        <v>1.8</v>
      </c>
      <c r="G1088" s="67">
        <f t="shared" si="37"/>
        <v>-2.52</v>
      </c>
      <c r="H1088" s="930"/>
    </row>
    <row r="1089" spans="1:8" ht="18" customHeight="1">
      <c r="A1089" s="75"/>
      <c r="B1089" s="63" t="s">
        <v>1913</v>
      </c>
      <c r="C1089" s="70">
        <v>1</v>
      </c>
      <c r="D1089" s="68">
        <v>4.218</v>
      </c>
      <c r="E1089" s="68">
        <v>0.2</v>
      </c>
      <c r="F1089" s="68">
        <v>2.9750000000000001</v>
      </c>
      <c r="G1089" s="67">
        <f t="shared" si="37"/>
        <v>2.5099999999999998</v>
      </c>
      <c r="H1089" s="930"/>
    </row>
    <row r="1090" spans="1:8" ht="18" customHeight="1">
      <c r="A1090" s="75"/>
      <c r="B1090" s="63" t="s">
        <v>945</v>
      </c>
      <c r="C1090" s="70">
        <v>1</v>
      </c>
      <c r="D1090" s="68">
        <v>3.1840000000000002</v>
      </c>
      <c r="E1090" s="68">
        <v>0.2</v>
      </c>
      <c r="F1090" s="68">
        <v>3.2</v>
      </c>
      <c r="G1090" s="67">
        <f t="shared" si="37"/>
        <v>2.04</v>
      </c>
      <c r="H1090" s="930"/>
    </row>
    <row r="1091" spans="1:8" ht="18" customHeight="1">
      <c r="A1091" s="75"/>
      <c r="B1091" s="63" t="s">
        <v>946</v>
      </c>
      <c r="C1091" s="70">
        <v>-1</v>
      </c>
      <c r="D1091" s="68">
        <v>2.85</v>
      </c>
      <c r="E1091" s="68">
        <v>0.2</v>
      </c>
      <c r="F1091" s="68">
        <v>1.2</v>
      </c>
      <c r="G1091" s="67">
        <f t="shared" si="37"/>
        <v>-0.68</v>
      </c>
      <c r="H1091" s="930"/>
    </row>
    <row r="1092" spans="1:8" ht="18" customHeight="1">
      <c r="A1092" s="75"/>
      <c r="B1092" s="63" t="s">
        <v>947</v>
      </c>
      <c r="C1092" s="70">
        <v>1</v>
      </c>
      <c r="D1092" s="68">
        <v>14.433999999999999</v>
      </c>
      <c r="E1092" s="68">
        <v>0.2</v>
      </c>
      <c r="F1092" s="68">
        <v>3.2</v>
      </c>
      <c r="G1092" s="67">
        <f t="shared" ref="G1092:G1155" si="38">IF(C1092&lt;&gt;0,ROUND(PRODUCT(D1092:F1092)*C1092,2)," ")</f>
        <v>9.24</v>
      </c>
      <c r="H1092" s="930"/>
    </row>
    <row r="1093" spans="1:8" ht="18" customHeight="1">
      <c r="A1093" s="75"/>
      <c r="B1093" s="63" t="s">
        <v>948</v>
      </c>
      <c r="C1093" s="70">
        <v>-4</v>
      </c>
      <c r="D1093" s="68">
        <v>1</v>
      </c>
      <c r="E1093" s="68">
        <v>0.2</v>
      </c>
      <c r="F1093" s="68">
        <v>1.8</v>
      </c>
      <c r="G1093" s="67">
        <f t="shared" si="38"/>
        <v>-1.44</v>
      </c>
      <c r="H1093" s="930"/>
    </row>
    <row r="1094" spans="1:8" ht="18" customHeight="1">
      <c r="A1094" s="75"/>
      <c r="B1094" s="63" t="s">
        <v>949</v>
      </c>
      <c r="C1094" s="70">
        <v>-1</v>
      </c>
      <c r="D1094" s="68">
        <v>1</v>
      </c>
      <c r="E1094" s="68">
        <v>0.2</v>
      </c>
      <c r="F1094" s="68">
        <v>1.8</v>
      </c>
      <c r="G1094" s="67">
        <f t="shared" si="38"/>
        <v>-0.36</v>
      </c>
      <c r="H1094" s="930"/>
    </row>
    <row r="1095" spans="1:8" ht="18" customHeight="1">
      <c r="A1095" s="75"/>
      <c r="B1095" s="63" t="s">
        <v>1914</v>
      </c>
      <c r="C1095" s="70">
        <v>1</v>
      </c>
      <c r="D1095" s="68">
        <v>4.218</v>
      </c>
      <c r="E1095" s="68">
        <v>0.2</v>
      </c>
      <c r="F1095" s="68">
        <v>3.37</v>
      </c>
      <c r="G1095" s="67">
        <f t="shared" si="38"/>
        <v>2.84</v>
      </c>
      <c r="H1095" s="930"/>
    </row>
    <row r="1096" spans="1:8" ht="18" customHeight="1">
      <c r="A1096" s="75"/>
      <c r="B1096" s="63" t="s">
        <v>1915</v>
      </c>
      <c r="C1096" s="70">
        <v>1</v>
      </c>
      <c r="D1096" s="68">
        <v>4.218</v>
      </c>
      <c r="E1096" s="68">
        <v>0.2</v>
      </c>
      <c r="F1096" s="68">
        <v>3.37</v>
      </c>
      <c r="G1096" s="67">
        <f t="shared" si="38"/>
        <v>2.84</v>
      </c>
      <c r="H1096" s="930"/>
    </row>
    <row r="1097" spans="1:8" ht="18" customHeight="1">
      <c r="A1097" s="75"/>
      <c r="B1097" s="63" t="s">
        <v>1916</v>
      </c>
      <c r="C1097" s="70">
        <v>1</v>
      </c>
      <c r="D1097" s="68">
        <f>3.25-0.1+0.1</f>
        <v>3.25</v>
      </c>
      <c r="E1097" s="68">
        <v>0.2</v>
      </c>
      <c r="F1097" s="68">
        <v>3.5</v>
      </c>
      <c r="G1097" s="67">
        <f t="shared" si="38"/>
        <v>2.2799999999999998</v>
      </c>
      <c r="H1097" s="930"/>
    </row>
    <row r="1098" spans="1:8" ht="18" customHeight="1">
      <c r="A1098" s="75"/>
      <c r="B1098" s="63" t="s">
        <v>1917</v>
      </c>
      <c r="C1098" s="70">
        <v>1</v>
      </c>
      <c r="D1098" s="68">
        <v>4.22</v>
      </c>
      <c r="E1098" s="68">
        <v>0.2</v>
      </c>
      <c r="F1098" s="68">
        <v>3.37</v>
      </c>
      <c r="G1098" s="67">
        <f t="shared" si="38"/>
        <v>2.84</v>
      </c>
      <c r="H1098" s="930"/>
    </row>
    <row r="1099" spans="1:8" ht="18" customHeight="1">
      <c r="A1099" s="75"/>
      <c r="B1099" s="63" t="s">
        <v>1918</v>
      </c>
      <c r="C1099" s="70">
        <v>1</v>
      </c>
      <c r="D1099" s="68">
        <v>2.91</v>
      </c>
      <c r="E1099" s="68">
        <v>0.2</v>
      </c>
      <c r="F1099" s="68">
        <v>3.37</v>
      </c>
      <c r="G1099" s="67">
        <f t="shared" si="38"/>
        <v>1.96</v>
      </c>
      <c r="H1099" s="930"/>
    </row>
    <row r="1100" spans="1:8" ht="18" customHeight="1">
      <c r="A1100" s="75"/>
      <c r="B1100" s="63" t="s">
        <v>1919</v>
      </c>
      <c r="C1100" s="70">
        <v>1</v>
      </c>
      <c r="D1100" s="68">
        <v>3.3</v>
      </c>
      <c r="E1100" s="68">
        <v>0.2</v>
      </c>
      <c r="F1100" s="68">
        <v>3.37</v>
      </c>
      <c r="G1100" s="67">
        <f t="shared" si="38"/>
        <v>2.2200000000000002</v>
      </c>
      <c r="H1100" s="930"/>
    </row>
    <row r="1101" spans="1:8" ht="18" customHeight="1">
      <c r="A1101" s="75"/>
      <c r="B1101" s="63"/>
      <c r="C1101" s="70">
        <v>1</v>
      </c>
      <c r="D1101" s="68">
        <v>1.5</v>
      </c>
      <c r="E1101" s="68">
        <v>0.2</v>
      </c>
      <c r="F1101" s="68">
        <v>3.37</v>
      </c>
      <c r="G1101" s="67">
        <f t="shared" si="38"/>
        <v>1.01</v>
      </c>
      <c r="H1101" s="930"/>
    </row>
    <row r="1102" spans="1:8" ht="18" customHeight="1">
      <c r="A1102" s="75"/>
      <c r="B1102" s="63" t="s">
        <v>950</v>
      </c>
      <c r="C1102" s="70">
        <v>1</v>
      </c>
      <c r="D1102" s="68">
        <v>3.1</v>
      </c>
      <c r="E1102" s="68">
        <v>0.2</v>
      </c>
      <c r="F1102" s="68">
        <v>4.5</v>
      </c>
      <c r="G1102" s="67">
        <f t="shared" si="38"/>
        <v>2.79</v>
      </c>
      <c r="H1102" s="930"/>
    </row>
    <row r="1103" spans="1:8" ht="18" customHeight="1">
      <c r="A1103" s="75"/>
      <c r="B1103" s="63" t="s">
        <v>951</v>
      </c>
      <c r="C1103" s="70">
        <v>-1</v>
      </c>
      <c r="D1103" s="68">
        <v>1</v>
      </c>
      <c r="E1103" s="68">
        <v>0.2</v>
      </c>
      <c r="F1103" s="68">
        <v>1.8</v>
      </c>
      <c r="G1103" s="67">
        <f t="shared" si="38"/>
        <v>-0.36</v>
      </c>
      <c r="H1103" s="930"/>
    </row>
    <row r="1104" spans="1:8" ht="18" customHeight="1">
      <c r="A1104" s="75"/>
      <c r="B1104" s="63" t="s">
        <v>952</v>
      </c>
      <c r="C1104" s="70">
        <v>1</v>
      </c>
      <c r="D1104" s="68">
        <v>6.7039999999999997</v>
      </c>
      <c r="E1104" s="68">
        <v>0.2</v>
      </c>
      <c r="F1104" s="68">
        <v>3.2</v>
      </c>
      <c r="G1104" s="67">
        <f t="shared" si="38"/>
        <v>4.29</v>
      </c>
      <c r="H1104" s="930"/>
    </row>
    <row r="1105" spans="1:8" ht="18" customHeight="1">
      <c r="A1105" s="75"/>
      <c r="B1105" s="63" t="s">
        <v>954</v>
      </c>
      <c r="C1105" s="70"/>
      <c r="D1105" s="68"/>
      <c r="E1105" s="68"/>
      <c r="F1105" s="68"/>
      <c r="G1105" s="67" t="str">
        <f t="shared" si="38"/>
        <v xml:space="preserve"> </v>
      </c>
      <c r="H1105" s="930"/>
    </row>
    <row r="1106" spans="1:8" ht="18" customHeight="1">
      <c r="A1106" s="75"/>
      <c r="B1106" s="63" t="s">
        <v>955</v>
      </c>
      <c r="C1106" s="70">
        <v>1</v>
      </c>
      <c r="D1106" s="68">
        <f>3.175-0.2</f>
        <v>2.9749999999999996</v>
      </c>
      <c r="E1106" s="68">
        <v>0.2</v>
      </c>
      <c r="F1106" s="68">
        <v>3.37</v>
      </c>
      <c r="G1106" s="67">
        <f t="shared" si="38"/>
        <v>2.0099999999999998</v>
      </c>
      <c r="H1106" s="930"/>
    </row>
    <row r="1107" spans="1:8" ht="18" customHeight="1">
      <c r="A1107" s="75"/>
      <c r="B1107" s="63" t="s">
        <v>953</v>
      </c>
      <c r="C1107" s="70">
        <v>-1</v>
      </c>
      <c r="D1107" s="68">
        <v>1.2</v>
      </c>
      <c r="E1107" s="68">
        <v>0.2</v>
      </c>
      <c r="F1107" s="68">
        <v>2.1</v>
      </c>
      <c r="G1107" s="67">
        <f t="shared" si="38"/>
        <v>-0.5</v>
      </c>
      <c r="H1107" s="930"/>
    </row>
    <row r="1108" spans="1:8" ht="18" customHeight="1">
      <c r="A1108" s="75"/>
      <c r="B1108" s="63" t="s">
        <v>956</v>
      </c>
      <c r="C1108" s="70">
        <v>-1</v>
      </c>
      <c r="D1108" s="68">
        <v>0.9</v>
      </c>
      <c r="E1108" s="68">
        <v>0.2</v>
      </c>
      <c r="F1108" s="68">
        <v>2</v>
      </c>
      <c r="G1108" s="67">
        <f t="shared" si="38"/>
        <v>-0.36</v>
      </c>
      <c r="H1108" s="930"/>
    </row>
    <row r="1109" spans="1:8" ht="18" customHeight="1">
      <c r="A1109" s="75"/>
      <c r="B1109" s="63" t="s">
        <v>957</v>
      </c>
      <c r="C1109" s="70">
        <v>1</v>
      </c>
      <c r="D1109" s="68">
        <v>0.94</v>
      </c>
      <c r="E1109" s="68">
        <v>0.2</v>
      </c>
      <c r="F1109" s="68">
        <v>3.37</v>
      </c>
      <c r="G1109" s="67">
        <f t="shared" si="38"/>
        <v>0.63</v>
      </c>
      <c r="H1109" s="930"/>
    </row>
    <row r="1110" spans="1:8" ht="18" customHeight="1">
      <c r="A1110" s="75"/>
      <c r="B1110" s="63"/>
      <c r="C1110" s="70">
        <v>1</v>
      </c>
      <c r="D1110" s="68">
        <f>3.175-0.1-0.1-1.2</f>
        <v>1.7749999999999997</v>
      </c>
      <c r="E1110" s="68">
        <v>0.2</v>
      </c>
      <c r="F1110" s="68">
        <v>3.37</v>
      </c>
      <c r="G1110" s="67">
        <f t="shared" si="38"/>
        <v>1.2</v>
      </c>
      <c r="H1110" s="930"/>
    </row>
    <row r="1111" spans="1:8" ht="18" customHeight="1">
      <c r="A1111" s="75"/>
      <c r="B1111" s="64" t="s">
        <v>959</v>
      </c>
      <c r="C1111" s="70"/>
      <c r="D1111" s="68"/>
      <c r="E1111" s="68"/>
      <c r="F1111" s="68"/>
      <c r="G1111" s="67" t="str">
        <f t="shared" si="38"/>
        <v xml:space="preserve"> </v>
      </c>
      <c r="H1111" s="930"/>
    </row>
    <row r="1112" spans="1:8" ht="18" customHeight="1">
      <c r="A1112" s="75"/>
      <c r="B1112" s="63" t="s">
        <v>960</v>
      </c>
      <c r="C1112" s="70">
        <v>1</v>
      </c>
      <c r="D1112" s="68">
        <v>6.5659999999999998</v>
      </c>
      <c r="E1112" s="68">
        <v>0.2</v>
      </c>
      <c r="F1112" s="68">
        <v>3.2</v>
      </c>
      <c r="G1112" s="67">
        <f t="shared" si="38"/>
        <v>4.2</v>
      </c>
      <c r="H1112" s="930"/>
    </row>
    <row r="1113" spans="1:8" ht="18" customHeight="1">
      <c r="A1113" s="75"/>
      <c r="B1113" s="63" t="s">
        <v>961</v>
      </c>
      <c r="C1113" s="70">
        <v>1</v>
      </c>
      <c r="D1113" s="68">
        <v>4.3449999999999998</v>
      </c>
      <c r="E1113" s="68">
        <v>0.2</v>
      </c>
      <c r="F1113" s="68">
        <v>3.2</v>
      </c>
      <c r="G1113" s="67">
        <f t="shared" si="38"/>
        <v>2.78</v>
      </c>
      <c r="H1113" s="930"/>
    </row>
    <row r="1114" spans="1:8" ht="18" customHeight="1">
      <c r="A1114" s="75"/>
      <c r="B1114" s="63" t="s">
        <v>962</v>
      </c>
      <c r="C1114" s="70">
        <v>1</v>
      </c>
      <c r="D1114" s="68">
        <v>10.462999999999999</v>
      </c>
      <c r="E1114" s="68">
        <v>0.2</v>
      </c>
      <c r="F1114" s="68">
        <v>3.2</v>
      </c>
      <c r="G1114" s="67">
        <f t="shared" si="38"/>
        <v>6.7</v>
      </c>
      <c r="H1114" s="930"/>
    </row>
    <row r="1115" spans="1:8" ht="18" customHeight="1">
      <c r="A1115" s="75"/>
      <c r="B1115" s="63" t="s">
        <v>963</v>
      </c>
      <c r="C1115" s="70">
        <v>-1</v>
      </c>
      <c r="D1115" s="68">
        <v>0.8</v>
      </c>
      <c r="E1115" s="68">
        <v>0.2</v>
      </c>
      <c r="F1115" s="68">
        <v>2</v>
      </c>
      <c r="G1115" s="67">
        <f t="shared" si="38"/>
        <v>-0.32</v>
      </c>
      <c r="H1115" s="930"/>
    </row>
    <row r="1116" spans="1:8" ht="18" customHeight="1">
      <c r="A1116" s="75"/>
      <c r="B1116" s="63" t="s">
        <v>964</v>
      </c>
      <c r="C1116" s="70">
        <v>-2</v>
      </c>
      <c r="D1116" s="68">
        <v>1.2</v>
      </c>
      <c r="E1116" s="68">
        <v>0.2</v>
      </c>
      <c r="F1116" s="68">
        <v>1.2</v>
      </c>
      <c r="G1116" s="67">
        <f t="shared" si="38"/>
        <v>-0.57999999999999996</v>
      </c>
      <c r="H1116" s="930"/>
    </row>
    <row r="1117" spans="1:8" ht="18" customHeight="1">
      <c r="A1117" s="75"/>
      <c r="B1117" s="63" t="s">
        <v>965</v>
      </c>
      <c r="C1117" s="70">
        <v>1</v>
      </c>
      <c r="D1117" s="68">
        <f>2.298+4.6+3.825+0.1-0.1</f>
        <v>10.722999999999999</v>
      </c>
      <c r="E1117" s="68">
        <v>0.2</v>
      </c>
      <c r="F1117" s="68">
        <v>3.2</v>
      </c>
      <c r="G1117" s="67">
        <f t="shared" si="38"/>
        <v>6.86</v>
      </c>
      <c r="H1117" s="930"/>
    </row>
    <row r="1118" spans="1:8" ht="18" customHeight="1">
      <c r="A1118" s="75"/>
      <c r="B1118" s="63" t="s">
        <v>966</v>
      </c>
      <c r="C1118" s="70">
        <v>-2</v>
      </c>
      <c r="D1118" s="68">
        <v>1</v>
      </c>
      <c r="E1118" s="68">
        <v>0.2</v>
      </c>
      <c r="F1118" s="68">
        <v>1.8</v>
      </c>
      <c r="G1118" s="67">
        <f t="shared" si="38"/>
        <v>-0.72</v>
      </c>
      <c r="H1118" s="930"/>
    </row>
    <row r="1119" spans="1:8" ht="18" customHeight="1">
      <c r="A1119" s="75"/>
      <c r="B1119" s="63" t="s">
        <v>1920</v>
      </c>
      <c r="C1119" s="70">
        <v>1</v>
      </c>
      <c r="D1119" s="68">
        <v>0.8</v>
      </c>
      <c r="E1119" s="68">
        <v>0.2</v>
      </c>
      <c r="F1119" s="68">
        <v>3.2</v>
      </c>
      <c r="G1119" s="67">
        <f t="shared" si="38"/>
        <v>0.51</v>
      </c>
      <c r="H1119" s="930"/>
    </row>
    <row r="1120" spans="1:8" ht="18" customHeight="1">
      <c r="A1120" s="75"/>
      <c r="B1120" s="63" t="s">
        <v>967</v>
      </c>
      <c r="C1120" s="70">
        <v>1</v>
      </c>
      <c r="D1120" s="68">
        <v>8.6170000000000009</v>
      </c>
      <c r="E1120" s="68">
        <v>0.2</v>
      </c>
      <c r="F1120" s="68">
        <v>3.2</v>
      </c>
      <c r="G1120" s="67">
        <f t="shared" si="38"/>
        <v>5.51</v>
      </c>
      <c r="H1120" s="930"/>
    </row>
    <row r="1121" spans="1:8" ht="18" customHeight="1">
      <c r="A1121" s="75"/>
      <c r="B1121" s="63" t="s">
        <v>968</v>
      </c>
      <c r="C1121" s="70">
        <v>1</v>
      </c>
      <c r="D1121" s="68">
        <v>5</v>
      </c>
      <c r="E1121" s="68">
        <v>0.2</v>
      </c>
      <c r="F1121" s="68">
        <v>3.2</v>
      </c>
      <c r="G1121" s="67">
        <f t="shared" si="38"/>
        <v>3.2</v>
      </c>
      <c r="H1121" s="930"/>
    </row>
    <row r="1122" spans="1:8" ht="18" customHeight="1">
      <c r="A1122" s="75"/>
      <c r="B1122" s="63" t="s">
        <v>970</v>
      </c>
      <c r="C1122" s="70">
        <v>1</v>
      </c>
      <c r="D1122" s="68">
        <v>5</v>
      </c>
      <c r="E1122" s="68">
        <v>0.2</v>
      </c>
      <c r="F1122" s="68">
        <v>3.2</v>
      </c>
      <c r="G1122" s="67">
        <f t="shared" si="38"/>
        <v>3.2</v>
      </c>
      <c r="H1122" s="930"/>
    </row>
    <row r="1123" spans="1:8" ht="18" customHeight="1">
      <c r="A1123" s="75"/>
      <c r="B1123" s="63" t="s">
        <v>969</v>
      </c>
      <c r="C1123" s="70">
        <v>1</v>
      </c>
      <c r="D1123" s="68">
        <v>7.0620000000000003</v>
      </c>
      <c r="E1123" s="68">
        <v>0.2</v>
      </c>
      <c r="F1123" s="68">
        <v>3.2</v>
      </c>
      <c r="G1123" s="67">
        <f t="shared" si="38"/>
        <v>4.5199999999999996</v>
      </c>
      <c r="H1123" s="930"/>
    </row>
    <row r="1124" spans="1:8" ht="18" customHeight="1">
      <c r="A1124" s="75"/>
      <c r="B1124" s="64" t="s">
        <v>1106</v>
      </c>
      <c r="C1124" s="70"/>
      <c r="D1124" s="68"/>
      <c r="E1124" s="68"/>
      <c r="F1124" s="68"/>
      <c r="G1124" s="67" t="str">
        <f t="shared" si="38"/>
        <v xml:space="preserve"> </v>
      </c>
      <c r="H1124" s="930"/>
    </row>
    <row r="1125" spans="1:8" ht="18" customHeight="1">
      <c r="A1125" s="75"/>
      <c r="B1125" s="406" t="s">
        <v>1049</v>
      </c>
      <c r="C1125" s="70">
        <v>1</v>
      </c>
      <c r="D1125" s="68">
        <f>12.9-0.1</f>
        <v>12.8</v>
      </c>
      <c r="E1125" s="68">
        <v>0.2</v>
      </c>
      <c r="F1125" s="68">
        <v>4.5</v>
      </c>
      <c r="G1125" s="67">
        <f t="shared" si="38"/>
        <v>11.52</v>
      </c>
      <c r="H1125" s="930"/>
    </row>
    <row r="1126" spans="1:8" ht="18" customHeight="1">
      <c r="A1126" s="75"/>
      <c r="B1126" s="406" t="s">
        <v>941</v>
      </c>
      <c r="C1126" s="70">
        <v>-4</v>
      </c>
      <c r="D1126" s="68">
        <v>1</v>
      </c>
      <c r="E1126" s="68">
        <v>0.2</v>
      </c>
      <c r="F1126" s="68">
        <v>1.8</v>
      </c>
      <c r="G1126" s="67">
        <f t="shared" si="38"/>
        <v>-1.44</v>
      </c>
      <c r="H1126" s="930"/>
    </row>
    <row r="1127" spans="1:8" ht="18" customHeight="1">
      <c r="A1127" s="75"/>
      <c r="B1127" s="406" t="s">
        <v>1050</v>
      </c>
      <c r="C1127" s="70">
        <v>1</v>
      </c>
      <c r="D1127" s="68">
        <f>12.9-0.1</f>
        <v>12.8</v>
      </c>
      <c r="E1127" s="68">
        <v>0.2</v>
      </c>
      <c r="F1127" s="68">
        <v>3.2</v>
      </c>
      <c r="G1127" s="67">
        <f t="shared" si="38"/>
        <v>8.19</v>
      </c>
      <c r="H1127" s="930"/>
    </row>
    <row r="1128" spans="1:8" ht="18" customHeight="1">
      <c r="A1128" s="75"/>
      <c r="B1128" s="406" t="s">
        <v>1093</v>
      </c>
      <c r="C1128" s="70">
        <v>-3</v>
      </c>
      <c r="D1128" s="68">
        <v>1</v>
      </c>
      <c r="E1128" s="68">
        <v>0.2</v>
      </c>
      <c r="F1128" s="68">
        <v>1.8</v>
      </c>
      <c r="G1128" s="67">
        <f t="shared" si="38"/>
        <v>-1.08</v>
      </c>
      <c r="H1128" s="930"/>
    </row>
    <row r="1129" spans="1:8" ht="18" customHeight="1">
      <c r="A1129" s="75"/>
      <c r="B1129" s="406" t="s">
        <v>1094</v>
      </c>
      <c r="C1129" s="70">
        <v>-1</v>
      </c>
      <c r="D1129" s="68">
        <v>3</v>
      </c>
      <c r="E1129" s="68">
        <v>0.2</v>
      </c>
      <c r="F1129" s="68">
        <v>1.8</v>
      </c>
      <c r="G1129" s="67">
        <f t="shared" si="38"/>
        <v>-1.08</v>
      </c>
      <c r="H1129" s="930"/>
    </row>
    <row r="1130" spans="1:8" ht="18" customHeight="1">
      <c r="A1130" s="75"/>
      <c r="B1130" s="63" t="s">
        <v>1969</v>
      </c>
      <c r="C1130" s="70">
        <v>1</v>
      </c>
      <c r="D1130" s="68">
        <f>1.425+3.175+0.275-0.2</f>
        <v>4.6749999999999998</v>
      </c>
      <c r="E1130" s="68">
        <v>0.2</v>
      </c>
      <c r="F1130" s="68">
        <v>3.37</v>
      </c>
      <c r="G1130" s="67">
        <f t="shared" si="38"/>
        <v>3.15</v>
      </c>
      <c r="H1130" s="930"/>
    </row>
    <row r="1131" spans="1:8" ht="18" customHeight="1">
      <c r="A1131" s="75"/>
      <c r="B1131" s="409" t="s">
        <v>2008</v>
      </c>
      <c r="C1131" s="70">
        <v>1</v>
      </c>
      <c r="D1131" s="68">
        <f>1.875+2.725+0.275-0.2</f>
        <v>4.6749999999999998</v>
      </c>
      <c r="E1131" s="68">
        <v>0.2</v>
      </c>
      <c r="F1131" s="68">
        <v>3.37</v>
      </c>
      <c r="G1131" s="67">
        <f t="shared" si="38"/>
        <v>3.15</v>
      </c>
      <c r="H1131" s="930"/>
    </row>
    <row r="1132" spans="1:8" ht="18" customHeight="1">
      <c r="A1132" s="75"/>
      <c r="B1132" s="411" t="s">
        <v>1095</v>
      </c>
      <c r="C1132" s="70"/>
      <c r="D1132" s="68"/>
      <c r="E1132" s="68"/>
      <c r="F1132" s="68"/>
      <c r="G1132" s="67" t="str">
        <f t="shared" si="38"/>
        <v xml:space="preserve"> </v>
      </c>
      <c r="H1132" s="930"/>
    </row>
    <row r="1133" spans="1:8" ht="18" customHeight="1">
      <c r="A1133" s="75"/>
      <c r="B1133" s="409" t="s">
        <v>1056</v>
      </c>
      <c r="C1133" s="70">
        <v>1</v>
      </c>
      <c r="D1133" s="68">
        <v>13.4</v>
      </c>
      <c r="E1133" s="68">
        <v>0.2</v>
      </c>
      <c r="F1133" s="68">
        <v>4.5</v>
      </c>
      <c r="G1133" s="67">
        <f t="shared" si="38"/>
        <v>12.06</v>
      </c>
      <c r="H1133" s="930"/>
    </row>
    <row r="1134" spans="1:8" ht="18" customHeight="1">
      <c r="A1134" s="75"/>
      <c r="B1134" s="409" t="s">
        <v>1051</v>
      </c>
      <c r="C1134" s="70">
        <v>-4</v>
      </c>
      <c r="D1134" s="68">
        <v>1</v>
      </c>
      <c r="E1134" s="68">
        <v>0.2</v>
      </c>
      <c r="F1134" s="68">
        <v>1.8</v>
      </c>
      <c r="G1134" s="67">
        <f t="shared" si="38"/>
        <v>-1.44</v>
      </c>
      <c r="H1134" s="930"/>
    </row>
    <row r="1135" spans="1:8" ht="18" customHeight="1">
      <c r="A1135" s="75"/>
      <c r="B1135" s="63" t="s">
        <v>1057</v>
      </c>
      <c r="C1135" s="70">
        <v>1</v>
      </c>
      <c r="D1135" s="68">
        <v>12.75</v>
      </c>
      <c r="E1135" s="68">
        <v>0.2</v>
      </c>
      <c r="F1135" s="68">
        <v>3.2</v>
      </c>
      <c r="G1135" s="67">
        <f t="shared" si="38"/>
        <v>8.16</v>
      </c>
      <c r="H1135" s="930"/>
    </row>
    <row r="1136" spans="1:8" ht="18" customHeight="1">
      <c r="A1136" s="75"/>
      <c r="B1136" s="63" t="s">
        <v>1051</v>
      </c>
      <c r="C1136" s="70">
        <v>-4</v>
      </c>
      <c r="D1136" s="68">
        <v>1</v>
      </c>
      <c r="E1136" s="68">
        <v>0.2</v>
      </c>
      <c r="F1136" s="68">
        <v>1.8</v>
      </c>
      <c r="G1136" s="67">
        <f t="shared" si="38"/>
        <v>-1.44</v>
      </c>
      <c r="H1136" s="930"/>
    </row>
    <row r="1137" spans="1:8" ht="18" customHeight="1">
      <c r="A1137" s="75"/>
      <c r="B1137" s="63" t="s">
        <v>1991</v>
      </c>
      <c r="C1137" s="70">
        <v>1</v>
      </c>
      <c r="D1137" s="68">
        <f>2.025+4.6+0.275-0.2+0.275</f>
        <v>6.9750000000000005</v>
      </c>
      <c r="E1137" s="68">
        <v>0.2</v>
      </c>
      <c r="F1137" s="68">
        <v>3.2</v>
      </c>
      <c r="G1137" s="67">
        <f t="shared" si="38"/>
        <v>4.46</v>
      </c>
      <c r="H1137" s="930"/>
    </row>
    <row r="1138" spans="1:8" ht="18" customHeight="1">
      <c r="A1138" s="75"/>
      <c r="B1138" s="63" t="s">
        <v>1975</v>
      </c>
      <c r="C1138" s="70">
        <v>1</v>
      </c>
      <c r="D1138" s="68">
        <f>1.525+3.075+1.6-0.275-0.2</f>
        <v>5.7249999999999988</v>
      </c>
      <c r="E1138" s="68">
        <v>0.2</v>
      </c>
      <c r="F1138" s="68">
        <v>3.2</v>
      </c>
      <c r="G1138" s="67">
        <f t="shared" si="38"/>
        <v>3.66</v>
      </c>
      <c r="H1138" s="930"/>
    </row>
    <row r="1139" spans="1:8" ht="18" customHeight="1">
      <c r="A1139" s="75"/>
      <c r="B1139" s="64" t="s">
        <v>1097</v>
      </c>
      <c r="C1139" s="70"/>
      <c r="D1139" s="68"/>
      <c r="E1139" s="68"/>
      <c r="F1139" s="68"/>
      <c r="G1139" s="67" t="str">
        <f t="shared" si="38"/>
        <v xml:space="preserve"> </v>
      </c>
      <c r="H1139" s="930"/>
    </row>
    <row r="1140" spans="1:8" ht="18" customHeight="1">
      <c r="A1140" s="75"/>
      <c r="B1140" s="63" t="s">
        <v>1063</v>
      </c>
      <c r="C1140" s="70">
        <v>1</v>
      </c>
      <c r="D1140" s="68">
        <v>18.3</v>
      </c>
      <c r="E1140" s="68">
        <v>0.2</v>
      </c>
      <c r="F1140" s="68">
        <v>3.2</v>
      </c>
      <c r="G1140" s="67">
        <f t="shared" si="38"/>
        <v>11.71</v>
      </c>
      <c r="H1140" s="930"/>
    </row>
    <row r="1141" spans="1:8" ht="18" customHeight="1">
      <c r="A1141" s="75"/>
      <c r="B1141" s="63" t="s">
        <v>1065</v>
      </c>
      <c r="C1141" s="70">
        <v>-3</v>
      </c>
      <c r="D1141" s="68">
        <v>1</v>
      </c>
      <c r="E1141" s="68">
        <v>0.2</v>
      </c>
      <c r="F1141" s="68">
        <v>1.8</v>
      </c>
      <c r="G1141" s="67">
        <f t="shared" si="38"/>
        <v>-1.08</v>
      </c>
      <c r="H1141" s="930"/>
    </row>
    <row r="1142" spans="1:8" ht="18" customHeight="1">
      <c r="A1142" s="75"/>
      <c r="B1142" s="63" t="s">
        <v>1098</v>
      </c>
      <c r="C1142" s="70">
        <v>-2</v>
      </c>
      <c r="D1142" s="68">
        <v>1.85</v>
      </c>
      <c r="E1142" s="68">
        <v>0.2</v>
      </c>
      <c r="F1142" s="68">
        <v>2.4</v>
      </c>
      <c r="G1142" s="67">
        <f t="shared" si="38"/>
        <v>-1.78</v>
      </c>
      <c r="H1142" s="930"/>
    </row>
    <row r="1143" spans="1:8" ht="18" customHeight="1">
      <c r="A1143" s="75"/>
      <c r="B1143" s="63" t="s">
        <v>1069</v>
      </c>
      <c r="C1143" s="70">
        <v>-1</v>
      </c>
      <c r="D1143" s="68">
        <v>1.8</v>
      </c>
      <c r="E1143" s="68">
        <v>0.2</v>
      </c>
      <c r="F1143" s="68">
        <v>2.1</v>
      </c>
      <c r="G1143" s="67">
        <f t="shared" si="38"/>
        <v>-0.76</v>
      </c>
      <c r="H1143" s="930"/>
    </row>
    <row r="1144" spans="1:8" ht="18" customHeight="1">
      <c r="A1144" s="75"/>
      <c r="B1144" s="63" t="s">
        <v>1107</v>
      </c>
      <c r="C1144" s="70">
        <v>1</v>
      </c>
      <c r="D1144" s="68">
        <f>12.5+0.4</f>
        <v>12.9</v>
      </c>
      <c r="E1144" s="68">
        <v>0.2</v>
      </c>
      <c r="F1144" s="68">
        <v>3.5</v>
      </c>
      <c r="G1144" s="67">
        <f t="shared" si="38"/>
        <v>9.0299999999999994</v>
      </c>
      <c r="H1144" s="930"/>
    </row>
    <row r="1145" spans="1:8" ht="18" customHeight="1">
      <c r="A1145" s="75"/>
      <c r="B1145" s="63" t="s">
        <v>1092</v>
      </c>
      <c r="C1145" s="70">
        <v>-2</v>
      </c>
      <c r="D1145" s="68">
        <v>1.85</v>
      </c>
      <c r="E1145" s="68">
        <v>0.2</v>
      </c>
      <c r="F1145" s="68">
        <v>2.4</v>
      </c>
      <c r="G1145" s="67">
        <f t="shared" si="38"/>
        <v>-1.78</v>
      </c>
      <c r="H1145" s="930"/>
    </row>
    <row r="1146" spans="1:8" ht="18" customHeight="1">
      <c r="A1146" s="75"/>
      <c r="B1146" s="63" t="s">
        <v>1069</v>
      </c>
      <c r="C1146" s="70">
        <v>-1</v>
      </c>
      <c r="D1146" s="68">
        <v>1.8</v>
      </c>
      <c r="E1146" s="68">
        <v>0.2</v>
      </c>
      <c r="F1146" s="68">
        <v>2.1</v>
      </c>
      <c r="G1146" s="67">
        <f t="shared" si="38"/>
        <v>-0.76</v>
      </c>
      <c r="H1146" s="930"/>
    </row>
    <row r="1147" spans="1:8" ht="18" customHeight="1">
      <c r="A1147" s="75"/>
      <c r="B1147" s="63" t="s">
        <v>2009</v>
      </c>
      <c r="C1147" s="70">
        <v>1</v>
      </c>
      <c r="D1147" s="68">
        <f>12.5</f>
        <v>12.5</v>
      </c>
      <c r="E1147" s="68">
        <v>0.2</v>
      </c>
      <c r="F1147" s="68">
        <v>1.1000000000000001</v>
      </c>
      <c r="G1147" s="67">
        <f t="shared" si="38"/>
        <v>2.75</v>
      </c>
      <c r="H1147" s="930"/>
    </row>
    <row r="1148" spans="1:8" ht="18" customHeight="1">
      <c r="A1148" s="75"/>
      <c r="B1148" s="63" t="s">
        <v>1976</v>
      </c>
      <c r="C1148" s="70">
        <v>1</v>
      </c>
      <c r="D1148" s="68">
        <f>1.425+3.175-0.38</f>
        <v>4.22</v>
      </c>
      <c r="E1148" s="68">
        <v>0.2</v>
      </c>
      <c r="F1148" s="68">
        <v>3.37</v>
      </c>
      <c r="G1148" s="67">
        <f t="shared" si="38"/>
        <v>2.84</v>
      </c>
      <c r="H1148" s="930"/>
    </row>
    <row r="1149" spans="1:8" ht="18" customHeight="1">
      <c r="A1149" s="75"/>
      <c r="B1149" s="63" t="s">
        <v>1605</v>
      </c>
      <c r="C1149" s="70">
        <v>1</v>
      </c>
      <c r="D1149" s="68">
        <f>2.725+1.875-0.38</f>
        <v>4.22</v>
      </c>
      <c r="E1149" s="68">
        <v>0.2</v>
      </c>
      <c r="F1149" s="68">
        <v>3.37</v>
      </c>
      <c r="G1149" s="67">
        <f t="shared" si="38"/>
        <v>2.84</v>
      </c>
      <c r="H1149" s="930"/>
    </row>
    <row r="1150" spans="1:8" ht="18" customHeight="1">
      <c r="A1150" s="75"/>
      <c r="B1150" s="63" t="s">
        <v>1076</v>
      </c>
      <c r="C1150" s="70"/>
      <c r="D1150" s="68"/>
      <c r="E1150" s="68"/>
      <c r="F1150" s="68"/>
      <c r="G1150" s="67" t="str">
        <f t="shared" si="38"/>
        <v xml:space="preserve"> </v>
      </c>
      <c r="H1150" s="930"/>
    </row>
    <row r="1151" spans="1:8" ht="18" customHeight="1">
      <c r="A1151" s="75"/>
      <c r="B1151" s="63" t="s">
        <v>1999</v>
      </c>
      <c r="C1151" s="70">
        <v>1</v>
      </c>
      <c r="D1151" s="68">
        <f>2.025+4.6+0.275-0.19</f>
        <v>6.71</v>
      </c>
      <c r="E1151" s="68">
        <v>0.2</v>
      </c>
      <c r="F1151" s="68">
        <v>3.2</v>
      </c>
      <c r="G1151" s="67">
        <f t="shared" si="38"/>
        <v>4.29</v>
      </c>
      <c r="H1151" s="930"/>
    </row>
    <row r="1152" spans="1:8" ht="18" customHeight="1">
      <c r="A1152" s="75"/>
      <c r="B1152" s="63" t="s">
        <v>1981</v>
      </c>
      <c r="C1152" s="70">
        <v>1</v>
      </c>
      <c r="D1152" s="68">
        <v>6.58</v>
      </c>
      <c r="E1152" s="68">
        <v>0.2</v>
      </c>
      <c r="F1152" s="68">
        <v>3.2</v>
      </c>
      <c r="G1152" s="67">
        <f t="shared" si="38"/>
        <v>4.21</v>
      </c>
      <c r="H1152" s="930"/>
    </row>
    <row r="1153" spans="1:8" ht="18" customHeight="1">
      <c r="A1153" s="75"/>
      <c r="B1153" s="63" t="s">
        <v>1982</v>
      </c>
      <c r="C1153" s="70">
        <v>1</v>
      </c>
      <c r="D1153" s="68">
        <v>4.9000000000000004</v>
      </c>
      <c r="E1153" s="68">
        <v>0.2</v>
      </c>
      <c r="F1153" s="68">
        <v>3.37</v>
      </c>
      <c r="G1153" s="67">
        <f t="shared" si="38"/>
        <v>3.3</v>
      </c>
      <c r="H1153" s="930"/>
    </row>
    <row r="1154" spans="1:8" ht="18" customHeight="1">
      <c r="A1154" s="75"/>
      <c r="B1154" s="63" t="s">
        <v>1077</v>
      </c>
      <c r="C1154" s="70">
        <v>1</v>
      </c>
      <c r="D1154" s="68">
        <f>0.8+0.275+0.2</f>
        <v>1.2750000000000001</v>
      </c>
      <c r="E1154" s="68">
        <v>0.2</v>
      </c>
      <c r="F1154" s="68">
        <v>3.2</v>
      </c>
      <c r="G1154" s="67">
        <f t="shared" si="38"/>
        <v>0.82</v>
      </c>
      <c r="H1154" s="930"/>
    </row>
    <row r="1155" spans="1:8" ht="18" customHeight="1">
      <c r="A1155" s="75"/>
      <c r="B1155" s="63" t="s">
        <v>1100</v>
      </c>
      <c r="C1155" s="70">
        <v>1</v>
      </c>
      <c r="D1155" s="68">
        <f>6.3</f>
        <v>6.3</v>
      </c>
      <c r="E1155" s="68">
        <v>0.2</v>
      </c>
      <c r="F1155" s="68">
        <v>3.2</v>
      </c>
      <c r="G1155" s="67">
        <f t="shared" si="38"/>
        <v>4.03</v>
      </c>
      <c r="H1155" s="930"/>
    </row>
    <row r="1156" spans="1:8" ht="18" customHeight="1">
      <c r="A1156" s="75"/>
      <c r="B1156" s="63" t="s">
        <v>1101</v>
      </c>
      <c r="C1156" s="70">
        <v>-1</v>
      </c>
      <c r="D1156" s="68">
        <v>4.9000000000000004</v>
      </c>
      <c r="E1156" s="68">
        <v>0.2</v>
      </c>
      <c r="F1156" s="68">
        <v>1.8</v>
      </c>
      <c r="G1156" s="67">
        <f t="shared" ref="G1156:G1219" si="39">IF(C1156&lt;&gt;0,ROUND(PRODUCT(D1156:F1156)*C1156,2)," ")</f>
        <v>-1.76</v>
      </c>
      <c r="H1156" s="930"/>
    </row>
    <row r="1157" spans="1:8" ht="18" customHeight="1">
      <c r="A1157" s="75"/>
      <c r="B1157" s="63" t="s">
        <v>1081</v>
      </c>
      <c r="C1157" s="70">
        <v>1</v>
      </c>
      <c r="D1157" s="68">
        <f>6.45+6.45-0.1</f>
        <v>12.8</v>
      </c>
      <c r="E1157" s="68">
        <v>0.2</v>
      </c>
      <c r="F1157" s="68">
        <v>4.5</v>
      </c>
      <c r="G1157" s="67">
        <f t="shared" si="39"/>
        <v>11.52</v>
      </c>
      <c r="H1157" s="930"/>
    </row>
    <row r="1158" spans="1:8" ht="18" customHeight="1">
      <c r="A1158" s="75"/>
      <c r="B1158" s="63" t="s">
        <v>1051</v>
      </c>
      <c r="C1158" s="70">
        <v>-4</v>
      </c>
      <c r="D1158" s="68">
        <v>1</v>
      </c>
      <c r="E1158" s="68">
        <v>0.2</v>
      </c>
      <c r="F1158" s="68">
        <v>1.8</v>
      </c>
      <c r="G1158" s="67">
        <f t="shared" si="39"/>
        <v>-1.44</v>
      </c>
      <c r="H1158" s="930"/>
    </row>
    <row r="1159" spans="1:8" ht="18" customHeight="1">
      <c r="A1159" s="75"/>
      <c r="B1159" s="63" t="s">
        <v>1082</v>
      </c>
      <c r="C1159" s="70">
        <v>1</v>
      </c>
      <c r="D1159" s="68">
        <f>6.45+6.45-0.1</f>
        <v>12.8</v>
      </c>
      <c r="E1159" s="68">
        <v>0.2</v>
      </c>
      <c r="F1159" s="68">
        <v>3.2</v>
      </c>
      <c r="G1159" s="67">
        <f t="shared" si="39"/>
        <v>8.19</v>
      </c>
      <c r="H1159" s="930"/>
    </row>
    <row r="1160" spans="1:8" ht="18" customHeight="1">
      <c r="A1160" s="75"/>
      <c r="B1160" s="63" t="s">
        <v>1051</v>
      </c>
      <c r="C1160" s="70">
        <v>-3</v>
      </c>
      <c r="D1160" s="68">
        <v>1</v>
      </c>
      <c r="E1160" s="68">
        <v>0.2</v>
      </c>
      <c r="F1160" s="68">
        <v>1.8</v>
      </c>
      <c r="G1160" s="67">
        <f t="shared" si="39"/>
        <v>-1.08</v>
      </c>
      <c r="H1160" s="930"/>
    </row>
    <row r="1161" spans="1:8" ht="18" customHeight="1">
      <c r="A1161" s="75"/>
      <c r="B1161" s="63" t="s">
        <v>1083</v>
      </c>
      <c r="C1161" s="70">
        <v>-1</v>
      </c>
      <c r="D1161" s="68">
        <v>1</v>
      </c>
      <c r="E1161" s="68">
        <v>0.2</v>
      </c>
      <c r="F1161" s="68">
        <v>1.8</v>
      </c>
      <c r="G1161" s="67">
        <f t="shared" si="39"/>
        <v>-0.36</v>
      </c>
      <c r="H1161" s="930"/>
    </row>
    <row r="1162" spans="1:8" ht="18" customHeight="1">
      <c r="A1162" s="75"/>
      <c r="B1162" s="64" t="s">
        <v>1102</v>
      </c>
      <c r="C1162" s="70"/>
      <c r="D1162" s="68"/>
      <c r="E1162" s="68"/>
      <c r="F1162" s="68"/>
      <c r="G1162" s="67" t="str">
        <f t="shared" si="39"/>
        <v xml:space="preserve"> </v>
      </c>
      <c r="H1162" s="930"/>
    </row>
    <row r="1163" spans="1:8" ht="18" customHeight="1">
      <c r="A1163" s="75"/>
      <c r="B1163" s="406" t="s">
        <v>1085</v>
      </c>
      <c r="C1163" s="70">
        <v>1</v>
      </c>
      <c r="D1163" s="68">
        <v>3.194</v>
      </c>
      <c r="E1163" s="68">
        <v>0.2</v>
      </c>
      <c r="F1163" s="68">
        <v>4.5</v>
      </c>
      <c r="G1163" s="67">
        <f t="shared" si="39"/>
        <v>2.87</v>
      </c>
      <c r="H1163" s="930"/>
    </row>
    <row r="1164" spans="1:8" ht="18" customHeight="1">
      <c r="A1164" s="75"/>
      <c r="B1164" s="406" t="s">
        <v>941</v>
      </c>
      <c r="C1164" s="70">
        <v>-1</v>
      </c>
      <c r="D1164" s="68">
        <v>1</v>
      </c>
      <c r="E1164" s="68">
        <v>0.2</v>
      </c>
      <c r="F1164" s="68">
        <v>1.8</v>
      </c>
      <c r="G1164" s="67">
        <f t="shared" si="39"/>
        <v>-0.36</v>
      </c>
      <c r="H1164" s="930"/>
    </row>
    <row r="1165" spans="1:8" ht="18" customHeight="1">
      <c r="A1165" s="75"/>
      <c r="B1165" s="406" t="s">
        <v>1599</v>
      </c>
      <c r="C1165" s="70">
        <v>1</v>
      </c>
      <c r="D1165" s="68">
        <v>4.4089999999999998</v>
      </c>
      <c r="E1165" s="68">
        <v>0.2</v>
      </c>
      <c r="F1165" s="68">
        <v>3.37</v>
      </c>
      <c r="G1165" s="67">
        <f t="shared" si="39"/>
        <v>2.97</v>
      </c>
      <c r="H1165" s="930"/>
    </row>
    <row r="1166" spans="1:8" ht="18" customHeight="1">
      <c r="A1166" s="75"/>
      <c r="B1166" s="63" t="s">
        <v>1086</v>
      </c>
      <c r="C1166" s="70">
        <v>1</v>
      </c>
      <c r="D1166" s="68">
        <f>6.45+6.4+6.4+3.25+0.1-0.1</f>
        <v>22.5</v>
      </c>
      <c r="E1166" s="68">
        <v>0.2</v>
      </c>
      <c r="F1166" s="68">
        <v>4.5</v>
      </c>
      <c r="G1166" s="67">
        <f t="shared" si="39"/>
        <v>20.25</v>
      </c>
      <c r="H1166" s="930"/>
    </row>
    <row r="1167" spans="1:8" ht="18" customHeight="1">
      <c r="A1167" s="75"/>
      <c r="B1167" s="409" t="s">
        <v>943</v>
      </c>
      <c r="C1167" s="70">
        <v>-7</v>
      </c>
      <c r="D1167" s="68">
        <v>1</v>
      </c>
      <c r="E1167" s="68">
        <v>0.2</v>
      </c>
      <c r="F1167" s="68">
        <v>1.8</v>
      </c>
      <c r="G1167" s="67">
        <f t="shared" si="39"/>
        <v>-2.52</v>
      </c>
      <c r="H1167" s="930"/>
    </row>
    <row r="1168" spans="1:8" ht="18" customHeight="1">
      <c r="A1168" s="75"/>
      <c r="B1168" s="63" t="s">
        <v>1983</v>
      </c>
      <c r="C1168" s="70">
        <v>1</v>
      </c>
      <c r="D1168" s="68">
        <v>4.218</v>
      </c>
      <c r="E1168" s="68">
        <v>0.2</v>
      </c>
      <c r="F1168" s="68">
        <v>3.37</v>
      </c>
      <c r="G1168" s="67">
        <f t="shared" si="39"/>
        <v>2.84</v>
      </c>
      <c r="H1168" s="930"/>
    </row>
    <row r="1169" spans="1:8" ht="18" customHeight="1">
      <c r="A1169" s="75"/>
      <c r="B1169" s="63" t="s">
        <v>1087</v>
      </c>
      <c r="C1169" s="70">
        <v>1</v>
      </c>
      <c r="D1169" s="68">
        <v>3.1840000000000002</v>
      </c>
      <c r="E1169" s="68">
        <v>0.2</v>
      </c>
      <c r="F1169" s="68">
        <v>3.3</v>
      </c>
      <c r="G1169" s="67">
        <f t="shared" si="39"/>
        <v>2.1</v>
      </c>
      <c r="H1169" s="930"/>
    </row>
    <row r="1170" spans="1:8" ht="18" customHeight="1">
      <c r="A1170" s="75"/>
      <c r="B1170" s="63" t="s">
        <v>946</v>
      </c>
      <c r="C1170" s="70">
        <v>-1</v>
      </c>
      <c r="D1170" s="68">
        <v>2.85</v>
      </c>
      <c r="E1170" s="68">
        <v>0.2</v>
      </c>
      <c r="F1170" s="68">
        <v>1.2</v>
      </c>
      <c r="G1170" s="67">
        <f t="shared" si="39"/>
        <v>-0.68</v>
      </c>
      <c r="H1170" s="930"/>
    </row>
    <row r="1171" spans="1:8" ht="18" customHeight="1">
      <c r="A1171" s="75"/>
      <c r="B1171" s="63" t="s">
        <v>1088</v>
      </c>
      <c r="C1171" s="70">
        <v>1</v>
      </c>
      <c r="D1171" s="68">
        <v>14.433999999999999</v>
      </c>
      <c r="E1171" s="68">
        <v>0.2</v>
      </c>
      <c r="F1171" s="68">
        <v>3.2</v>
      </c>
      <c r="G1171" s="67">
        <f t="shared" si="39"/>
        <v>9.24</v>
      </c>
      <c r="H1171" s="930"/>
    </row>
    <row r="1172" spans="1:8" ht="18" customHeight="1">
      <c r="A1172" s="75"/>
      <c r="B1172" s="63" t="s">
        <v>948</v>
      </c>
      <c r="C1172" s="70">
        <v>-4</v>
      </c>
      <c r="D1172" s="68">
        <v>1</v>
      </c>
      <c r="E1172" s="68">
        <v>0.2</v>
      </c>
      <c r="F1172" s="68">
        <v>1.8</v>
      </c>
      <c r="G1172" s="67">
        <f t="shared" si="39"/>
        <v>-1.44</v>
      </c>
      <c r="H1172" s="930"/>
    </row>
    <row r="1173" spans="1:8" ht="18" customHeight="1">
      <c r="A1173" s="75"/>
      <c r="B1173" s="63" t="s">
        <v>949</v>
      </c>
      <c r="C1173" s="70">
        <v>-1</v>
      </c>
      <c r="D1173" s="68">
        <v>1</v>
      </c>
      <c r="E1173" s="68">
        <v>0.2</v>
      </c>
      <c r="F1173" s="68">
        <v>1.8</v>
      </c>
      <c r="G1173" s="67">
        <f t="shared" si="39"/>
        <v>-0.36</v>
      </c>
      <c r="H1173" s="930"/>
    </row>
    <row r="1174" spans="1:8" ht="18" customHeight="1">
      <c r="A1174" s="75"/>
      <c r="B1174" s="63" t="s">
        <v>2010</v>
      </c>
      <c r="C1174" s="70">
        <v>1</v>
      </c>
      <c r="D1174" s="68">
        <v>4.218</v>
      </c>
      <c r="E1174" s="68">
        <v>0.2</v>
      </c>
      <c r="F1174" s="68">
        <v>3.3</v>
      </c>
      <c r="G1174" s="67">
        <f t="shared" si="39"/>
        <v>2.78</v>
      </c>
      <c r="H1174" s="930"/>
    </row>
    <row r="1175" spans="1:8" ht="18" customHeight="1">
      <c r="A1175" s="75"/>
      <c r="B1175" s="63" t="s">
        <v>2011</v>
      </c>
      <c r="C1175" s="70">
        <v>1</v>
      </c>
      <c r="D1175" s="68">
        <f>3.25-0.1+0.1</f>
        <v>3.25</v>
      </c>
      <c r="E1175" s="68">
        <v>0.2</v>
      </c>
      <c r="F1175" s="68">
        <v>3.5</v>
      </c>
      <c r="G1175" s="67">
        <f t="shared" si="39"/>
        <v>2.2799999999999998</v>
      </c>
      <c r="H1175" s="930"/>
    </row>
    <row r="1176" spans="1:8" ht="18" customHeight="1">
      <c r="A1176" s="75"/>
      <c r="B1176" s="63" t="s">
        <v>1917</v>
      </c>
      <c r="C1176" s="70">
        <v>1</v>
      </c>
      <c r="D1176" s="68">
        <v>4.22</v>
      </c>
      <c r="E1176" s="68">
        <v>0.2</v>
      </c>
      <c r="F1176" s="68">
        <v>2.9750000000000001</v>
      </c>
      <c r="G1176" s="67">
        <f t="shared" si="39"/>
        <v>2.5099999999999998</v>
      </c>
      <c r="H1176" s="930"/>
    </row>
    <row r="1177" spans="1:8" ht="18" customHeight="1">
      <c r="A1177" s="75"/>
      <c r="B1177" s="63" t="s">
        <v>1918</v>
      </c>
      <c r="C1177" s="70">
        <v>1</v>
      </c>
      <c r="D1177" s="68">
        <v>2.91</v>
      </c>
      <c r="E1177" s="68">
        <v>0.2</v>
      </c>
      <c r="F1177" s="68">
        <v>2.9750000000000001</v>
      </c>
      <c r="G1177" s="67">
        <f t="shared" si="39"/>
        <v>1.73</v>
      </c>
      <c r="H1177" s="930"/>
    </row>
    <row r="1178" spans="1:8" ht="18" customHeight="1">
      <c r="A1178" s="75"/>
      <c r="B1178" s="63" t="s">
        <v>1919</v>
      </c>
      <c r="C1178" s="70">
        <v>1</v>
      </c>
      <c r="D1178" s="68">
        <v>3.3</v>
      </c>
      <c r="E1178" s="68">
        <v>0.2</v>
      </c>
      <c r="F1178" s="68">
        <v>2.9750000000000001</v>
      </c>
      <c r="G1178" s="67">
        <f t="shared" si="39"/>
        <v>1.96</v>
      </c>
      <c r="H1178" s="930"/>
    </row>
    <row r="1179" spans="1:8" ht="18" customHeight="1">
      <c r="A1179" s="75"/>
      <c r="B1179" s="63"/>
      <c r="C1179" s="70">
        <v>1</v>
      </c>
      <c r="D1179" s="68">
        <v>1.5</v>
      </c>
      <c r="E1179" s="68">
        <v>0.2</v>
      </c>
      <c r="F1179" s="68">
        <v>2.9750000000000001</v>
      </c>
      <c r="G1179" s="67">
        <f t="shared" si="39"/>
        <v>0.89</v>
      </c>
      <c r="H1179" s="930"/>
    </row>
    <row r="1180" spans="1:8" ht="18" customHeight="1">
      <c r="A1180" s="75"/>
      <c r="B1180" s="63" t="s">
        <v>950</v>
      </c>
      <c r="C1180" s="70">
        <v>1</v>
      </c>
      <c r="D1180" s="68">
        <v>3.1</v>
      </c>
      <c r="E1180" s="68">
        <v>0.2</v>
      </c>
      <c r="F1180" s="68">
        <v>2.9750000000000001</v>
      </c>
      <c r="G1180" s="67">
        <f t="shared" si="39"/>
        <v>1.84</v>
      </c>
      <c r="H1180" s="930"/>
    </row>
    <row r="1181" spans="1:8" ht="18" customHeight="1">
      <c r="A1181" s="75"/>
      <c r="B1181" s="63" t="s">
        <v>951</v>
      </c>
      <c r="C1181" s="70">
        <v>-1</v>
      </c>
      <c r="D1181" s="68">
        <v>1</v>
      </c>
      <c r="E1181" s="68">
        <v>0.2</v>
      </c>
      <c r="F1181" s="68">
        <v>1.8</v>
      </c>
      <c r="G1181" s="67">
        <f t="shared" si="39"/>
        <v>-0.36</v>
      </c>
      <c r="H1181" s="930"/>
    </row>
    <row r="1182" spans="1:8" ht="18" customHeight="1">
      <c r="A1182" s="75"/>
      <c r="B1182" s="63" t="s">
        <v>952</v>
      </c>
      <c r="C1182" s="70">
        <v>1</v>
      </c>
      <c r="D1182" s="68">
        <v>6.7039999999999997</v>
      </c>
      <c r="E1182" s="68">
        <v>0.2</v>
      </c>
      <c r="F1182" s="68">
        <v>2.9750000000000001</v>
      </c>
      <c r="G1182" s="67">
        <f t="shared" si="39"/>
        <v>3.99</v>
      </c>
      <c r="H1182" s="930"/>
    </row>
    <row r="1183" spans="1:8" ht="18" customHeight="1">
      <c r="A1183" s="75"/>
      <c r="B1183" s="63" t="s">
        <v>953</v>
      </c>
      <c r="C1183" s="70">
        <v>-1</v>
      </c>
      <c r="D1183" s="68">
        <v>1.2</v>
      </c>
      <c r="E1183" s="68">
        <v>0.2</v>
      </c>
      <c r="F1183" s="68">
        <v>2.1</v>
      </c>
      <c r="G1183" s="67">
        <f t="shared" si="39"/>
        <v>-0.5</v>
      </c>
      <c r="H1183" s="930"/>
    </row>
    <row r="1184" spans="1:8" ht="18" customHeight="1">
      <c r="A1184" s="75"/>
      <c r="B1184" s="63" t="s">
        <v>954</v>
      </c>
      <c r="C1184" s="70"/>
      <c r="D1184" s="68"/>
      <c r="E1184" s="68"/>
      <c r="F1184" s="68"/>
      <c r="G1184" s="67" t="str">
        <f t="shared" si="39"/>
        <v xml:space="preserve"> </v>
      </c>
      <c r="H1184" s="930"/>
    </row>
    <row r="1185" spans="1:8" ht="18" customHeight="1">
      <c r="A1185" s="75"/>
      <c r="B1185" s="63" t="s">
        <v>955</v>
      </c>
      <c r="C1185" s="70">
        <v>1</v>
      </c>
      <c r="D1185" s="68">
        <f>3.175-0.2</f>
        <v>2.9749999999999996</v>
      </c>
      <c r="E1185" s="68">
        <v>0.2</v>
      </c>
      <c r="F1185" s="68">
        <v>2.9750000000000001</v>
      </c>
      <c r="G1185" s="67">
        <f t="shared" si="39"/>
        <v>1.77</v>
      </c>
      <c r="H1185" s="930"/>
    </row>
    <row r="1186" spans="1:8" ht="18" customHeight="1">
      <c r="A1186" s="75"/>
      <c r="B1186" s="63" t="s">
        <v>953</v>
      </c>
      <c r="C1186" s="70">
        <v>-1</v>
      </c>
      <c r="D1186" s="68">
        <v>1.2</v>
      </c>
      <c r="E1186" s="68">
        <v>0.2</v>
      </c>
      <c r="F1186" s="68">
        <v>2.1</v>
      </c>
      <c r="G1186" s="67">
        <f t="shared" si="39"/>
        <v>-0.5</v>
      </c>
      <c r="H1186" s="930"/>
    </row>
    <row r="1187" spans="1:8" ht="18" customHeight="1">
      <c r="A1187" s="75"/>
      <c r="B1187" s="63" t="s">
        <v>956</v>
      </c>
      <c r="C1187" s="70">
        <v>-1</v>
      </c>
      <c r="D1187" s="68">
        <v>0.9</v>
      </c>
      <c r="E1187" s="68">
        <v>0.2</v>
      </c>
      <c r="F1187" s="68">
        <v>2</v>
      </c>
      <c r="G1187" s="67">
        <f t="shared" si="39"/>
        <v>-0.36</v>
      </c>
      <c r="H1187" s="930"/>
    </row>
    <row r="1188" spans="1:8" ht="18" customHeight="1">
      <c r="A1188" s="75"/>
      <c r="B1188" s="63" t="s">
        <v>957</v>
      </c>
      <c r="C1188" s="70">
        <v>1</v>
      </c>
      <c r="D1188" s="68">
        <v>0.9</v>
      </c>
      <c r="E1188" s="68">
        <v>0.2</v>
      </c>
      <c r="F1188" s="68">
        <v>2.9750000000000001</v>
      </c>
      <c r="G1188" s="67">
        <f t="shared" si="39"/>
        <v>0.54</v>
      </c>
      <c r="H1188" s="930"/>
    </row>
    <row r="1189" spans="1:8" ht="18" customHeight="1">
      <c r="A1189" s="75"/>
      <c r="B1189" s="63"/>
      <c r="C1189" s="70">
        <v>1</v>
      </c>
      <c r="D1189" s="68">
        <v>1.7</v>
      </c>
      <c r="E1189" s="68">
        <v>0.2</v>
      </c>
      <c r="F1189" s="68">
        <v>2.9750000000000001</v>
      </c>
      <c r="G1189" s="67">
        <f t="shared" si="39"/>
        <v>1.01</v>
      </c>
      <c r="H1189" s="930"/>
    </row>
    <row r="1190" spans="1:8" ht="18" customHeight="1">
      <c r="A1190" s="75"/>
      <c r="B1190" s="63" t="s">
        <v>1103</v>
      </c>
      <c r="C1190" s="70"/>
      <c r="D1190" s="68"/>
      <c r="E1190" s="68"/>
      <c r="F1190" s="68"/>
      <c r="G1190" s="67" t="str">
        <f t="shared" si="39"/>
        <v xml:space="preserve"> </v>
      </c>
      <c r="H1190" s="930"/>
    </row>
    <row r="1191" spans="1:8" ht="18" customHeight="1">
      <c r="A1191" s="75"/>
      <c r="B1191" s="63" t="s">
        <v>2000</v>
      </c>
      <c r="C1191" s="70">
        <v>1</v>
      </c>
      <c r="D1191" s="68">
        <v>6.5659999999999998</v>
      </c>
      <c r="E1191" s="68">
        <v>0.2</v>
      </c>
      <c r="F1191" s="68">
        <v>2.9750000000000001</v>
      </c>
      <c r="G1191" s="67">
        <f t="shared" si="39"/>
        <v>3.91</v>
      </c>
      <c r="H1191" s="930"/>
    </row>
    <row r="1192" spans="1:8" ht="18" customHeight="1">
      <c r="A1192" s="75"/>
      <c r="B1192" s="63" t="s">
        <v>2001</v>
      </c>
      <c r="C1192" s="70">
        <v>1</v>
      </c>
      <c r="D1192" s="68">
        <v>4.3449999999999998</v>
      </c>
      <c r="E1192" s="68">
        <v>0.2</v>
      </c>
      <c r="F1192" s="68">
        <v>2.9750000000000001</v>
      </c>
      <c r="G1192" s="67">
        <f t="shared" si="39"/>
        <v>2.59</v>
      </c>
      <c r="H1192" s="930"/>
    </row>
    <row r="1193" spans="1:8" ht="18" customHeight="1">
      <c r="A1193" s="75"/>
      <c r="B1193" s="63" t="s">
        <v>1104</v>
      </c>
      <c r="C1193" s="70">
        <v>1</v>
      </c>
      <c r="D1193" s="68">
        <v>10.462999999999999</v>
      </c>
      <c r="E1193" s="68">
        <v>0.2</v>
      </c>
      <c r="F1193" s="68">
        <v>2.9750000000000001</v>
      </c>
      <c r="G1193" s="67">
        <f t="shared" si="39"/>
        <v>6.23</v>
      </c>
      <c r="H1193" s="930"/>
    </row>
    <row r="1194" spans="1:8" ht="18" customHeight="1">
      <c r="A1194" s="75"/>
      <c r="B1194" s="63" t="s">
        <v>963</v>
      </c>
      <c r="C1194" s="70">
        <v>-1</v>
      </c>
      <c r="D1194" s="68">
        <v>0.8</v>
      </c>
      <c r="E1194" s="68">
        <v>0.2</v>
      </c>
      <c r="F1194" s="68">
        <v>2</v>
      </c>
      <c r="G1194" s="67">
        <f t="shared" si="39"/>
        <v>-0.32</v>
      </c>
      <c r="H1194" s="930"/>
    </row>
    <row r="1195" spans="1:8" ht="18" customHeight="1">
      <c r="A1195" s="75"/>
      <c r="B1195" s="63" t="s">
        <v>964</v>
      </c>
      <c r="C1195" s="70">
        <v>-2</v>
      </c>
      <c r="D1195" s="68">
        <v>1.2</v>
      </c>
      <c r="E1195" s="68">
        <v>0.2</v>
      </c>
      <c r="F1195" s="68">
        <v>1.2</v>
      </c>
      <c r="G1195" s="67">
        <f t="shared" si="39"/>
        <v>-0.57999999999999996</v>
      </c>
      <c r="H1195" s="930"/>
    </row>
    <row r="1196" spans="1:8" ht="18" customHeight="1">
      <c r="A1196" s="75"/>
      <c r="B1196" s="63" t="s">
        <v>1105</v>
      </c>
      <c r="C1196" s="70">
        <v>1</v>
      </c>
      <c r="D1196" s="68">
        <f>2.298+4.6+3.825+0.1-0.1</f>
        <v>10.722999999999999</v>
      </c>
      <c r="E1196" s="68">
        <v>0.2</v>
      </c>
      <c r="F1196" s="68">
        <v>2.9750000000000001</v>
      </c>
      <c r="G1196" s="67">
        <f t="shared" si="39"/>
        <v>6.38</v>
      </c>
      <c r="H1196" s="930"/>
    </row>
    <row r="1197" spans="1:8" ht="18" customHeight="1">
      <c r="A1197" s="75"/>
      <c r="B1197" s="63" t="s">
        <v>966</v>
      </c>
      <c r="C1197" s="70">
        <v>-2</v>
      </c>
      <c r="D1197" s="68">
        <v>1</v>
      </c>
      <c r="E1197" s="68">
        <v>0.2</v>
      </c>
      <c r="F1197" s="68">
        <v>1.8</v>
      </c>
      <c r="G1197" s="67">
        <f t="shared" si="39"/>
        <v>-0.72</v>
      </c>
      <c r="H1197" s="930"/>
    </row>
    <row r="1198" spans="1:8" ht="18" customHeight="1">
      <c r="A1198" s="75"/>
      <c r="B1198" s="63" t="s">
        <v>2002</v>
      </c>
      <c r="C1198" s="70">
        <v>1</v>
      </c>
      <c r="D1198" s="68">
        <v>0.8</v>
      </c>
      <c r="E1198" s="68">
        <v>0.2</v>
      </c>
      <c r="F1198" s="68">
        <v>2.9750000000000001</v>
      </c>
      <c r="G1198" s="67">
        <f t="shared" si="39"/>
        <v>0.48</v>
      </c>
      <c r="H1198" s="930"/>
    </row>
    <row r="1199" spans="1:8" ht="18" customHeight="1">
      <c r="A1199" s="75"/>
      <c r="B1199" s="63" t="s">
        <v>2003</v>
      </c>
      <c r="C1199" s="70">
        <v>1</v>
      </c>
      <c r="D1199" s="68">
        <v>8.6170000000000009</v>
      </c>
      <c r="E1199" s="68">
        <v>0.2</v>
      </c>
      <c r="F1199" s="68">
        <v>2.9750000000000001</v>
      </c>
      <c r="G1199" s="67">
        <f t="shared" si="39"/>
        <v>5.13</v>
      </c>
      <c r="H1199" s="930"/>
    </row>
    <row r="1200" spans="1:8" ht="18" customHeight="1">
      <c r="A1200" s="75"/>
      <c r="B1200" s="63" t="s">
        <v>2004</v>
      </c>
      <c r="C1200" s="70">
        <v>1</v>
      </c>
      <c r="D1200" s="68">
        <v>5</v>
      </c>
      <c r="E1200" s="68">
        <v>0.2</v>
      </c>
      <c r="F1200" s="68">
        <v>2.9750000000000001</v>
      </c>
      <c r="G1200" s="67">
        <f t="shared" si="39"/>
        <v>2.98</v>
      </c>
      <c r="H1200" s="930"/>
    </row>
    <row r="1201" spans="1:13" ht="18" customHeight="1">
      <c r="A1201" s="75"/>
      <c r="B1201" s="63" t="s">
        <v>2005</v>
      </c>
      <c r="C1201" s="70">
        <v>1</v>
      </c>
      <c r="D1201" s="68">
        <v>5</v>
      </c>
      <c r="E1201" s="68">
        <v>0.2</v>
      </c>
      <c r="F1201" s="68">
        <v>2.9750000000000001</v>
      </c>
      <c r="G1201" s="67">
        <f t="shared" si="39"/>
        <v>2.98</v>
      </c>
      <c r="H1201" s="930"/>
    </row>
    <row r="1202" spans="1:13" ht="18" customHeight="1">
      <c r="A1202" s="75"/>
      <c r="B1202" s="63" t="s">
        <v>2006</v>
      </c>
      <c r="C1202" s="70">
        <v>1</v>
      </c>
      <c r="D1202" s="68">
        <v>7.0620000000000003</v>
      </c>
      <c r="E1202" s="68">
        <v>0.2</v>
      </c>
      <c r="F1202" s="68">
        <v>2.9750000000000001</v>
      </c>
      <c r="G1202" s="67">
        <f t="shared" si="39"/>
        <v>4.2</v>
      </c>
      <c r="H1202" s="930"/>
    </row>
    <row r="1203" spans="1:13" ht="18" customHeight="1">
      <c r="A1203" s="75"/>
      <c r="B1203" s="64" t="s">
        <v>1582</v>
      </c>
      <c r="C1203" s="70"/>
      <c r="D1203" s="68"/>
      <c r="E1203" s="68"/>
      <c r="F1203" s="68"/>
      <c r="G1203" s="67" t="str">
        <f t="shared" si="39"/>
        <v xml:space="preserve"> </v>
      </c>
      <c r="H1203" s="930"/>
    </row>
    <row r="1204" spans="1:13" ht="18" customHeight="1">
      <c r="A1204" s="75"/>
      <c r="B1204" s="64" t="s">
        <v>1583</v>
      </c>
      <c r="C1204" s="70"/>
      <c r="D1204" s="68"/>
      <c r="E1204" s="68"/>
      <c r="F1204" s="68"/>
      <c r="G1204" s="67" t="str">
        <f t="shared" si="39"/>
        <v xml:space="preserve"> </v>
      </c>
      <c r="H1204" s="930"/>
    </row>
    <row r="1205" spans="1:13" ht="18" customHeight="1">
      <c r="A1205" s="75"/>
      <c r="B1205" s="63" t="s">
        <v>967</v>
      </c>
      <c r="C1205" s="70">
        <v>2</v>
      </c>
      <c r="D1205" s="68">
        <f>4.125+5.187-0.19</f>
        <v>9.1220000000000017</v>
      </c>
      <c r="E1205" s="68">
        <v>0.2</v>
      </c>
      <c r="F1205" s="68">
        <f>2.1-0.2-0.15</f>
        <v>1.7500000000000002</v>
      </c>
      <c r="G1205" s="67">
        <f t="shared" si="39"/>
        <v>6.39</v>
      </c>
      <c r="H1205" s="930"/>
    </row>
    <row r="1206" spans="1:13" ht="18" customHeight="1">
      <c r="A1206" s="75"/>
      <c r="B1206" s="63" t="s">
        <v>965</v>
      </c>
      <c r="C1206" s="70">
        <v>2</v>
      </c>
      <c r="D1206" s="68">
        <f>2.298+4.6+3.825-0.38</f>
        <v>10.342999999999998</v>
      </c>
      <c r="E1206" s="68">
        <v>0.2</v>
      </c>
      <c r="F1206" s="68">
        <f>2.1-0.2-0.15</f>
        <v>1.7500000000000002</v>
      </c>
      <c r="G1206" s="67">
        <f t="shared" si="39"/>
        <v>7.24</v>
      </c>
      <c r="H1206" s="930"/>
    </row>
    <row r="1207" spans="1:13" ht="18" customHeight="1">
      <c r="A1207" s="75"/>
      <c r="B1207" s="63" t="s">
        <v>1108</v>
      </c>
      <c r="C1207" s="70">
        <v>2</v>
      </c>
      <c r="D1207" s="567">
        <v>9.1219999999999999</v>
      </c>
      <c r="E1207" s="68">
        <v>0.2</v>
      </c>
      <c r="F1207" s="68">
        <f>2.1-0.2-0.15</f>
        <v>1.7500000000000002</v>
      </c>
      <c r="G1207" s="67">
        <f t="shared" si="39"/>
        <v>6.39</v>
      </c>
      <c r="H1207" s="930"/>
    </row>
    <row r="1208" spans="1:13" ht="18" customHeight="1">
      <c r="A1208" s="75"/>
      <c r="B1208" s="63" t="s">
        <v>960</v>
      </c>
      <c r="C1208" s="70">
        <v>2</v>
      </c>
      <c r="D1208" s="68">
        <f>2.298+4.6</f>
        <v>6.8979999999999997</v>
      </c>
      <c r="E1208" s="68">
        <v>0.2</v>
      </c>
      <c r="F1208" s="68">
        <f>2.1-0.2-0.15</f>
        <v>1.7500000000000002</v>
      </c>
      <c r="G1208" s="67">
        <f t="shared" si="39"/>
        <v>4.83</v>
      </c>
      <c r="H1208" s="930"/>
    </row>
    <row r="1209" spans="1:13" ht="18" customHeight="1">
      <c r="A1209" s="75"/>
      <c r="B1209" s="63" t="s">
        <v>952</v>
      </c>
      <c r="C1209" s="70">
        <v>2</v>
      </c>
      <c r="D1209" s="68">
        <f>2.298+4.6</f>
        <v>6.8979999999999997</v>
      </c>
      <c r="E1209" s="68">
        <v>0.2</v>
      </c>
      <c r="F1209" s="68">
        <f>2.1-0.2-0.15</f>
        <v>1.7500000000000002</v>
      </c>
      <c r="G1209" s="67">
        <f t="shared" si="39"/>
        <v>4.83</v>
      </c>
      <c r="H1209" s="930"/>
    </row>
    <row r="1210" spans="1:13" ht="18" customHeight="1">
      <c r="A1210" s="75"/>
      <c r="B1210" s="63" t="s">
        <v>1584</v>
      </c>
      <c r="C1210" s="70">
        <v>2</v>
      </c>
      <c r="D1210" s="68">
        <f>3.6+1+2.25+1.575+3.2+0.275</f>
        <v>11.9</v>
      </c>
      <c r="E1210" s="68">
        <v>0.2</v>
      </c>
      <c r="F1210" s="68">
        <v>1.75</v>
      </c>
      <c r="G1210" s="67">
        <f t="shared" si="39"/>
        <v>8.33</v>
      </c>
      <c r="H1210" s="930"/>
    </row>
    <row r="1211" spans="1:13" ht="18" customHeight="1">
      <c r="A1211" s="75"/>
      <c r="B1211" s="63" t="s">
        <v>1585</v>
      </c>
      <c r="C1211" s="70">
        <v>2</v>
      </c>
      <c r="D1211" s="68">
        <f>1.425-0.2</f>
        <v>1.2250000000000001</v>
      </c>
      <c r="E1211" s="68">
        <v>0.2</v>
      </c>
      <c r="F1211" s="68">
        <v>1.75</v>
      </c>
      <c r="G1211" s="67">
        <f t="shared" si="39"/>
        <v>0.86</v>
      </c>
      <c r="H1211" s="930"/>
    </row>
    <row r="1212" spans="1:13" ht="18" customHeight="1">
      <c r="A1212" s="75"/>
      <c r="B1212" s="63" t="s">
        <v>1586</v>
      </c>
      <c r="C1212" s="70">
        <v>2</v>
      </c>
      <c r="D1212" s="68">
        <v>5.0599999999999996</v>
      </c>
      <c r="E1212" s="68">
        <v>0.2</v>
      </c>
      <c r="F1212" s="68">
        <v>1.75</v>
      </c>
      <c r="G1212" s="67">
        <f t="shared" si="39"/>
        <v>3.54</v>
      </c>
      <c r="H1212" s="930"/>
    </row>
    <row r="1213" spans="1:13" ht="18" customHeight="1">
      <c r="A1213" s="75"/>
      <c r="B1213" s="582" t="s">
        <v>1590</v>
      </c>
      <c r="C1213" s="70"/>
      <c r="D1213" s="68"/>
      <c r="E1213" s="68"/>
      <c r="F1213" s="68"/>
      <c r="G1213" s="67" t="str">
        <f t="shared" si="39"/>
        <v xml:space="preserve"> </v>
      </c>
      <c r="H1213" s="930"/>
      <c r="M1213" s="65">
        <v>10450</v>
      </c>
    </row>
    <row r="1214" spans="1:13" ht="18" customHeight="1">
      <c r="A1214" s="75"/>
      <c r="B1214" s="64" t="s">
        <v>1591</v>
      </c>
      <c r="C1214" s="70"/>
      <c r="D1214" s="68"/>
      <c r="E1214" s="68"/>
      <c r="F1214" s="68"/>
      <c r="G1214" s="67" t="str">
        <f t="shared" si="39"/>
        <v xml:space="preserve"> </v>
      </c>
      <c r="H1214" s="930"/>
    </row>
    <row r="1215" spans="1:13" ht="18" customHeight="1">
      <c r="A1215" s="75"/>
      <c r="B1215" s="63" t="s">
        <v>1592</v>
      </c>
      <c r="C1215" s="70">
        <v>1</v>
      </c>
      <c r="D1215" s="68">
        <f>6.45+6.4+6.4+1.825</f>
        <v>21.074999999999999</v>
      </c>
      <c r="E1215" s="68">
        <v>0.2</v>
      </c>
      <c r="F1215" s="68">
        <v>0.25</v>
      </c>
      <c r="G1215" s="67">
        <f t="shared" si="39"/>
        <v>1.05</v>
      </c>
      <c r="H1215" s="930"/>
      <c r="M1215" s="65" t="e">
        <f>+#REF!-M1213</f>
        <v>#REF!</v>
      </c>
    </row>
    <row r="1216" spans="1:13" ht="18" customHeight="1">
      <c r="A1216" s="432"/>
      <c r="B1216" s="63" t="s">
        <v>1593</v>
      </c>
      <c r="C1216" s="70">
        <v>1</v>
      </c>
      <c r="D1216" s="68">
        <f>3.6+1</f>
        <v>4.5999999999999996</v>
      </c>
      <c r="E1216" s="68">
        <v>0.2</v>
      </c>
      <c r="F1216" s="68">
        <v>0.25</v>
      </c>
      <c r="G1216" s="67">
        <f t="shared" si="39"/>
        <v>0.23</v>
      </c>
      <c r="H1216" s="930"/>
    </row>
    <row r="1217" spans="1:13" ht="18" customHeight="1">
      <c r="A1217" s="432"/>
      <c r="B1217" s="63" t="s">
        <v>1594</v>
      </c>
      <c r="C1217" s="70">
        <v>1</v>
      </c>
      <c r="D1217" s="68">
        <v>3.7749999999999999</v>
      </c>
      <c r="E1217" s="68">
        <v>0.2</v>
      </c>
      <c r="F1217" s="68">
        <v>0.25</v>
      </c>
      <c r="G1217" s="67">
        <f t="shared" si="39"/>
        <v>0.19</v>
      </c>
      <c r="H1217" s="930"/>
    </row>
    <row r="1218" spans="1:13" ht="18" customHeight="1">
      <c r="A1218" s="432"/>
      <c r="B1218" s="63" t="s">
        <v>1595</v>
      </c>
      <c r="C1218" s="70">
        <v>1</v>
      </c>
      <c r="D1218" s="68">
        <v>3.8250000000000002</v>
      </c>
      <c r="E1218" s="68">
        <v>0.2</v>
      </c>
      <c r="F1218" s="68">
        <v>0.25</v>
      </c>
      <c r="G1218" s="67">
        <f t="shared" si="39"/>
        <v>0.19</v>
      </c>
      <c r="H1218" s="930"/>
    </row>
    <row r="1219" spans="1:13" ht="18" customHeight="1">
      <c r="A1219" s="432"/>
      <c r="B1219" s="63" t="s">
        <v>1596</v>
      </c>
      <c r="C1219" s="70">
        <v>1</v>
      </c>
      <c r="D1219" s="68">
        <v>4.5999999999999996</v>
      </c>
      <c r="E1219" s="68">
        <v>0.2</v>
      </c>
      <c r="F1219" s="68">
        <v>0.25</v>
      </c>
      <c r="G1219" s="67">
        <f t="shared" si="39"/>
        <v>0.23</v>
      </c>
      <c r="H1219" s="930"/>
    </row>
    <row r="1220" spans="1:13" ht="18" customHeight="1">
      <c r="A1220" s="432"/>
      <c r="B1220" s="63" t="s">
        <v>1111</v>
      </c>
      <c r="C1220" s="70">
        <v>1</v>
      </c>
      <c r="D1220" s="68">
        <f>3.2+6.45+6.45</f>
        <v>16.100000000000001</v>
      </c>
      <c r="E1220" s="68">
        <v>0.2</v>
      </c>
      <c r="F1220" s="68">
        <v>0.25</v>
      </c>
      <c r="G1220" s="67">
        <f t="shared" ref="G1220:G1234" si="40">IF(C1220&lt;&gt;0,ROUND(PRODUCT(D1220:F1220)*C1220,2)," ")</f>
        <v>0.81</v>
      </c>
      <c r="H1220" s="930"/>
    </row>
    <row r="1221" spans="1:13" ht="18" customHeight="1">
      <c r="A1221" s="432"/>
      <c r="B1221" s="63" t="s">
        <v>1597</v>
      </c>
      <c r="C1221" s="70">
        <v>1</v>
      </c>
      <c r="D1221" s="68">
        <v>4.5999999999999996</v>
      </c>
      <c r="E1221" s="68">
        <v>0.2</v>
      </c>
      <c r="F1221" s="68">
        <v>0.25</v>
      </c>
      <c r="G1221" s="67">
        <f t="shared" si="40"/>
        <v>0.23</v>
      </c>
      <c r="H1221" s="930"/>
    </row>
    <row r="1222" spans="1:13" ht="18" customHeight="1">
      <c r="A1222" s="432"/>
      <c r="B1222" s="63" t="s">
        <v>1598</v>
      </c>
      <c r="C1222" s="70">
        <v>1</v>
      </c>
      <c r="D1222" s="68">
        <v>4.5999999999999996</v>
      </c>
      <c r="E1222" s="68">
        <v>0.2</v>
      </c>
      <c r="F1222" s="68">
        <v>0.25</v>
      </c>
      <c r="G1222" s="67">
        <f t="shared" si="40"/>
        <v>0.23</v>
      </c>
      <c r="H1222" s="930"/>
    </row>
    <row r="1223" spans="1:13" ht="18" customHeight="1">
      <c r="A1223" s="432"/>
      <c r="B1223" s="63" t="s">
        <v>1112</v>
      </c>
      <c r="C1223" s="70">
        <v>1</v>
      </c>
      <c r="D1223" s="68">
        <f>6.45+6.45+3.2</f>
        <v>16.100000000000001</v>
      </c>
      <c r="E1223" s="68">
        <v>0.2</v>
      </c>
      <c r="F1223" s="68">
        <v>0.25</v>
      </c>
      <c r="G1223" s="67">
        <f t="shared" si="40"/>
        <v>0.81</v>
      </c>
      <c r="H1223" s="930"/>
    </row>
    <row r="1224" spans="1:13" ht="18" customHeight="1">
      <c r="A1224" s="432"/>
      <c r="B1224" s="63" t="s">
        <v>1599</v>
      </c>
      <c r="C1224" s="70">
        <v>1</v>
      </c>
      <c r="D1224" s="68">
        <v>4.5999999999999996</v>
      </c>
      <c r="E1224" s="68">
        <v>0.2</v>
      </c>
      <c r="F1224" s="68">
        <v>0.25</v>
      </c>
      <c r="G1224" s="67">
        <f t="shared" si="40"/>
        <v>0.23</v>
      </c>
      <c r="H1224" s="930"/>
    </row>
    <row r="1225" spans="1:13" ht="18" customHeight="1">
      <c r="A1225" s="432"/>
      <c r="B1225" s="63" t="s">
        <v>1600</v>
      </c>
      <c r="C1225" s="70">
        <v>1</v>
      </c>
      <c r="D1225" s="68">
        <v>3.8250000000000002</v>
      </c>
      <c r="E1225" s="68">
        <v>0.2</v>
      </c>
      <c r="F1225" s="68">
        <v>0.25</v>
      </c>
      <c r="G1225" s="67">
        <f t="shared" si="40"/>
        <v>0.19</v>
      </c>
      <c r="H1225" s="930"/>
    </row>
    <row r="1226" spans="1:13" ht="18" customHeight="1">
      <c r="A1226" s="432"/>
      <c r="B1226" s="63" t="s">
        <v>1601</v>
      </c>
      <c r="C1226" s="70">
        <v>1</v>
      </c>
      <c r="D1226" s="68">
        <v>3.7749999999999999</v>
      </c>
      <c r="E1226" s="68">
        <v>0.2</v>
      </c>
      <c r="F1226" s="68">
        <v>0.25</v>
      </c>
      <c r="G1226" s="67">
        <f t="shared" si="40"/>
        <v>0.19</v>
      </c>
      <c r="H1226" s="930"/>
    </row>
    <row r="1227" spans="1:13" ht="18" customHeight="1">
      <c r="A1227" s="432"/>
      <c r="B1227" s="63" t="s">
        <v>1602</v>
      </c>
      <c r="C1227" s="70">
        <v>1</v>
      </c>
      <c r="D1227" s="68">
        <f>3.6+1</f>
        <v>4.5999999999999996</v>
      </c>
      <c r="E1227" s="68">
        <v>0.2</v>
      </c>
      <c r="F1227" s="68">
        <v>0.25</v>
      </c>
      <c r="G1227" s="67">
        <f t="shared" si="40"/>
        <v>0.23</v>
      </c>
      <c r="H1227" s="930"/>
    </row>
    <row r="1228" spans="1:13" ht="18" customHeight="1">
      <c r="A1228" s="75"/>
      <c r="B1228" s="63" t="s">
        <v>1603</v>
      </c>
      <c r="C1228" s="70">
        <v>1</v>
      </c>
      <c r="D1228" s="68">
        <f>6.45+6.4+6.4+1.825</f>
        <v>21.074999999999999</v>
      </c>
      <c r="E1228" s="68">
        <v>0.2</v>
      </c>
      <c r="F1228" s="68">
        <v>0.25</v>
      </c>
      <c r="G1228" s="67">
        <f t="shared" si="40"/>
        <v>1.05</v>
      </c>
      <c r="H1228" s="930"/>
      <c r="M1228" s="65">
        <f>+M1226-M1227</f>
        <v>0</v>
      </c>
    </row>
    <row r="1229" spans="1:13" ht="18" customHeight="1">
      <c r="A1229" s="432"/>
      <c r="B1229" s="63" t="s">
        <v>1604</v>
      </c>
      <c r="C1229" s="70">
        <v>1</v>
      </c>
      <c r="D1229" s="68">
        <v>12.7</v>
      </c>
      <c r="E1229" s="68">
        <v>0.2</v>
      </c>
      <c r="F1229" s="68">
        <v>0.25</v>
      </c>
      <c r="G1229" s="67">
        <f t="shared" si="40"/>
        <v>0.64</v>
      </c>
      <c r="H1229" s="930"/>
    </row>
    <row r="1230" spans="1:13" ht="18" customHeight="1">
      <c r="A1230" s="432"/>
      <c r="B1230" s="63" t="s">
        <v>1605</v>
      </c>
      <c r="C1230" s="70">
        <v>1</v>
      </c>
      <c r="D1230" s="68">
        <f>1.875+2.725</f>
        <v>4.5999999999999996</v>
      </c>
      <c r="E1230" s="68">
        <v>0.2</v>
      </c>
      <c r="F1230" s="68">
        <v>0.25</v>
      </c>
      <c r="G1230" s="67">
        <f t="shared" si="40"/>
        <v>0.23</v>
      </c>
      <c r="H1230" s="930"/>
    </row>
    <row r="1231" spans="1:13" ht="18" customHeight="1">
      <c r="A1231" s="432"/>
      <c r="B1231" s="63" t="s">
        <v>1606</v>
      </c>
      <c r="C1231" s="70">
        <v>1</v>
      </c>
      <c r="D1231" s="68">
        <f>3.2+6.3+3.2</f>
        <v>12.7</v>
      </c>
      <c r="E1231" s="68">
        <v>0.2</v>
      </c>
      <c r="F1231" s="68">
        <v>0.25</v>
      </c>
      <c r="G1231" s="67">
        <f t="shared" si="40"/>
        <v>0.64</v>
      </c>
      <c r="H1231" s="930"/>
    </row>
    <row r="1232" spans="1:13" ht="18" customHeight="1">
      <c r="A1232" s="432"/>
      <c r="B1232" s="63" t="s">
        <v>1607</v>
      </c>
      <c r="C1232" s="70">
        <v>1</v>
      </c>
      <c r="D1232" s="68">
        <f>1.875+2.725</f>
        <v>4.5999999999999996</v>
      </c>
      <c r="E1232" s="68">
        <v>0.2</v>
      </c>
      <c r="F1232" s="68">
        <v>0.25</v>
      </c>
      <c r="G1232" s="67">
        <f t="shared" si="40"/>
        <v>0.23</v>
      </c>
      <c r="H1232" s="930"/>
    </row>
    <row r="1233" spans="1:9" ht="18" customHeight="1">
      <c r="A1233" s="432"/>
      <c r="B1233" s="63" t="s">
        <v>1113</v>
      </c>
      <c r="C1233" s="70">
        <v>1</v>
      </c>
      <c r="D1233" s="68">
        <v>12.7</v>
      </c>
      <c r="E1233" s="68">
        <v>0.2</v>
      </c>
      <c r="F1233" s="68">
        <v>0.25</v>
      </c>
      <c r="G1233" s="67">
        <f t="shared" si="40"/>
        <v>0.64</v>
      </c>
      <c r="H1233" s="930"/>
    </row>
    <row r="1234" spans="1:9" s="628" customFormat="1" ht="17.25" customHeight="1">
      <c r="A1234" s="944"/>
      <c r="B1234" s="636" t="s">
        <v>2250</v>
      </c>
      <c r="C1234" s="70">
        <v>-1</v>
      </c>
      <c r="D1234" s="68">
        <v>14.42</v>
      </c>
      <c r="E1234" s="68"/>
      <c r="F1234" s="68"/>
      <c r="G1234" s="67">
        <f t="shared" si="40"/>
        <v>-14.42</v>
      </c>
      <c r="H1234" s="929"/>
      <c r="I1234" s="1235"/>
    </row>
    <row r="1235" spans="1:9" ht="18" customHeight="1">
      <c r="A1235" s="432"/>
      <c r="B1235" s="63"/>
      <c r="C1235" s="70"/>
      <c r="D1235" s="68"/>
      <c r="E1235" s="68"/>
      <c r="F1235" s="68"/>
      <c r="G1235" s="68"/>
      <c r="H1235" s="930"/>
    </row>
    <row r="1236" spans="1:9" ht="18" customHeight="1">
      <c r="A1236" s="932"/>
      <c r="B1236" s="876" t="s">
        <v>2188</v>
      </c>
      <c r="C1236" s="875"/>
      <c r="D1236" s="874"/>
      <c r="E1236" s="874"/>
      <c r="F1236" s="874"/>
      <c r="G1236" s="842">
        <f>SUM(G833:G1235)</f>
        <v>769.49999999999966</v>
      </c>
      <c r="H1236" s="945" t="s">
        <v>347</v>
      </c>
      <c r="I1236" s="1226" t="s">
        <v>422</v>
      </c>
    </row>
    <row r="1237" spans="1:9" s="78" customFormat="1" ht="14.25">
      <c r="A1237" s="75"/>
      <c r="B1237" s="63"/>
      <c r="C1237" s="70"/>
      <c r="D1237" s="68"/>
      <c r="E1237" s="68"/>
      <c r="F1237" s="68"/>
      <c r="G1237" s="67"/>
      <c r="H1237" s="930"/>
      <c r="I1237" s="1241"/>
    </row>
    <row r="1238" spans="1:9" ht="14.25">
      <c r="A1238" s="380" t="s">
        <v>430</v>
      </c>
      <c r="B1238" s="387" t="s">
        <v>1922</v>
      </c>
      <c r="C1238" s="70"/>
      <c r="D1238" s="67"/>
      <c r="E1238" s="67"/>
      <c r="F1238" s="67"/>
      <c r="G1238" s="67"/>
      <c r="H1238" s="929"/>
    </row>
    <row r="1239" spans="1:9" s="78" customFormat="1" ht="18" customHeight="1">
      <c r="A1239" s="75" t="s">
        <v>1282</v>
      </c>
      <c r="B1239" s="362" t="s">
        <v>937</v>
      </c>
      <c r="C1239" s="76"/>
      <c r="D1239" s="77"/>
      <c r="E1239" s="68"/>
      <c r="F1239" s="68"/>
      <c r="G1239" s="68">
        <f t="shared" ref="G1239" si="41">PRODUCT(C1239:F1239)</f>
        <v>0</v>
      </c>
      <c r="H1239" s="930"/>
      <c r="I1239" s="1227"/>
    </row>
    <row r="1240" spans="1:9" s="78" customFormat="1" ht="18" customHeight="1">
      <c r="A1240" s="75"/>
      <c r="B1240" s="63" t="s">
        <v>1923</v>
      </c>
      <c r="C1240" s="70">
        <v>2</v>
      </c>
      <c r="D1240" s="68">
        <v>0.9</v>
      </c>
      <c r="E1240" s="68"/>
      <c r="F1240" s="68">
        <v>2.9750000000000001</v>
      </c>
      <c r="G1240" s="67">
        <f t="shared" ref="G1240:G1247" si="42">IF(C1240&lt;&gt;0,ROUND(PRODUCT(D1240:F1240)*C1240,2)," ")</f>
        <v>5.36</v>
      </c>
      <c r="H1240" s="930" t="s">
        <v>1282</v>
      </c>
      <c r="I1240" s="1227"/>
    </row>
    <row r="1241" spans="1:9" s="78" customFormat="1" ht="18" customHeight="1">
      <c r="A1241" s="75"/>
      <c r="B1241" s="362" t="s">
        <v>938</v>
      </c>
      <c r="C1241" s="76"/>
      <c r="D1241" s="77"/>
      <c r="E1241" s="68"/>
      <c r="F1241" s="68"/>
      <c r="G1241" s="67" t="str">
        <f t="shared" si="42"/>
        <v xml:space="preserve"> </v>
      </c>
      <c r="H1241" s="930" t="s">
        <v>1282</v>
      </c>
      <c r="I1241" s="1227"/>
    </row>
    <row r="1242" spans="1:9" s="78" customFormat="1" ht="18" customHeight="1">
      <c r="A1242" s="75"/>
      <c r="B1242" s="63" t="s">
        <v>1923</v>
      </c>
      <c r="C1242" s="70">
        <v>2</v>
      </c>
      <c r="D1242" s="68">
        <v>0.9</v>
      </c>
      <c r="E1242" s="68"/>
      <c r="F1242" s="68">
        <v>2.9750000000000001</v>
      </c>
      <c r="G1242" s="67">
        <f t="shared" si="42"/>
        <v>5.36</v>
      </c>
      <c r="H1242" s="930" t="s">
        <v>1282</v>
      </c>
      <c r="I1242" s="1227"/>
    </row>
    <row r="1243" spans="1:9" s="78" customFormat="1" ht="18" customHeight="1">
      <c r="A1243" s="75"/>
      <c r="B1243" s="63"/>
      <c r="C1243" s="70"/>
      <c r="D1243" s="68"/>
      <c r="E1243" s="68"/>
      <c r="F1243" s="68"/>
      <c r="G1243" s="67" t="str">
        <f t="shared" si="42"/>
        <v xml:space="preserve"> </v>
      </c>
      <c r="H1243" s="930"/>
      <c r="I1243" s="1227"/>
    </row>
    <row r="1244" spans="1:9" s="606" customFormat="1" ht="18" customHeight="1">
      <c r="A1244" s="641" t="s">
        <v>2208</v>
      </c>
      <c r="B1244" s="696" t="s">
        <v>937</v>
      </c>
      <c r="C1244" s="573"/>
      <c r="D1244" s="574"/>
      <c r="E1244" s="405"/>
      <c r="F1244" s="405"/>
      <c r="G1244" s="67" t="str">
        <f t="shared" si="42"/>
        <v xml:space="preserve"> </v>
      </c>
      <c r="H1244" s="946"/>
      <c r="I1244" s="1242"/>
    </row>
    <row r="1245" spans="1:9" s="606" customFormat="1" ht="18" customHeight="1">
      <c r="A1245" s="641"/>
      <c r="B1245" s="81" t="s">
        <v>2062</v>
      </c>
      <c r="C1245" s="404">
        <v>2</v>
      </c>
      <c r="D1245" s="405">
        <v>0.9</v>
      </c>
      <c r="E1245" s="405"/>
      <c r="F1245" s="405">
        <v>2.9750000000000001</v>
      </c>
      <c r="G1245" s="67">
        <f t="shared" si="42"/>
        <v>5.36</v>
      </c>
      <c r="H1245" s="946" t="s">
        <v>2208</v>
      </c>
      <c r="I1245" s="1242"/>
    </row>
    <row r="1246" spans="1:9" s="606" customFormat="1" ht="18" customHeight="1">
      <c r="A1246" s="641"/>
      <c r="B1246" s="696" t="s">
        <v>938</v>
      </c>
      <c r="C1246" s="573"/>
      <c r="D1246" s="574"/>
      <c r="E1246" s="405"/>
      <c r="F1246" s="405"/>
      <c r="G1246" s="67" t="str">
        <f t="shared" si="42"/>
        <v xml:space="preserve"> </v>
      </c>
      <c r="H1246" s="946" t="s">
        <v>2208</v>
      </c>
      <c r="I1246" s="1242"/>
    </row>
    <row r="1247" spans="1:9" s="606" customFormat="1" ht="18" customHeight="1">
      <c r="A1247" s="641"/>
      <c r="B1247" s="81" t="s">
        <v>2062</v>
      </c>
      <c r="C1247" s="404">
        <v>2</v>
      </c>
      <c r="D1247" s="405">
        <v>0.9</v>
      </c>
      <c r="E1247" s="405"/>
      <c r="F1247" s="405">
        <v>3.37</v>
      </c>
      <c r="G1247" s="67">
        <f t="shared" si="42"/>
        <v>6.07</v>
      </c>
      <c r="H1247" s="946" t="s">
        <v>2208</v>
      </c>
      <c r="I1247" s="1242"/>
    </row>
    <row r="1248" spans="1:9" ht="18" customHeight="1">
      <c r="A1248" s="932"/>
      <c r="B1248" s="876" t="s">
        <v>2188</v>
      </c>
      <c r="C1248" s="875"/>
      <c r="D1248" s="874"/>
      <c r="E1248" s="874"/>
      <c r="F1248" s="874"/>
      <c r="G1248" s="842">
        <f>SUM(G1238:G1247)</f>
        <v>22.150000000000002</v>
      </c>
      <c r="H1248" s="945" t="s">
        <v>350</v>
      </c>
      <c r="I1248" s="1226" t="s">
        <v>430</v>
      </c>
    </row>
    <row r="1249" spans="1:9" s="78" customFormat="1" ht="14.25">
      <c r="A1249" s="75"/>
      <c r="B1249" s="63"/>
      <c r="C1249" s="70"/>
      <c r="D1249" s="68"/>
      <c r="E1249" s="68"/>
      <c r="F1249" s="68"/>
      <c r="G1249" s="67"/>
      <c r="H1249" s="930"/>
      <c r="I1249" s="1241"/>
    </row>
    <row r="1250" spans="1:9" ht="14.25">
      <c r="A1250" s="380">
        <v>8.3000000000000007</v>
      </c>
      <c r="B1250" s="387" t="s">
        <v>2012</v>
      </c>
      <c r="C1250" s="70"/>
      <c r="D1250" s="67"/>
      <c r="E1250" s="67"/>
      <c r="F1250" s="67"/>
      <c r="G1250" s="67"/>
      <c r="H1250" s="929"/>
    </row>
    <row r="1251" spans="1:9" ht="14.25">
      <c r="A1251" s="354"/>
      <c r="B1251" s="80" t="s">
        <v>1145</v>
      </c>
      <c r="C1251" s="70"/>
      <c r="D1251" s="68"/>
      <c r="E1251" s="68"/>
      <c r="F1251" s="68"/>
      <c r="G1251" s="68"/>
      <c r="H1251" s="929"/>
    </row>
    <row r="1252" spans="1:9" ht="18" customHeight="1">
      <c r="A1252" s="128"/>
      <c r="B1252" s="64" t="s">
        <v>1692</v>
      </c>
      <c r="C1252" s="70">
        <v>2</v>
      </c>
      <c r="D1252" s="68">
        <v>4.218</v>
      </c>
      <c r="E1252" s="68"/>
      <c r="F1252" s="68">
        <v>2.9</v>
      </c>
      <c r="G1252" s="67">
        <f t="shared" ref="G1252:G1315" si="43">IF(C1252&lt;&gt;0,ROUND(PRODUCT(D1252:F1252)*C1252,2)," ")</f>
        <v>24.46</v>
      </c>
      <c r="H1252" s="929" t="s">
        <v>1303</v>
      </c>
    </row>
    <row r="1253" spans="1:9" s="78" customFormat="1" ht="18" customHeight="1">
      <c r="A1253" s="432"/>
      <c r="B1253" s="63" t="s">
        <v>1693</v>
      </c>
      <c r="C1253" s="70">
        <v>1</v>
      </c>
      <c r="D1253" s="68">
        <v>4.8</v>
      </c>
      <c r="E1253" s="68"/>
      <c r="F1253" s="68">
        <v>2.9</v>
      </c>
      <c r="G1253" s="67">
        <f t="shared" si="43"/>
        <v>13.92</v>
      </c>
      <c r="H1253" s="929" t="s">
        <v>1303</v>
      </c>
      <c r="I1253" s="1227"/>
    </row>
    <row r="1254" spans="1:9" ht="18" customHeight="1">
      <c r="A1254" s="128"/>
      <c r="B1254" s="356" t="s">
        <v>1694</v>
      </c>
      <c r="C1254" s="76">
        <v>1</v>
      </c>
      <c r="D1254" s="77">
        <v>15.407999999999999</v>
      </c>
      <c r="E1254" s="68"/>
      <c r="F1254" s="68">
        <v>2.9</v>
      </c>
      <c r="G1254" s="67">
        <f t="shared" si="43"/>
        <v>44.68</v>
      </c>
      <c r="H1254" s="929" t="s">
        <v>1303</v>
      </c>
    </row>
    <row r="1255" spans="1:9" s="78" customFormat="1" ht="18" customHeight="1">
      <c r="A1255" s="432"/>
      <c r="B1255" s="356" t="s">
        <v>1695</v>
      </c>
      <c r="C1255" s="76">
        <v>-3</v>
      </c>
      <c r="D1255" s="77">
        <v>0.9</v>
      </c>
      <c r="E1255" s="68"/>
      <c r="F1255" s="68">
        <v>2.1</v>
      </c>
      <c r="G1255" s="67">
        <f t="shared" si="43"/>
        <v>-5.67</v>
      </c>
      <c r="H1255" s="929" t="s">
        <v>1303</v>
      </c>
      <c r="I1255" s="1227"/>
    </row>
    <row r="1256" spans="1:9" s="78" customFormat="1" ht="18" customHeight="1">
      <c r="A1256" s="432"/>
      <c r="B1256" s="356" t="s">
        <v>1696</v>
      </c>
      <c r="C1256" s="76">
        <v>-1</v>
      </c>
      <c r="D1256" s="77">
        <v>1</v>
      </c>
      <c r="E1256" s="68"/>
      <c r="F1256" s="68">
        <v>2.1</v>
      </c>
      <c r="G1256" s="67">
        <f t="shared" si="43"/>
        <v>-2.1</v>
      </c>
      <c r="H1256" s="929" t="s">
        <v>1303</v>
      </c>
      <c r="I1256" s="1227"/>
    </row>
    <row r="1257" spans="1:9" ht="18" customHeight="1">
      <c r="A1257" s="128"/>
      <c r="B1257" s="64" t="s">
        <v>1697</v>
      </c>
      <c r="C1257" s="70">
        <v>2</v>
      </c>
      <c r="D1257" s="68">
        <v>4.218</v>
      </c>
      <c r="E1257" s="68"/>
      <c r="F1257" s="68">
        <v>2.9</v>
      </c>
      <c r="G1257" s="67">
        <f t="shared" si="43"/>
        <v>24.46</v>
      </c>
      <c r="H1257" s="929" t="s">
        <v>1303</v>
      </c>
    </row>
    <row r="1258" spans="1:9" s="78" customFormat="1" ht="18" customHeight="1">
      <c r="A1258" s="432"/>
      <c r="B1258" s="63" t="s">
        <v>1693</v>
      </c>
      <c r="C1258" s="70">
        <v>2</v>
      </c>
      <c r="D1258" s="68">
        <v>4.8</v>
      </c>
      <c r="E1258" s="68"/>
      <c r="F1258" s="68">
        <v>2.9</v>
      </c>
      <c r="G1258" s="67">
        <f t="shared" si="43"/>
        <v>27.84</v>
      </c>
      <c r="H1258" s="929" t="s">
        <v>1303</v>
      </c>
      <c r="I1258" s="1227"/>
    </row>
    <row r="1259" spans="1:9" ht="18" customHeight="1">
      <c r="A1259" s="128"/>
      <c r="B1259" s="356" t="s">
        <v>1694</v>
      </c>
      <c r="C1259" s="76">
        <v>1</v>
      </c>
      <c r="D1259" s="77">
        <v>15.407999999999999</v>
      </c>
      <c r="E1259" s="68"/>
      <c r="F1259" s="68">
        <v>2.9</v>
      </c>
      <c r="G1259" s="67">
        <f t="shared" si="43"/>
        <v>44.68</v>
      </c>
      <c r="H1259" s="929" t="s">
        <v>1303</v>
      </c>
    </row>
    <row r="1260" spans="1:9" s="78" customFormat="1" ht="18" customHeight="1">
      <c r="A1260" s="432"/>
      <c r="B1260" s="356" t="s">
        <v>1698</v>
      </c>
      <c r="C1260" s="76">
        <v>-5</v>
      </c>
      <c r="D1260" s="77">
        <v>0.9</v>
      </c>
      <c r="E1260" s="68"/>
      <c r="F1260" s="68">
        <v>2.1</v>
      </c>
      <c r="G1260" s="67">
        <f t="shared" si="43"/>
        <v>-9.4499999999999993</v>
      </c>
      <c r="H1260" s="929" t="s">
        <v>1303</v>
      </c>
      <c r="I1260" s="1227"/>
    </row>
    <row r="1261" spans="1:9" ht="18" customHeight="1">
      <c r="A1261" s="128"/>
      <c r="B1261" s="64" t="s">
        <v>1146</v>
      </c>
      <c r="C1261" s="70">
        <v>1</v>
      </c>
      <c r="D1261" s="68">
        <v>4.218</v>
      </c>
      <c r="E1261" s="68"/>
      <c r="F1261" s="68">
        <v>2.9</v>
      </c>
      <c r="G1261" s="67">
        <f t="shared" si="43"/>
        <v>12.23</v>
      </c>
      <c r="H1261" s="929" t="s">
        <v>1303</v>
      </c>
    </row>
    <row r="1262" spans="1:9" s="78" customFormat="1" ht="18" customHeight="1">
      <c r="A1262" s="432"/>
      <c r="B1262" s="63" t="s">
        <v>1693</v>
      </c>
      <c r="C1262" s="70">
        <v>1</v>
      </c>
      <c r="D1262" s="68">
        <v>4.8</v>
      </c>
      <c r="E1262" s="68"/>
      <c r="F1262" s="68">
        <v>2.9</v>
      </c>
      <c r="G1262" s="67">
        <f t="shared" si="43"/>
        <v>13.92</v>
      </c>
      <c r="H1262" s="929" t="s">
        <v>1303</v>
      </c>
      <c r="I1262" s="1227"/>
    </row>
    <row r="1263" spans="1:9" s="78" customFormat="1" ht="18" customHeight="1">
      <c r="A1263" s="432"/>
      <c r="B1263" s="63" t="s">
        <v>1693</v>
      </c>
      <c r="C1263" s="70">
        <v>1</v>
      </c>
      <c r="D1263" s="68">
        <f>4.8-2.05</f>
        <v>2.75</v>
      </c>
      <c r="E1263" s="68"/>
      <c r="F1263" s="68">
        <v>2.9</v>
      </c>
      <c r="G1263" s="67">
        <f t="shared" si="43"/>
        <v>7.98</v>
      </c>
      <c r="H1263" s="929" t="s">
        <v>1303</v>
      </c>
      <c r="I1263" s="1227"/>
    </row>
    <row r="1264" spans="1:9" ht="18" customHeight="1">
      <c r="A1264" s="128"/>
      <c r="B1264" s="356" t="s">
        <v>1694</v>
      </c>
      <c r="C1264" s="76">
        <v>1</v>
      </c>
      <c r="D1264" s="77">
        <v>12.65</v>
      </c>
      <c r="E1264" s="68"/>
      <c r="F1264" s="68">
        <v>2.9</v>
      </c>
      <c r="G1264" s="67">
        <f t="shared" si="43"/>
        <v>36.69</v>
      </c>
      <c r="H1264" s="929" t="s">
        <v>1303</v>
      </c>
    </row>
    <row r="1265" spans="1:9" s="78" customFormat="1" ht="18" customHeight="1">
      <c r="A1265" s="432"/>
      <c r="B1265" s="356" t="s">
        <v>1699</v>
      </c>
      <c r="C1265" s="76">
        <v>-4</v>
      </c>
      <c r="D1265" s="77">
        <v>0.9</v>
      </c>
      <c r="E1265" s="68"/>
      <c r="F1265" s="68">
        <v>2.1</v>
      </c>
      <c r="G1265" s="67">
        <f t="shared" si="43"/>
        <v>-7.56</v>
      </c>
      <c r="H1265" s="929" t="s">
        <v>1303</v>
      </c>
      <c r="I1265" s="1227"/>
    </row>
    <row r="1266" spans="1:9" ht="18" customHeight="1">
      <c r="A1266" s="128"/>
      <c r="B1266" s="64" t="s">
        <v>1147</v>
      </c>
      <c r="C1266" s="70"/>
      <c r="D1266" s="68"/>
      <c r="E1266" s="68"/>
      <c r="F1266" s="68"/>
      <c r="G1266" s="67" t="str">
        <f t="shared" si="43"/>
        <v xml:space="preserve"> </v>
      </c>
      <c r="H1266" s="929" t="s">
        <v>1303</v>
      </c>
    </row>
    <row r="1267" spans="1:9" ht="18" customHeight="1">
      <c r="A1267" s="128"/>
      <c r="B1267" s="356" t="s">
        <v>1694</v>
      </c>
      <c r="C1267" s="76">
        <v>1</v>
      </c>
      <c r="D1267" s="77">
        <f>3.25+6.45-0.1-0.1</f>
        <v>9.5</v>
      </c>
      <c r="E1267" s="68"/>
      <c r="F1267" s="68">
        <v>2.9</v>
      </c>
      <c r="G1267" s="67">
        <f t="shared" si="43"/>
        <v>27.55</v>
      </c>
      <c r="H1267" s="929" t="s">
        <v>1303</v>
      </c>
    </row>
    <row r="1268" spans="1:9" s="78" customFormat="1" ht="18" customHeight="1">
      <c r="A1268" s="432"/>
      <c r="B1268" s="356" t="s">
        <v>1700</v>
      </c>
      <c r="C1268" s="76">
        <v>-2</v>
      </c>
      <c r="D1268" s="77">
        <v>0.9</v>
      </c>
      <c r="E1268" s="68"/>
      <c r="F1268" s="68">
        <v>2.1</v>
      </c>
      <c r="G1268" s="67">
        <f t="shared" si="43"/>
        <v>-3.78</v>
      </c>
      <c r="H1268" s="929" t="s">
        <v>1303</v>
      </c>
      <c r="I1268" s="1227"/>
    </row>
    <row r="1269" spans="1:9" ht="18" customHeight="1">
      <c r="A1269" s="128"/>
      <c r="B1269" s="64" t="s">
        <v>1701</v>
      </c>
      <c r="C1269" s="70">
        <v>3</v>
      </c>
      <c r="D1269" s="68">
        <v>4.218</v>
      </c>
      <c r="E1269" s="68"/>
      <c r="F1269" s="68">
        <v>2.9</v>
      </c>
      <c r="G1269" s="67">
        <f t="shared" si="43"/>
        <v>36.700000000000003</v>
      </c>
      <c r="H1269" s="929" t="s">
        <v>1303</v>
      </c>
    </row>
    <row r="1270" spans="1:9" s="78" customFormat="1" ht="18" customHeight="1">
      <c r="A1270" s="432"/>
      <c r="B1270" s="63" t="s">
        <v>1702</v>
      </c>
      <c r="C1270" s="70">
        <v>3</v>
      </c>
      <c r="D1270" s="68">
        <v>4.8</v>
      </c>
      <c r="E1270" s="68"/>
      <c r="F1270" s="68">
        <v>2.9</v>
      </c>
      <c r="G1270" s="67">
        <f t="shared" si="43"/>
        <v>41.76</v>
      </c>
      <c r="H1270" s="929" t="s">
        <v>1303</v>
      </c>
      <c r="I1270" s="1227"/>
    </row>
    <row r="1271" spans="1:9" ht="18" customHeight="1">
      <c r="A1271" s="128"/>
      <c r="B1271" s="356" t="s">
        <v>1694</v>
      </c>
      <c r="C1271" s="76">
        <v>1</v>
      </c>
      <c r="D1271" s="77">
        <v>21.6</v>
      </c>
      <c r="E1271" s="68"/>
      <c r="F1271" s="68">
        <v>2.9</v>
      </c>
      <c r="G1271" s="67">
        <f t="shared" si="43"/>
        <v>62.64</v>
      </c>
      <c r="H1271" s="929" t="s">
        <v>1303</v>
      </c>
    </row>
    <row r="1272" spans="1:9" s="78" customFormat="1" ht="18" customHeight="1">
      <c r="A1272" s="432"/>
      <c r="B1272" s="356" t="s">
        <v>1703</v>
      </c>
      <c r="C1272" s="76">
        <v>-7</v>
      </c>
      <c r="D1272" s="77">
        <v>0.9</v>
      </c>
      <c r="E1272" s="68"/>
      <c r="F1272" s="68">
        <v>2.1</v>
      </c>
      <c r="G1272" s="67">
        <f t="shared" si="43"/>
        <v>-13.23</v>
      </c>
      <c r="H1272" s="929" t="s">
        <v>1303</v>
      </c>
      <c r="I1272" s="1227"/>
    </row>
    <row r="1273" spans="1:9" ht="18" customHeight="1">
      <c r="A1273" s="128"/>
      <c r="B1273" s="64" t="s">
        <v>1704</v>
      </c>
      <c r="C1273" s="70">
        <v>1</v>
      </c>
      <c r="D1273" s="68">
        <v>4.218</v>
      </c>
      <c r="E1273" s="68"/>
      <c r="F1273" s="68">
        <v>2.9</v>
      </c>
      <c r="G1273" s="67">
        <f t="shared" si="43"/>
        <v>12.23</v>
      </c>
      <c r="H1273" s="929" t="s">
        <v>1303</v>
      </c>
    </row>
    <row r="1274" spans="1:9" s="78" customFormat="1" ht="18" customHeight="1">
      <c r="A1274" s="432"/>
      <c r="B1274" s="63" t="s">
        <v>1702</v>
      </c>
      <c r="C1274" s="70">
        <v>2</v>
      </c>
      <c r="D1274" s="68">
        <v>4.8</v>
      </c>
      <c r="E1274" s="68"/>
      <c r="F1274" s="68">
        <v>2.9</v>
      </c>
      <c r="G1274" s="67">
        <f t="shared" si="43"/>
        <v>27.84</v>
      </c>
      <c r="H1274" s="929" t="s">
        <v>1303</v>
      </c>
      <c r="I1274" s="1227"/>
    </row>
    <row r="1275" spans="1:9" ht="18" customHeight="1">
      <c r="A1275" s="128"/>
      <c r="B1275" s="356" t="s">
        <v>1694</v>
      </c>
      <c r="C1275" s="76">
        <v>1</v>
      </c>
      <c r="D1275" s="77">
        <v>20.437999999999999</v>
      </c>
      <c r="E1275" s="68"/>
      <c r="F1275" s="68">
        <v>2.9</v>
      </c>
      <c r="G1275" s="67">
        <f t="shared" si="43"/>
        <v>59.27</v>
      </c>
      <c r="H1275" s="929" t="s">
        <v>1303</v>
      </c>
    </row>
    <row r="1276" spans="1:9" s="78" customFormat="1" ht="18" customHeight="1">
      <c r="A1276" s="432"/>
      <c r="B1276" s="356" t="s">
        <v>1699</v>
      </c>
      <c r="C1276" s="76">
        <v>-4</v>
      </c>
      <c r="D1276" s="77">
        <v>0.9</v>
      </c>
      <c r="E1276" s="68"/>
      <c r="F1276" s="68">
        <v>2.1</v>
      </c>
      <c r="G1276" s="67">
        <f t="shared" si="43"/>
        <v>-7.56</v>
      </c>
      <c r="H1276" s="929" t="s">
        <v>1303</v>
      </c>
      <c r="I1276" s="1227"/>
    </row>
    <row r="1277" spans="1:9" s="78" customFormat="1" ht="18" customHeight="1">
      <c r="A1277" s="432"/>
      <c r="B1277" s="356" t="s">
        <v>1705</v>
      </c>
      <c r="C1277" s="76">
        <v>-2</v>
      </c>
      <c r="D1277" s="77">
        <v>1</v>
      </c>
      <c r="E1277" s="68"/>
      <c r="F1277" s="68">
        <v>1.8</v>
      </c>
      <c r="G1277" s="67">
        <f t="shared" si="43"/>
        <v>-3.6</v>
      </c>
      <c r="H1277" s="929" t="s">
        <v>1303</v>
      </c>
      <c r="I1277" s="1227"/>
    </row>
    <row r="1278" spans="1:9" ht="18" customHeight="1">
      <c r="A1278" s="128"/>
      <c r="B1278" s="64" t="s">
        <v>1706</v>
      </c>
      <c r="C1278" s="70">
        <v>3</v>
      </c>
      <c r="D1278" s="68">
        <v>4.218</v>
      </c>
      <c r="E1278" s="68"/>
      <c r="F1278" s="68">
        <v>2.9</v>
      </c>
      <c r="G1278" s="67">
        <f t="shared" si="43"/>
        <v>36.700000000000003</v>
      </c>
      <c r="H1278" s="929" t="s">
        <v>1303</v>
      </c>
    </row>
    <row r="1279" spans="1:9" s="78" customFormat="1" ht="18" customHeight="1">
      <c r="A1279" s="432"/>
      <c r="B1279" s="63" t="s">
        <v>1702</v>
      </c>
      <c r="C1279" s="70">
        <v>3</v>
      </c>
      <c r="D1279" s="68">
        <v>4.8</v>
      </c>
      <c r="E1279" s="68"/>
      <c r="F1279" s="68">
        <v>2.9</v>
      </c>
      <c r="G1279" s="67">
        <f t="shared" si="43"/>
        <v>41.76</v>
      </c>
      <c r="H1279" s="929" t="s">
        <v>1303</v>
      </c>
      <c r="I1279" s="1227"/>
    </row>
    <row r="1280" spans="1:9" ht="18" customHeight="1">
      <c r="A1280" s="128"/>
      <c r="B1280" s="356" t="s">
        <v>1694</v>
      </c>
      <c r="C1280" s="76">
        <v>1</v>
      </c>
      <c r="D1280" s="77">
        <v>21.6</v>
      </c>
      <c r="E1280" s="68"/>
      <c r="F1280" s="68">
        <v>2.9</v>
      </c>
      <c r="G1280" s="67">
        <f t="shared" si="43"/>
        <v>62.64</v>
      </c>
      <c r="H1280" s="929" t="s">
        <v>1303</v>
      </c>
    </row>
    <row r="1281" spans="1:9" s="78" customFormat="1" ht="18" customHeight="1">
      <c r="A1281" s="432"/>
      <c r="B1281" s="356" t="s">
        <v>1703</v>
      </c>
      <c r="C1281" s="76">
        <v>-7</v>
      </c>
      <c r="D1281" s="77">
        <v>0.9</v>
      </c>
      <c r="E1281" s="68"/>
      <c r="F1281" s="68">
        <v>2.1</v>
      </c>
      <c r="G1281" s="67">
        <f t="shared" si="43"/>
        <v>-13.23</v>
      </c>
      <c r="H1281" s="929" t="s">
        <v>1303</v>
      </c>
      <c r="I1281" s="1227"/>
    </row>
    <row r="1282" spans="1:9" ht="18" customHeight="1">
      <c r="A1282" s="128"/>
      <c r="B1282" s="64" t="s">
        <v>1707</v>
      </c>
      <c r="C1282" s="70">
        <v>2</v>
      </c>
      <c r="D1282" s="68">
        <v>4.218</v>
      </c>
      <c r="E1282" s="68"/>
      <c r="F1282" s="68">
        <v>2.9</v>
      </c>
      <c r="G1282" s="67">
        <f t="shared" si="43"/>
        <v>24.46</v>
      </c>
      <c r="H1282" s="929" t="s">
        <v>1303</v>
      </c>
    </row>
    <row r="1283" spans="1:9" s="78" customFormat="1" ht="18" customHeight="1">
      <c r="A1283" s="432"/>
      <c r="B1283" s="63" t="s">
        <v>1702</v>
      </c>
      <c r="C1283" s="70">
        <v>2</v>
      </c>
      <c r="D1283" s="68">
        <v>4.8</v>
      </c>
      <c r="E1283" s="68"/>
      <c r="F1283" s="68">
        <v>2.9</v>
      </c>
      <c r="G1283" s="67">
        <f t="shared" si="43"/>
        <v>27.84</v>
      </c>
      <c r="H1283" s="929" t="s">
        <v>1303</v>
      </c>
      <c r="I1283" s="1227"/>
    </row>
    <row r="1284" spans="1:9" ht="18" customHeight="1">
      <c r="A1284" s="128"/>
      <c r="B1284" s="356" t="s">
        <v>1694</v>
      </c>
      <c r="C1284" s="76">
        <v>1</v>
      </c>
      <c r="D1284" s="77">
        <v>20.437999999999999</v>
      </c>
      <c r="E1284" s="68"/>
      <c r="F1284" s="68">
        <v>2.9</v>
      </c>
      <c r="G1284" s="67">
        <f t="shared" si="43"/>
        <v>59.27</v>
      </c>
      <c r="H1284" s="929" t="s">
        <v>1303</v>
      </c>
    </row>
    <row r="1285" spans="1:9" s="78" customFormat="1" ht="18" customHeight="1">
      <c r="A1285" s="432"/>
      <c r="B1285" s="356" t="s">
        <v>1699</v>
      </c>
      <c r="C1285" s="76">
        <v>-4</v>
      </c>
      <c r="D1285" s="77">
        <v>0.9</v>
      </c>
      <c r="E1285" s="68"/>
      <c r="F1285" s="68">
        <v>2.1</v>
      </c>
      <c r="G1285" s="67">
        <f t="shared" si="43"/>
        <v>-7.56</v>
      </c>
      <c r="H1285" s="929" t="s">
        <v>1303</v>
      </c>
      <c r="I1285" s="1227"/>
    </row>
    <row r="1286" spans="1:9" s="78" customFormat="1" ht="18" customHeight="1">
      <c r="A1286" s="432"/>
      <c r="B1286" s="356" t="s">
        <v>1705</v>
      </c>
      <c r="C1286" s="76">
        <v>-2</v>
      </c>
      <c r="D1286" s="77">
        <v>1</v>
      </c>
      <c r="E1286" s="68"/>
      <c r="F1286" s="68">
        <v>1.8</v>
      </c>
      <c r="G1286" s="67">
        <f t="shared" si="43"/>
        <v>-3.6</v>
      </c>
      <c r="H1286" s="929" t="s">
        <v>1303</v>
      </c>
      <c r="I1286" s="1227"/>
    </row>
    <row r="1287" spans="1:9" ht="18" customHeight="1">
      <c r="A1287" s="128"/>
      <c r="B1287" s="64" t="s">
        <v>1148</v>
      </c>
      <c r="C1287" s="70"/>
      <c r="D1287" s="68"/>
      <c r="E1287" s="68"/>
      <c r="F1287" s="68"/>
      <c r="G1287" s="67" t="str">
        <f t="shared" si="43"/>
        <v xml:space="preserve"> </v>
      </c>
      <c r="H1287" s="929" t="s">
        <v>1303</v>
      </c>
    </row>
    <row r="1288" spans="1:9" s="78" customFormat="1" ht="18" customHeight="1">
      <c r="A1288" s="432"/>
      <c r="B1288" s="63" t="s">
        <v>1693</v>
      </c>
      <c r="C1288" s="70">
        <v>1</v>
      </c>
      <c r="D1288" s="68">
        <v>4.8</v>
      </c>
      <c r="E1288" s="68"/>
      <c r="F1288" s="68">
        <v>2.9</v>
      </c>
      <c r="G1288" s="67">
        <f t="shared" si="43"/>
        <v>13.92</v>
      </c>
      <c r="H1288" s="929" t="s">
        <v>1303</v>
      </c>
      <c r="I1288" s="1227"/>
    </row>
    <row r="1289" spans="1:9" ht="18" customHeight="1">
      <c r="A1289" s="128"/>
      <c r="B1289" s="356" t="s">
        <v>1694</v>
      </c>
      <c r="C1289" s="76">
        <v>1</v>
      </c>
      <c r="D1289" s="77">
        <v>6.25</v>
      </c>
      <c r="E1289" s="68"/>
      <c r="F1289" s="68">
        <v>2.9</v>
      </c>
      <c r="G1289" s="67">
        <f t="shared" si="43"/>
        <v>18.13</v>
      </c>
      <c r="H1289" s="929" t="s">
        <v>1303</v>
      </c>
    </row>
    <row r="1290" spans="1:9" s="78" customFormat="1" ht="18" customHeight="1">
      <c r="A1290" s="432"/>
      <c r="B1290" s="356" t="s">
        <v>1700</v>
      </c>
      <c r="C1290" s="76">
        <v>-2</v>
      </c>
      <c r="D1290" s="77">
        <v>0.9</v>
      </c>
      <c r="E1290" s="68"/>
      <c r="F1290" s="68">
        <v>2.1</v>
      </c>
      <c r="G1290" s="67">
        <f t="shared" si="43"/>
        <v>-3.78</v>
      </c>
      <c r="H1290" s="929" t="s">
        <v>1303</v>
      </c>
      <c r="I1290" s="1227"/>
    </row>
    <row r="1291" spans="1:9" ht="18" customHeight="1">
      <c r="A1291" s="128"/>
      <c r="B1291" s="64" t="s">
        <v>1708</v>
      </c>
      <c r="C1291" s="70">
        <v>1</v>
      </c>
      <c r="D1291" s="68">
        <v>4.218</v>
      </c>
      <c r="E1291" s="68"/>
      <c r="F1291" s="68">
        <v>2.9</v>
      </c>
      <c r="G1291" s="67">
        <f t="shared" si="43"/>
        <v>12.23</v>
      </c>
      <c r="H1291" s="929" t="s">
        <v>1303</v>
      </c>
    </row>
    <row r="1292" spans="1:9" s="78" customFormat="1" ht="18" customHeight="1">
      <c r="A1292" s="432"/>
      <c r="B1292" s="63" t="s">
        <v>1693</v>
      </c>
      <c r="C1292" s="70">
        <v>1</v>
      </c>
      <c r="D1292" s="68">
        <v>4.8</v>
      </c>
      <c r="E1292" s="68"/>
      <c r="F1292" s="68">
        <v>2.9</v>
      </c>
      <c r="G1292" s="67">
        <f t="shared" si="43"/>
        <v>13.92</v>
      </c>
      <c r="H1292" s="929" t="s">
        <v>1303</v>
      </c>
      <c r="I1292" s="1227"/>
    </row>
    <row r="1293" spans="1:9" ht="18" customHeight="1">
      <c r="A1293" s="128"/>
      <c r="B1293" s="356" t="s">
        <v>1694</v>
      </c>
      <c r="C1293" s="76">
        <v>1</v>
      </c>
      <c r="D1293" s="77">
        <v>9.4499999999999993</v>
      </c>
      <c r="E1293" s="68"/>
      <c r="F1293" s="68">
        <v>2.9</v>
      </c>
      <c r="G1293" s="67">
        <f t="shared" si="43"/>
        <v>27.41</v>
      </c>
      <c r="H1293" s="929" t="s">
        <v>1303</v>
      </c>
    </row>
    <row r="1294" spans="1:9" s="78" customFormat="1" ht="18" customHeight="1">
      <c r="A1294" s="432"/>
      <c r="B1294" s="356" t="s">
        <v>1695</v>
      </c>
      <c r="C1294" s="76">
        <v>-3</v>
      </c>
      <c r="D1294" s="77">
        <v>0.9</v>
      </c>
      <c r="E1294" s="68"/>
      <c r="F1294" s="68">
        <v>2.1</v>
      </c>
      <c r="G1294" s="67">
        <f t="shared" si="43"/>
        <v>-5.67</v>
      </c>
      <c r="H1294" s="929" t="s">
        <v>1303</v>
      </c>
      <c r="I1294" s="1227"/>
    </row>
    <row r="1295" spans="1:9" ht="18" customHeight="1">
      <c r="A1295" s="128"/>
      <c r="B1295" s="64" t="s">
        <v>1709</v>
      </c>
      <c r="C1295" s="70"/>
      <c r="D1295" s="68"/>
      <c r="E1295" s="68"/>
      <c r="F1295" s="68"/>
      <c r="G1295" s="67" t="str">
        <f t="shared" si="43"/>
        <v xml:space="preserve"> </v>
      </c>
      <c r="H1295" s="929" t="s">
        <v>1303</v>
      </c>
    </row>
    <row r="1296" spans="1:9" s="78" customFormat="1" ht="18" customHeight="1">
      <c r="A1296" s="432"/>
      <c r="B1296" s="63" t="s">
        <v>1693</v>
      </c>
      <c r="C1296" s="70">
        <v>1</v>
      </c>
      <c r="D1296" s="68">
        <v>4.8</v>
      </c>
      <c r="E1296" s="68"/>
      <c r="F1296" s="68">
        <v>2.9</v>
      </c>
      <c r="G1296" s="67">
        <f t="shared" si="43"/>
        <v>13.92</v>
      </c>
      <c r="H1296" s="929" t="s">
        <v>1303</v>
      </c>
      <c r="I1296" s="1227"/>
    </row>
    <row r="1297" spans="1:9" ht="18" customHeight="1">
      <c r="A1297" s="128"/>
      <c r="B1297" s="356" t="s">
        <v>1694</v>
      </c>
      <c r="C1297" s="76">
        <v>1</v>
      </c>
      <c r="D1297" s="77">
        <v>6.25</v>
      </c>
      <c r="E1297" s="68"/>
      <c r="F1297" s="68">
        <v>2.9</v>
      </c>
      <c r="G1297" s="67">
        <f t="shared" si="43"/>
        <v>18.13</v>
      </c>
      <c r="H1297" s="929" t="s">
        <v>1303</v>
      </c>
    </row>
    <row r="1298" spans="1:9" s="78" customFormat="1" ht="18" customHeight="1">
      <c r="A1298" s="432"/>
      <c r="B1298" s="356" t="s">
        <v>1700</v>
      </c>
      <c r="C1298" s="76">
        <v>-2</v>
      </c>
      <c r="D1298" s="77">
        <v>0.9</v>
      </c>
      <c r="E1298" s="68"/>
      <c r="F1298" s="68">
        <v>2.1</v>
      </c>
      <c r="G1298" s="67">
        <f t="shared" si="43"/>
        <v>-3.78</v>
      </c>
      <c r="H1298" s="929" t="s">
        <v>1303</v>
      </c>
      <c r="I1298" s="1227"/>
    </row>
    <row r="1299" spans="1:9" ht="18" customHeight="1">
      <c r="A1299" s="128"/>
      <c r="B1299" s="64" t="s">
        <v>1710</v>
      </c>
      <c r="C1299" s="70">
        <v>1</v>
      </c>
      <c r="D1299" s="68">
        <v>4.218</v>
      </c>
      <c r="E1299" s="68"/>
      <c r="F1299" s="68">
        <v>2.9</v>
      </c>
      <c r="G1299" s="67">
        <f t="shared" si="43"/>
        <v>12.23</v>
      </c>
      <c r="H1299" s="929" t="s">
        <v>1303</v>
      </c>
    </row>
    <row r="1300" spans="1:9" s="78" customFormat="1" ht="18" customHeight="1">
      <c r="A1300" s="432"/>
      <c r="B1300" s="63" t="s">
        <v>1693</v>
      </c>
      <c r="C1300" s="70">
        <v>1</v>
      </c>
      <c r="D1300" s="68">
        <v>4.8</v>
      </c>
      <c r="E1300" s="68"/>
      <c r="F1300" s="68">
        <v>2.9</v>
      </c>
      <c r="G1300" s="67">
        <f t="shared" si="43"/>
        <v>13.92</v>
      </c>
      <c r="H1300" s="929" t="s">
        <v>1303</v>
      </c>
      <c r="I1300" s="1227"/>
    </row>
    <row r="1301" spans="1:9" ht="18" customHeight="1">
      <c r="A1301" s="128"/>
      <c r="B1301" s="356" t="s">
        <v>1694</v>
      </c>
      <c r="C1301" s="76">
        <v>1</v>
      </c>
      <c r="D1301" s="77">
        <v>9.4499999999999993</v>
      </c>
      <c r="E1301" s="68"/>
      <c r="F1301" s="68">
        <v>2.9</v>
      </c>
      <c r="G1301" s="67">
        <f t="shared" si="43"/>
        <v>27.41</v>
      </c>
      <c r="H1301" s="929" t="s">
        <v>1303</v>
      </c>
    </row>
    <row r="1302" spans="1:9" s="78" customFormat="1" ht="18" customHeight="1">
      <c r="A1302" s="432"/>
      <c r="B1302" s="356" t="s">
        <v>1695</v>
      </c>
      <c r="C1302" s="76">
        <v>-3</v>
      </c>
      <c r="D1302" s="77">
        <v>0.9</v>
      </c>
      <c r="E1302" s="68"/>
      <c r="F1302" s="68">
        <v>2.1</v>
      </c>
      <c r="G1302" s="67">
        <f t="shared" si="43"/>
        <v>-5.67</v>
      </c>
      <c r="H1302" s="929" t="s">
        <v>1303</v>
      </c>
      <c r="I1302" s="1227"/>
    </row>
    <row r="1303" spans="1:9" ht="18" customHeight="1">
      <c r="A1303" s="354"/>
      <c r="B1303" s="693" t="s">
        <v>1711</v>
      </c>
      <c r="C1303" s="70"/>
      <c r="D1303" s="68"/>
      <c r="E1303" s="68"/>
      <c r="F1303" s="68"/>
      <c r="G1303" s="67" t="str">
        <f t="shared" si="43"/>
        <v xml:space="preserve"> </v>
      </c>
      <c r="H1303" s="929" t="s">
        <v>1303</v>
      </c>
    </row>
    <row r="1304" spans="1:9" ht="18" customHeight="1">
      <c r="A1304" s="128"/>
      <c r="B1304" s="64" t="s">
        <v>1692</v>
      </c>
      <c r="C1304" s="70">
        <v>2</v>
      </c>
      <c r="D1304" s="68">
        <v>4.218</v>
      </c>
      <c r="E1304" s="68"/>
      <c r="F1304" s="68">
        <v>2.9</v>
      </c>
      <c r="G1304" s="67">
        <f t="shared" si="43"/>
        <v>24.46</v>
      </c>
      <c r="H1304" s="929" t="s">
        <v>1303</v>
      </c>
    </row>
    <row r="1305" spans="1:9" s="78" customFormat="1" ht="18" customHeight="1">
      <c r="A1305" s="432"/>
      <c r="B1305" s="63" t="s">
        <v>1693</v>
      </c>
      <c r="C1305" s="70">
        <v>2</v>
      </c>
      <c r="D1305" s="68">
        <v>4.8</v>
      </c>
      <c r="E1305" s="68"/>
      <c r="F1305" s="68">
        <v>2.9</v>
      </c>
      <c r="G1305" s="67">
        <f t="shared" si="43"/>
        <v>27.84</v>
      </c>
      <c r="H1305" s="929" t="s">
        <v>1303</v>
      </c>
      <c r="I1305" s="1227"/>
    </row>
    <row r="1306" spans="1:9" ht="18" customHeight="1">
      <c r="A1306" s="128"/>
      <c r="B1306" s="356" t="s">
        <v>1694</v>
      </c>
      <c r="C1306" s="76">
        <v>1</v>
      </c>
      <c r="D1306" s="77">
        <v>15.407999999999999</v>
      </c>
      <c r="E1306" s="68"/>
      <c r="F1306" s="68">
        <v>2.9</v>
      </c>
      <c r="G1306" s="67">
        <f t="shared" si="43"/>
        <v>44.68</v>
      </c>
      <c r="H1306" s="929" t="s">
        <v>1303</v>
      </c>
    </row>
    <row r="1307" spans="1:9" s="78" customFormat="1" ht="18" customHeight="1">
      <c r="A1307" s="432"/>
      <c r="B1307" s="356" t="s">
        <v>1698</v>
      </c>
      <c r="C1307" s="76">
        <v>-5</v>
      </c>
      <c r="D1307" s="77">
        <v>0.9</v>
      </c>
      <c r="E1307" s="68"/>
      <c r="F1307" s="68">
        <v>2.1</v>
      </c>
      <c r="G1307" s="67">
        <f t="shared" si="43"/>
        <v>-9.4499999999999993</v>
      </c>
      <c r="H1307" s="929" t="s">
        <v>1303</v>
      </c>
      <c r="I1307" s="1227"/>
    </row>
    <row r="1308" spans="1:9" ht="18" customHeight="1">
      <c r="A1308" s="128"/>
      <c r="B1308" s="64" t="s">
        <v>1697</v>
      </c>
      <c r="C1308" s="70">
        <v>2</v>
      </c>
      <c r="D1308" s="68">
        <v>4.218</v>
      </c>
      <c r="E1308" s="68"/>
      <c r="F1308" s="68">
        <v>2.9</v>
      </c>
      <c r="G1308" s="67">
        <f t="shared" si="43"/>
        <v>24.46</v>
      </c>
      <c r="H1308" s="929" t="s">
        <v>1303</v>
      </c>
    </row>
    <row r="1309" spans="1:9" s="78" customFormat="1" ht="18" customHeight="1">
      <c r="A1309" s="432"/>
      <c r="B1309" s="63" t="s">
        <v>1693</v>
      </c>
      <c r="C1309" s="70">
        <v>2</v>
      </c>
      <c r="D1309" s="68">
        <v>4.8</v>
      </c>
      <c r="E1309" s="68"/>
      <c r="F1309" s="68">
        <v>2.9</v>
      </c>
      <c r="G1309" s="67">
        <f t="shared" si="43"/>
        <v>27.84</v>
      </c>
      <c r="H1309" s="929" t="s">
        <v>1303</v>
      </c>
      <c r="I1309" s="1227"/>
    </row>
    <row r="1310" spans="1:9" ht="18" customHeight="1">
      <c r="A1310" s="128"/>
      <c r="B1310" s="356" t="s">
        <v>1694</v>
      </c>
      <c r="C1310" s="76">
        <v>1</v>
      </c>
      <c r="D1310" s="77">
        <v>15.407999999999999</v>
      </c>
      <c r="E1310" s="68"/>
      <c r="F1310" s="68">
        <v>2.9</v>
      </c>
      <c r="G1310" s="67">
        <f t="shared" si="43"/>
        <v>44.68</v>
      </c>
      <c r="H1310" s="929" t="s">
        <v>1303</v>
      </c>
    </row>
    <row r="1311" spans="1:9" s="78" customFormat="1" ht="18" customHeight="1">
      <c r="A1311" s="432"/>
      <c r="B1311" s="356" t="s">
        <v>1698</v>
      </c>
      <c r="C1311" s="76">
        <v>-5</v>
      </c>
      <c r="D1311" s="77">
        <v>0.9</v>
      </c>
      <c r="E1311" s="68"/>
      <c r="F1311" s="68">
        <v>2.1</v>
      </c>
      <c r="G1311" s="67">
        <f t="shared" si="43"/>
        <v>-9.4499999999999993</v>
      </c>
      <c r="H1311" s="929" t="s">
        <v>1303</v>
      </c>
      <c r="I1311" s="1227"/>
    </row>
    <row r="1312" spans="1:9" ht="18" customHeight="1">
      <c r="A1312" s="128"/>
      <c r="B1312" s="64" t="s">
        <v>1146</v>
      </c>
      <c r="C1312" s="70">
        <v>1</v>
      </c>
      <c r="D1312" s="68">
        <v>4.218</v>
      </c>
      <c r="E1312" s="68"/>
      <c r="F1312" s="68">
        <v>2.9</v>
      </c>
      <c r="G1312" s="67">
        <f t="shared" si="43"/>
        <v>12.23</v>
      </c>
      <c r="H1312" s="929" t="s">
        <v>1303</v>
      </c>
    </row>
    <row r="1313" spans="1:9" s="78" customFormat="1" ht="18" customHeight="1">
      <c r="A1313" s="432"/>
      <c r="B1313" s="63" t="s">
        <v>1693</v>
      </c>
      <c r="C1313" s="70">
        <v>2</v>
      </c>
      <c r="D1313" s="68">
        <v>4.8</v>
      </c>
      <c r="E1313" s="68"/>
      <c r="F1313" s="68">
        <v>2.9</v>
      </c>
      <c r="G1313" s="67">
        <f t="shared" si="43"/>
        <v>27.84</v>
      </c>
      <c r="H1313" s="929" t="s">
        <v>1303</v>
      </c>
      <c r="I1313" s="1227"/>
    </row>
    <row r="1314" spans="1:9" ht="18" customHeight="1">
      <c r="A1314" s="128"/>
      <c r="B1314" s="356" t="s">
        <v>1694</v>
      </c>
      <c r="C1314" s="76">
        <v>1</v>
      </c>
      <c r="D1314" s="77">
        <v>12.65</v>
      </c>
      <c r="E1314" s="68"/>
      <c r="F1314" s="68">
        <v>2.9</v>
      </c>
      <c r="G1314" s="67">
        <f t="shared" si="43"/>
        <v>36.69</v>
      </c>
      <c r="H1314" s="929" t="s">
        <v>1303</v>
      </c>
    </row>
    <row r="1315" spans="1:9" s="78" customFormat="1" ht="18" customHeight="1">
      <c r="A1315" s="432"/>
      <c r="B1315" s="356" t="s">
        <v>1699</v>
      </c>
      <c r="C1315" s="76">
        <v>-4</v>
      </c>
      <c r="D1315" s="77">
        <v>0.9</v>
      </c>
      <c r="E1315" s="68"/>
      <c r="F1315" s="68">
        <v>2.1</v>
      </c>
      <c r="G1315" s="67">
        <f t="shared" si="43"/>
        <v>-7.56</v>
      </c>
      <c r="H1315" s="929" t="s">
        <v>1303</v>
      </c>
      <c r="I1315" s="1227"/>
    </row>
    <row r="1316" spans="1:9" ht="18" customHeight="1">
      <c r="A1316" s="128"/>
      <c r="B1316" s="64" t="s">
        <v>1147</v>
      </c>
      <c r="C1316" s="70">
        <v>1</v>
      </c>
      <c r="D1316" s="68">
        <v>4.218</v>
      </c>
      <c r="E1316" s="68"/>
      <c r="F1316" s="68">
        <v>2.9</v>
      </c>
      <c r="G1316" s="67">
        <f t="shared" ref="G1316:G1379" si="44">IF(C1316&lt;&gt;0,ROUND(PRODUCT(D1316:F1316)*C1316,2)," ")</f>
        <v>12.23</v>
      </c>
      <c r="H1316" s="929" t="s">
        <v>1303</v>
      </c>
    </row>
    <row r="1317" spans="1:9" s="78" customFormat="1" ht="18" customHeight="1">
      <c r="A1317" s="432"/>
      <c r="B1317" s="63" t="s">
        <v>1693</v>
      </c>
      <c r="C1317" s="70">
        <v>1</v>
      </c>
      <c r="D1317" s="68">
        <v>4.8</v>
      </c>
      <c r="E1317" s="68"/>
      <c r="F1317" s="68">
        <v>2.9</v>
      </c>
      <c r="G1317" s="67">
        <f t="shared" si="44"/>
        <v>13.92</v>
      </c>
      <c r="H1317" s="929" t="s">
        <v>1303</v>
      </c>
      <c r="I1317" s="1227"/>
    </row>
    <row r="1318" spans="1:9" ht="18" customHeight="1">
      <c r="A1318" s="128"/>
      <c r="B1318" s="356" t="s">
        <v>1694</v>
      </c>
      <c r="C1318" s="76">
        <v>1</v>
      </c>
      <c r="D1318" s="77">
        <v>9.2629999999999999</v>
      </c>
      <c r="E1318" s="68"/>
      <c r="F1318" s="68">
        <v>2.9</v>
      </c>
      <c r="G1318" s="67">
        <f t="shared" si="44"/>
        <v>26.86</v>
      </c>
      <c r="H1318" s="929" t="s">
        <v>1303</v>
      </c>
    </row>
    <row r="1319" spans="1:9" s="78" customFormat="1" ht="18" customHeight="1">
      <c r="A1319" s="432"/>
      <c r="B1319" s="356" t="s">
        <v>1695</v>
      </c>
      <c r="C1319" s="76">
        <v>-3</v>
      </c>
      <c r="D1319" s="77">
        <v>0.9</v>
      </c>
      <c r="E1319" s="68"/>
      <c r="F1319" s="68">
        <v>2.1</v>
      </c>
      <c r="G1319" s="67">
        <f t="shared" si="44"/>
        <v>-5.67</v>
      </c>
      <c r="H1319" s="929" t="s">
        <v>1303</v>
      </c>
      <c r="I1319" s="1227"/>
    </row>
    <row r="1320" spans="1:9" ht="18" customHeight="1">
      <c r="A1320" s="128"/>
      <c r="B1320" s="64" t="s">
        <v>1701</v>
      </c>
      <c r="C1320" s="70">
        <v>3</v>
      </c>
      <c r="D1320" s="68">
        <v>4.218</v>
      </c>
      <c r="E1320" s="68"/>
      <c r="F1320" s="68">
        <v>2.9</v>
      </c>
      <c r="G1320" s="67">
        <f t="shared" si="44"/>
        <v>36.700000000000003</v>
      </c>
      <c r="H1320" s="929" t="s">
        <v>1303</v>
      </c>
    </row>
    <row r="1321" spans="1:9" s="78" customFormat="1" ht="18" customHeight="1">
      <c r="A1321" s="432"/>
      <c r="B1321" s="63" t="s">
        <v>1702</v>
      </c>
      <c r="C1321" s="70">
        <v>3</v>
      </c>
      <c r="D1321" s="68">
        <v>4.8</v>
      </c>
      <c r="E1321" s="68"/>
      <c r="F1321" s="68">
        <v>2.9</v>
      </c>
      <c r="G1321" s="67">
        <f t="shared" si="44"/>
        <v>41.76</v>
      </c>
      <c r="H1321" s="929" t="s">
        <v>1303</v>
      </c>
      <c r="I1321" s="1227"/>
    </row>
    <row r="1322" spans="1:9" ht="18" customHeight="1">
      <c r="A1322" s="128"/>
      <c r="B1322" s="356" t="s">
        <v>1694</v>
      </c>
      <c r="C1322" s="76">
        <v>1</v>
      </c>
      <c r="D1322" s="77">
        <v>21.6</v>
      </c>
      <c r="E1322" s="68"/>
      <c r="F1322" s="68">
        <v>2.9</v>
      </c>
      <c r="G1322" s="67">
        <f t="shared" si="44"/>
        <v>62.64</v>
      </c>
      <c r="H1322" s="929" t="s">
        <v>1303</v>
      </c>
    </row>
    <row r="1323" spans="1:9" s="78" customFormat="1" ht="18" customHeight="1">
      <c r="A1323" s="432"/>
      <c r="B1323" s="356" t="s">
        <v>1703</v>
      </c>
      <c r="C1323" s="76">
        <v>-7</v>
      </c>
      <c r="D1323" s="77">
        <v>0.9</v>
      </c>
      <c r="E1323" s="68"/>
      <c r="F1323" s="68">
        <v>2.1</v>
      </c>
      <c r="G1323" s="67">
        <f t="shared" si="44"/>
        <v>-13.23</v>
      </c>
      <c r="H1323" s="929" t="s">
        <v>1303</v>
      </c>
      <c r="I1323" s="1227"/>
    </row>
    <row r="1324" spans="1:9" ht="18" customHeight="1">
      <c r="A1324" s="432"/>
      <c r="B1324" s="64" t="s">
        <v>1712</v>
      </c>
      <c r="C1324" s="70">
        <v>1</v>
      </c>
      <c r="D1324" s="68">
        <v>4.218</v>
      </c>
      <c r="E1324" s="68"/>
      <c r="F1324" s="68">
        <v>2.9</v>
      </c>
      <c r="G1324" s="67">
        <f t="shared" si="44"/>
        <v>12.23</v>
      </c>
      <c r="H1324" s="929" t="s">
        <v>1303</v>
      </c>
    </row>
    <row r="1325" spans="1:9" s="78" customFormat="1" ht="18" customHeight="1">
      <c r="A1325" s="432"/>
      <c r="B1325" s="63" t="s">
        <v>1702</v>
      </c>
      <c r="C1325" s="70">
        <v>2</v>
      </c>
      <c r="D1325" s="68">
        <v>4.8</v>
      </c>
      <c r="E1325" s="68"/>
      <c r="F1325" s="68">
        <v>2.9</v>
      </c>
      <c r="G1325" s="67">
        <f t="shared" si="44"/>
        <v>27.84</v>
      </c>
      <c r="H1325" s="929" t="s">
        <v>1303</v>
      </c>
      <c r="I1325" s="1227"/>
    </row>
    <row r="1326" spans="1:9" ht="18" customHeight="1">
      <c r="A1326" s="128"/>
      <c r="B1326" s="356" t="s">
        <v>1694</v>
      </c>
      <c r="C1326" s="76">
        <v>1</v>
      </c>
      <c r="D1326" s="77">
        <v>20.437999999999999</v>
      </c>
      <c r="E1326" s="68"/>
      <c r="F1326" s="68">
        <v>2.9</v>
      </c>
      <c r="G1326" s="67">
        <f t="shared" si="44"/>
        <v>59.27</v>
      </c>
      <c r="H1326" s="929" t="s">
        <v>1303</v>
      </c>
    </row>
    <row r="1327" spans="1:9" s="78" customFormat="1" ht="18" customHeight="1">
      <c r="A1327" s="432"/>
      <c r="B1327" s="356" t="s">
        <v>1699</v>
      </c>
      <c r="C1327" s="76">
        <v>-4</v>
      </c>
      <c r="D1327" s="77">
        <v>0.9</v>
      </c>
      <c r="E1327" s="68"/>
      <c r="F1327" s="68">
        <v>2.1</v>
      </c>
      <c r="G1327" s="67">
        <f t="shared" si="44"/>
        <v>-7.56</v>
      </c>
      <c r="H1327" s="929" t="s">
        <v>1303</v>
      </c>
      <c r="I1327" s="1227"/>
    </row>
    <row r="1328" spans="1:9" s="78" customFormat="1" ht="18" customHeight="1">
      <c r="A1328" s="432"/>
      <c r="B1328" s="356" t="s">
        <v>1705</v>
      </c>
      <c r="C1328" s="76">
        <v>-2</v>
      </c>
      <c r="D1328" s="77">
        <v>1</v>
      </c>
      <c r="E1328" s="68"/>
      <c r="F1328" s="68">
        <v>1.8</v>
      </c>
      <c r="G1328" s="67">
        <f t="shared" si="44"/>
        <v>-3.6</v>
      </c>
      <c r="H1328" s="929" t="s">
        <v>1303</v>
      </c>
      <c r="I1328" s="1227"/>
    </row>
    <row r="1329" spans="1:9" ht="18" customHeight="1">
      <c r="A1329" s="128"/>
      <c r="B1329" s="64" t="s">
        <v>1706</v>
      </c>
      <c r="C1329" s="70">
        <v>3</v>
      </c>
      <c r="D1329" s="68">
        <v>4.218</v>
      </c>
      <c r="E1329" s="68"/>
      <c r="F1329" s="68">
        <v>2.9</v>
      </c>
      <c r="G1329" s="67">
        <f t="shared" si="44"/>
        <v>36.700000000000003</v>
      </c>
      <c r="H1329" s="929" t="s">
        <v>1303</v>
      </c>
    </row>
    <row r="1330" spans="1:9" s="78" customFormat="1" ht="18" customHeight="1">
      <c r="A1330" s="432"/>
      <c r="B1330" s="63" t="s">
        <v>1702</v>
      </c>
      <c r="C1330" s="70">
        <v>3</v>
      </c>
      <c r="D1330" s="68">
        <v>4.8</v>
      </c>
      <c r="E1330" s="68"/>
      <c r="F1330" s="68">
        <v>2.9</v>
      </c>
      <c r="G1330" s="67">
        <f t="shared" si="44"/>
        <v>41.76</v>
      </c>
      <c r="H1330" s="929" t="s">
        <v>1303</v>
      </c>
      <c r="I1330" s="1227"/>
    </row>
    <row r="1331" spans="1:9" ht="18" customHeight="1">
      <c r="A1331" s="128"/>
      <c r="B1331" s="356" t="s">
        <v>1694</v>
      </c>
      <c r="C1331" s="76">
        <v>1</v>
      </c>
      <c r="D1331" s="77">
        <v>21.6</v>
      </c>
      <c r="E1331" s="68"/>
      <c r="F1331" s="68">
        <v>2.9</v>
      </c>
      <c r="G1331" s="67">
        <f t="shared" si="44"/>
        <v>62.64</v>
      </c>
      <c r="H1331" s="929" t="s">
        <v>1303</v>
      </c>
    </row>
    <row r="1332" spans="1:9" s="78" customFormat="1" ht="18" customHeight="1">
      <c r="A1332" s="432"/>
      <c r="B1332" s="356" t="s">
        <v>1703</v>
      </c>
      <c r="C1332" s="76">
        <v>-7</v>
      </c>
      <c r="D1332" s="77">
        <v>0.9</v>
      </c>
      <c r="E1332" s="68"/>
      <c r="F1332" s="68">
        <v>2.1</v>
      </c>
      <c r="G1332" s="67">
        <f t="shared" si="44"/>
        <v>-13.23</v>
      </c>
      <c r="H1332" s="929" t="s">
        <v>1303</v>
      </c>
      <c r="I1332" s="1227"/>
    </row>
    <row r="1333" spans="1:9" ht="18" customHeight="1">
      <c r="A1333" s="128"/>
      <c r="B1333" s="64" t="s">
        <v>1713</v>
      </c>
      <c r="C1333" s="70">
        <v>2</v>
      </c>
      <c r="D1333" s="68">
        <v>4.218</v>
      </c>
      <c r="E1333" s="68"/>
      <c r="F1333" s="68">
        <v>2.9</v>
      </c>
      <c r="G1333" s="67">
        <f t="shared" si="44"/>
        <v>24.46</v>
      </c>
      <c r="H1333" s="929" t="s">
        <v>1303</v>
      </c>
    </row>
    <row r="1334" spans="1:9" s="78" customFormat="1" ht="18" customHeight="1">
      <c r="A1334" s="432"/>
      <c r="B1334" s="63" t="s">
        <v>1702</v>
      </c>
      <c r="C1334" s="70">
        <v>2</v>
      </c>
      <c r="D1334" s="68">
        <v>4.8</v>
      </c>
      <c r="E1334" s="68"/>
      <c r="F1334" s="68">
        <v>2.9</v>
      </c>
      <c r="G1334" s="67">
        <f t="shared" si="44"/>
        <v>27.84</v>
      </c>
      <c r="H1334" s="929" t="s">
        <v>1303</v>
      </c>
      <c r="I1334" s="1227"/>
    </row>
    <row r="1335" spans="1:9" s="78" customFormat="1" ht="18" customHeight="1">
      <c r="A1335" s="432"/>
      <c r="B1335" s="356" t="s">
        <v>1694</v>
      </c>
      <c r="C1335" s="76">
        <v>1</v>
      </c>
      <c r="D1335" s="77">
        <v>20.437999999999999</v>
      </c>
      <c r="E1335" s="68"/>
      <c r="F1335" s="68">
        <v>2.9</v>
      </c>
      <c r="G1335" s="67">
        <f t="shared" si="44"/>
        <v>59.27</v>
      </c>
      <c r="H1335" s="929" t="s">
        <v>1303</v>
      </c>
      <c r="I1335" s="1227"/>
    </row>
    <row r="1336" spans="1:9" ht="18" customHeight="1">
      <c r="A1336" s="128"/>
      <c r="B1336" s="356" t="s">
        <v>1699</v>
      </c>
      <c r="C1336" s="76">
        <v>-4</v>
      </c>
      <c r="D1336" s="77">
        <v>0.9</v>
      </c>
      <c r="E1336" s="68"/>
      <c r="F1336" s="68">
        <v>2.1</v>
      </c>
      <c r="G1336" s="67">
        <f t="shared" si="44"/>
        <v>-7.56</v>
      </c>
      <c r="H1336" s="929" t="s">
        <v>1303</v>
      </c>
    </row>
    <row r="1337" spans="1:9" s="78" customFormat="1" ht="18" customHeight="1">
      <c r="A1337" s="432"/>
      <c r="B1337" s="356" t="s">
        <v>1705</v>
      </c>
      <c r="C1337" s="76">
        <v>-2</v>
      </c>
      <c r="D1337" s="77">
        <v>1</v>
      </c>
      <c r="E1337" s="68"/>
      <c r="F1337" s="68">
        <v>1.8</v>
      </c>
      <c r="G1337" s="67">
        <f t="shared" si="44"/>
        <v>-3.6</v>
      </c>
      <c r="H1337" s="929" t="s">
        <v>1303</v>
      </c>
      <c r="I1337" s="1227"/>
    </row>
    <row r="1338" spans="1:9" ht="18" customHeight="1">
      <c r="A1338" s="128"/>
      <c r="B1338" s="64" t="s">
        <v>1714</v>
      </c>
      <c r="C1338" s="70">
        <v>1</v>
      </c>
      <c r="D1338" s="68">
        <v>4.218</v>
      </c>
      <c r="E1338" s="68"/>
      <c r="F1338" s="68">
        <v>2.9</v>
      </c>
      <c r="G1338" s="67">
        <f t="shared" si="44"/>
        <v>12.23</v>
      </c>
      <c r="H1338" s="929" t="s">
        <v>1303</v>
      </c>
    </row>
    <row r="1339" spans="1:9" s="78" customFormat="1" ht="18" customHeight="1">
      <c r="A1339" s="432"/>
      <c r="B1339" s="63" t="s">
        <v>1693</v>
      </c>
      <c r="C1339" s="70">
        <v>1</v>
      </c>
      <c r="D1339" s="68">
        <v>4.8</v>
      </c>
      <c r="E1339" s="68"/>
      <c r="F1339" s="68">
        <v>2.9</v>
      </c>
      <c r="G1339" s="67">
        <f t="shared" si="44"/>
        <v>13.92</v>
      </c>
      <c r="H1339" s="929" t="s">
        <v>1303</v>
      </c>
      <c r="I1339" s="1227"/>
    </row>
    <row r="1340" spans="1:9" ht="18" customHeight="1">
      <c r="A1340" s="128"/>
      <c r="B1340" s="356" t="s">
        <v>1694</v>
      </c>
      <c r="C1340" s="76">
        <v>1</v>
      </c>
      <c r="D1340" s="77">
        <v>9.2629999999999999</v>
      </c>
      <c r="E1340" s="68"/>
      <c r="F1340" s="68">
        <v>2.9</v>
      </c>
      <c r="G1340" s="67">
        <f t="shared" si="44"/>
        <v>26.86</v>
      </c>
      <c r="H1340" s="929" t="s">
        <v>1303</v>
      </c>
    </row>
    <row r="1341" spans="1:9" s="78" customFormat="1" ht="18" customHeight="1">
      <c r="A1341" s="432"/>
      <c r="B1341" s="356" t="s">
        <v>1695</v>
      </c>
      <c r="C1341" s="76">
        <v>-3</v>
      </c>
      <c r="D1341" s="77">
        <v>0.9</v>
      </c>
      <c r="E1341" s="68"/>
      <c r="F1341" s="68">
        <v>2.1</v>
      </c>
      <c r="G1341" s="67">
        <f t="shared" si="44"/>
        <v>-5.67</v>
      </c>
      <c r="H1341" s="929" t="s">
        <v>1303</v>
      </c>
      <c r="I1341" s="1227"/>
    </row>
    <row r="1342" spans="1:9" ht="18" customHeight="1">
      <c r="A1342" s="128"/>
      <c r="B1342" s="64" t="s">
        <v>1715</v>
      </c>
      <c r="C1342" s="70">
        <v>2</v>
      </c>
      <c r="D1342" s="68">
        <v>4.218</v>
      </c>
      <c r="E1342" s="68"/>
      <c r="F1342" s="68">
        <v>2.9</v>
      </c>
      <c r="G1342" s="67">
        <f t="shared" si="44"/>
        <v>24.46</v>
      </c>
      <c r="H1342" s="929" t="s">
        <v>1303</v>
      </c>
    </row>
    <row r="1343" spans="1:9" s="78" customFormat="1" ht="18" customHeight="1">
      <c r="A1343" s="432"/>
      <c r="B1343" s="63" t="s">
        <v>1693</v>
      </c>
      <c r="C1343" s="70">
        <v>1</v>
      </c>
      <c r="D1343" s="68">
        <v>4.8</v>
      </c>
      <c r="E1343" s="68"/>
      <c r="F1343" s="68">
        <v>2.9</v>
      </c>
      <c r="G1343" s="67">
        <f t="shared" si="44"/>
        <v>13.92</v>
      </c>
      <c r="H1343" s="929" t="s">
        <v>1303</v>
      </c>
      <c r="I1343" s="1227"/>
    </row>
    <row r="1344" spans="1:9" ht="18" customHeight="1">
      <c r="A1344" s="128"/>
      <c r="B1344" s="356" t="s">
        <v>1694</v>
      </c>
      <c r="C1344" s="76">
        <v>1</v>
      </c>
      <c r="D1344" s="77">
        <v>12.65</v>
      </c>
      <c r="E1344" s="68"/>
      <c r="F1344" s="68">
        <v>2.9</v>
      </c>
      <c r="G1344" s="67">
        <f t="shared" si="44"/>
        <v>36.69</v>
      </c>
      <c r="H1344" s="929" t="s">
        <v>1303</v>
      </c>
    </row>
    <row r="1345" spans="1:9" s="78" customFormat="1" ht="18" customHeight="1">
      <c r="A1345" s="432"/>
      <c r="B1345" s="356" t="s">
        <v>1699</v>
      </c>
      <c r="C1345" s="76">
        <v>-4</v>
      </c>
      <c r="D1345" s="77">
        <v>0.9</v>
      </c>
      <c r="E1345" s="68"/>
      <c r="F1345" s="68">
        <v>2.1</v>
      </c>
      <c r="G1345" s="67">
        <f t="shared" si="44"/>
        <v>-7.56</v>
      </c>
      <c r="H1345" s="929" t="s">
        <v>1303</v>
      </c>
      <c r="I1345" s="1227"/>
    </row>
    <row r="1346" spans="1:9" ht="18" customHeight="1">
      <c r="A1346" s="128"/>
      <c r="B1346" s="64" t="s">
        <v>1716</v>
      </c>
      <c r="C1346" s="70">
        <v>1</v>
      </c>
      <c r="D1346" s="68">
        <v>4.218</v>
      </c>
      <c r="E1346" s="68"/>
      <c r="F1346" s="68">
        <v>2.9</v>
      </c>
      <c r="G1346" s="67">
        <f t="shared" si="44"/>
        <v>12.23</v>
      </c>
      <c r="H1346" s="929" t="s">
        <v>1303</v>
      </c>
    </row>
    <row r="1347" spans="1:9" s="78" customFormat="1" ht="18" customHeight="1">
      <c r="A1347" s="432"/>
      <c r="B1347" s="63" t="s">
        <v>1693</v>
      </c>
      <c r="C1347" s="70">
        <v>1</v>
      </c>
      <c r="D1347" s="68">
        <v>4.8</v>
      </c>
      <c r="E1347" s="68"/>
      <c r="F1347" s="68">
        <v>2.9</v>
      </c>
      <c r="G1347" s="67">
        <f t="shared" si="44"/>
        <v>13.92</v>
      </c>
      <c r="H1347" s="929" t="s">
        <v>1303</v>
      </c>
      <c r="I1347" s="1227"/>
    </row>
    <row r="1348" spans="1:9" ht="18" customHeight="1">
      <c r="A1348" s="128"/>
      <c r="B1348" s="356" t="s">
        <v>1694</v>
      </c>
      <c r="C1348" s="76">
        <v>1</v>
      </c>
      <c r="D1348" s="77">
        <v>9.2349999999999994</v>
      </c>
      <c r="E1348" s="68"/>
      <c r="F1348" s="68">
        <v>2.9</v>
      </c>
      <c r="G1348" s="67">
        <f t="shared" si="44"/>
        <v>26.78</v>
      </c>
      <c r="H1348" s="929" t="s">
        <v>1303</v>
      </c>
    </row>
    <row r="1349" spans="1:9" s="78" customFormat="1" ht="18" customHeight="1">
      <c r="A1349" s="432"/>
      <c r="B1349" s="356" t="s">
        <v>1695</v>
      </c>
      <c r="C1349" s="76">
        <v>-3</v>
      </c>
      <c r="D1349" s="77">
        <v>0.9</v>
      </c>
      <c r="E1349" s="68"/>
      <c r="F1349" s="68">
        <v>2.1</v>
      </c>
      <c r="G1349" s="67">
        <f t="shared" si="44"/>
        <v>-5.67</v>
      </c>
      <c r="H1349" s="929" t="s">
        <v>1303</v>
      </c>
      <c r="I1349" s="1227"/>
    </row>
    <row r="1350" spans="1:9" ht="18" customHeight="1">
      <c r="A1350" s="128"/>
      <c r="B1350" s="64" t="s">
        <v>1717</v>
      </c>
      <c r="C1350" s="70">
        <v>2</v>
      </c>
      <c r="D1350" s="68">
        <v>4.218</v>
      </c>
      <c r="E1350" s="68"/>
      <c r="F1350" s="68">
        <v>2.9</v>
      </c>
      <c r="G1350" s="67">
        <f t="shared" si="44"/>
        <v>24.46</v>
      </c>
      <c r="H1350" s="929" t="s">
        <v>1303</v>
      </c>
    </row>
    <row r="1351" spans="1:9" s="78" customFormat="1" ht="18" customHeight="1">
      <c r="A1351" s="432"/>
      <c r="B1351" s="63" t="s">
        <v>1693</v>
      </c>
      <c r="C1351" s="70">
        <v>1</v>
      </c>
      <c r="D1351" s="68">
        <v>4.8</v>
      </c>
      <c r="E1351" s="68"/>
      <c r="F1351" s="68">
        <v>2.9</v>
      </c>
      <c r="G1351" s="67">
        <f t="shared" si="44"/>
        <v>13.92</v>
      </c>
      <c r="H1351" s="929" t="s">
        <v>1303</v>
      </c>
      <c r="I1351" s="1227"/>
    </row>
    <row r="1352" spans="1:9" ht="18" customHeight="1">
      <c r="A1352" s="128"/>
      <c r="B1352" s="356" t="s">
        <v>1694</v>
      </c>
      <c r="C1352" s="76">
        <v>1</v>
      </c>
      <c r="D1352" s="77">
        <v>12.238</v>
      </c>
      <c r="E1352" s="68"/>
      <c r="F1352" s="68">
        <v>2.9</v>
      </c>
      <c r="G1352" s="67">
        <f t="shared" si="44"/>
        <v>35.49</v>
      </c>
      <c r="H1352" s="929" t="s">
        <v>1303</v>
      </c>
    </row>
    <row r="1353" spans="1:9" s="78" customFormat="1" ht="18" customHeight="1">
      <c r="A1353" s="432"/>
      <c r="B1353" s="356" t="s">
        <v>1699</v>
      </c>
      <c r="C1353" s="76">
        <v>-4</v>
      </c>
      <c r="D1353" s="77">
        <v>0.9</v>
      </c>
      <c r="E1353" s="68"/>
      <c r="F1353" s="68">
        <v>2.1</v>
      </c>
      <c r="G1353" s="67">
        <f t="shared" si="44"/>
        <v>-7.56</v>
      </c>
      <c r="H1353" s="929" t="s">
        <v>1303</v>
      </c>
      <c r="I1353" s="1227"/>
    </row>
    <row r="1354" spans="1:9" s="78" customFormat="1" ht="18" customHeight="1">
      <c r="A1354" s="432"/>
      <c r="B1354" s="356"/>
      <c r="C1354" s="76"/>
      <c r="D1354" s="77"/>
      <c r="E1354" s="68"/>
      <c r="F1354" s="68"/>
      <c r="G1354" s="67" t="str">
        <f t="shared" si="44"/>
        <v xml:space="preserve"> </v>
      </c>
      <c r="H1354" s="929" t="s">
        <v>1303</v>
      </c>
      <c r="I1354" s="1227"/>
    </row>
    <row r="1355" spans="1:9" ht="18" customHeight="1">
      <c r="A1355" s="354"/>
      <c r="B1355" s="693" t="s">
        <v>1718</v>
      </c>
      <c r="C1355" s="70"/>
      <c r="D1355" s="68"/>
      <c r="E1355" s="68"/>
      <c r="F1355" s="68"/>
      <c r="G1355" s="67" t="str">
        <f t="shared" si="44"/>
        <v xml:space="preserve"> </v>
      </c>
      <c r="H1355" s="929" t="s">
        <v>1303</v>
      </c>
    </row>
    <row r="1356" spans="1:9" ht="18" customHeight="1">
      <c r="A1356" s="128"/>
      <c r="B1356" s="64" t="s">
        <v>1692</v>
      </c>
      <c r="C1356" s="70">
        <v>2</v>
      </c>
      <c r="D1356" s="68">
        <v>4.218</v>
      </c>
      <c r="E1356" s="68"/>
      <c r="F1356" s="68">
        <v>4</v>
      </c>
      <c r="G1356" s="67">
        <f t="shared" si="44"/>
        <v>33.74</v>
      </c>
      <c r="H1356" s="929" t="s">
        <v>1303</v>
      </c>
    </row>
    <row r="1357" spans="1:9" s="78" customFormat="1" ht="18" customHeight="1">
      <c r="A1357" s="432"/>
      <c r="B1357" s="63" t="s">
        <v>1693</v>
      </c>
      <c r="C1357" s="70">
        <v>2</v>
      </c>
      <c r="D1357" s="68">
        <v>4.8</v>
      </c>
      <c r="E1357" s="68"/>
      <c r="F1357" s="68">
        <v>4</v>
      </c>
      <c r="G1357" s="67">
        <f t="shared" si="44"/>
        <v>38.4</v>
      </c>
      <c r="H1357" s="929" t="s">
        <v>1303</v>
      </c>
      <c r="I1357" s="1227"/>
    </row>
    <row r="1358" spans="1:9" ht="18" customHeight="1">
      <c r="A1358" s="128"/>
      <c r="B1358" s="356" t="s">
        <v>1694</v>
      </c>
      <c r="C1358" s="76">
        <v>1</v>
      </c>
      <c r="D1358" s="77">
        <v>15.407999999999999</v>
      </c>
      <c r="E1358" s="68"/>
      <c r="F1358" s="68">
        <v>3.5</v>
      </c>
      <c r="G1358" s="67">
        <f t="shared" si="44"/>
        <v>53.93</v>
      </c>
      <c r="H1358" s="929" t="s">
        <v>1303</v>
      </c>
    </row>
    <row r="1359" spans="1:9" s="78" customFormat="1" ht="18" customHeight="1">
      <c r="A1359" s="432"/>
      <c r="B1359" s="356" t="s">
        <v>1698</v>
      </c>
      <c r="C1359" s="76">
        <v>-5</v>
      </c>
      <c r="D1359" s="77">
        <v>0.9</v>
      </c>
      <c r="E1359" s="68"/>
      <c r="F1359" s="68">
        <v>2.1</v>
      </c>
      <c r="G1359" s="67">
        <f t="shared" si="44"/>
        <v>-9.4499999999999993</v>
      </c>
      <c r="H1359" s="929" t="s">
        <v>1303</v>
      </c>
      <c r="I1359" s="1227"/>
    </row>
    <row r="1360" spans="1:9" ht="18" customHeight="1">
      <c r="A1360" s="128"/>
      <c r="B1360" s="64" t="s">
        <v>1697</v>
      </c>
      <c r="C1360" s="70">
        <v>2</v>
      </c>
      <c r="D1360" s="68">
        <v>4.218</v>
      </c>
      <c r="E1360" s="68"/>
      <c r="F1360" s="68">
        <v>4</v>
      </c>
      <c r="G1360" s="67">
        <f t="shared" si="44"/>
        <v>33.74</v>
      </c>
      <c r="H1360" s="929" t="s">
        <v>1303</v>
      </c>
    </row>
    <row r="1361" spans="1:9" s="78" customFormat="1" ht="18" customHeight="1">
      <c r="A1361" s="432"/>
      <c r="B1361" s="63" t="s">
        <v>1693</v>
      </c>
      <c r="C1361" s="70">
        <v>2</v>
      </c>
      <c r="D1361" s="68">
        <v>4.8</v>
      </c>
      <c r="E1361" s="68"/>
      <c r="F1361" s="68">
        <v>4</v>
      </c>
      <c r="G1361" s="67">
        <f t="shared" si="44"/>
        <v>38.4</v>
      </c>
      <c r="H1361" s="929" t="s">
        <v>1303</v>
      </c>
      <c r="I1361" s="1227"/>
    </row>
    <row r="1362" spans="1:9" ht="18" customHeight="1">
      <c r="A1362" s="128"/>
      <c r="B1362" s="356" t="s">
        <v>1694</v>
      </c>
      <c r="C1362" s="76">
        <v>1</v>
      </c>
      <c r="D1362" s="77">
        <v>15.407999999999999</v>
      </c>
      <c r="E1362" s="68"/>
      <c r="F1362" s="68">
        <v>3.5</v>
      </c>
      <c r="G1362" s="67">
        <f t="shared" si="44"/>
        <v>53.93</v>
      </c>
      <c r="H1362" s="929" t="s">
        <v>1303</v>
      </c>
    </row>
    <row r="1363" spans="1:9" s="78" customFormat="1" ht="18" customHeight="1">
      <c r="A1363" s="432"/>
      <c r="B1363" s="356" t="s">
        <v>1698</v>
      </c>
      <c r="C1363" s="76">
        <v>-5</v>
      </c>
      <c r="D1363" s="77">
        <v>0.9</v>
      </c>
      <c r="E1363" s="68"/>
      <c r="F1363" s="68">
        <v>2.1</v>
      </c>
      <c r="G1363" s="67">
        <f t="shared" si="44"/>
        <v>-9.4499999999999993</v>
      </c>
      <c r="H1363" s="929" t="s">
        <v>1303</v>
      </c>
      <c r="I1363" s="1227"/>
    </row>
    <row r="1364" spans="1:9" ht="18" customHeight="1">
      <c r="A1364" s="128"/>
      <c r="B1364" s="64" t="s">
        <v>1146</v>
      </c>
      <c r="C1364" s="70">
        <v>2</v>
      </c>
      <c r="D1364" s="68">
        <v>4.218</v>
      </c>
      <c r="E1364" s="567"/>
      <c r="F1364" s="567">
        <v>3.55</v>
      </c>
      <c r="G1364" s="67">
        <f t="shared" si="44"/>
        <v>29.95</v>
      </c>
      <c r="H1364" s="929" t="s">
        <v>1303</v>
      </c>
    </row>
    <row r="1365" spans="1:9" s="78" customFormat="1" ht="18" customHeight="1">
      <c r="A1365" s="432"/>
      <c r="B1365" s="63" t="s">
        <v>1693</v>
      </c>
      <c r="C1365" s="70">
        <v>1</v>
      </c>
      <c r="D1365" s="68">
        <v>4.8</v>
      </c>
      <c r="E1365" s="68"/>
      <c r="F1365" s="68">
        <v>3.35</v>
      </c>
      <c r="G1365" s="67">
        <f t="shared" si="44"/>
        <v>16.079999999999998</v>
      </c>
      <c r="H1365" s="929" t="s">
        <v>1303</v>
      </c>
      <c r="I1365" s="1227"/>
    </row>
    <row r="1366" spans="1:9" ht="18" customHeight="1">
      <c r="A1366" s="128"/>
      <c r="B1366" s="356" t="s">
        <v>1694</v>
      </c>
      <c r="C1366" s="76">
        <v>1</v>
      </c>
      <c r="D1366" s="77">
        <v>12.65</v>
      </c>
      <c r="E1366" s="68"/>
      <c r="F1366" s="68">
        <v>3.5</v>
      </c>
      <c r="G1366" s="67">
        <f t="shared" si="44"/>
        <v>44.28</v>
      </c>
      <c r="H1366" s="929" t="s">
        <v>1303</v>
      </c>
    </row>
    <row r="1367" spans="1:9" s="78" customFormat="1" ht="18" customHeight="1">
      <c r="A1367" s="432"/>
      <c r="B1367" s="356" t="s">
        <v>1699</v>
      </c>
      <c r="C1367" s="76">
        <v>-4</v>
      </c>
      <c r="D1367" s="77">
        <v>0.9</v>
      </c>
      <c r="E1367" s="68"/>
      <c r="F1367" s="68">
        <v>2.1</v>
      </c>
      <c r="G1367" s="67">
        <f t="shared" si="44"/>
        <v>-7.56</v>
      </c>
      <c r="H1367" s="929" t="s">
        <v>1303</v>
      </c>
      <c r="I1367" s="1227"/>
    </row>
    <row r="1368" spans="1:9" ht="18" customHeight="1">
      <c r="A1368" s="128"/>
      <c r="B1368" s="64" t="s">
        <v>1147</v>
      </c>
      <c r="C1368" s="70">
        <v>1</v>
      </c>
      <c r="D1368" s="68">
        <v>4.218</v>
      </c>
      <c r="E1368" s="68"/>
      <c r="F1368" s="68">
        <v>3.35</v>
      </c>
      <c r="G1368" s="67">
        <f t="shared" si="44"/>
        <v>14.13</v>
      </c>
      <c r="H1368" s="929" t="s">
        <v>1303</v>
      </c>
    </row>
    <row r="1369" spans="1:9" s="78" customFormat="1" ht="18" customHeight="1">
      <c r="A1369" s="432"/>
      <c r="B1369" s="63" t="s">
        <v>1693</v>
      </c>
      <c r="C1369" s="70">
        <v>1</v>
      </c>
      <c r="D1369" s="68">
        <v>4.8</v>
      </c>
      <c r="E1369" s="68"/>
      <c r="F1369" s="68">
        <v>3.35</v>
      </c>
      <c r="G1369" s="67">
        <f t="shared" si="44"/>
        <v>16.079999999999998</v>
      </c>
      <c r="H1369" s="929" t="s">
        <v>1303</v>
      </c>
      <c r="I1369" s="1227"/>
    </row>
    <row r="1370" spans="1:9" ht="18" customHeight="1">
      <c r="A1370" s="128"/>
      <c r="B1370" s="356" t="s">
        <v>1694</v>
      </c>
      <c r="C1370" s="76">
        <v>1</v>
      </c>
      <c r="D1370" s="77">
        <v>9.2629999999999999</v>
      </c>
      <c r="E1370" s="68"/>
      <c r="F1370" s="68">
        <v>3.5</v>
      </c>
      <c r="G1370" s="67">
        <f t="shared" si="44"/>
        <v>32.42</v>
      </c>
      <c r="H1370" s="929" t="s">
        <v>1303</v>
      </c>
    </row>
    <row r="1371" spans="1:9" s="78" customFormat="1" ht="18" customHeight="1">
      <c r="A1371" s="432"/>
      <c r="B1371" s="356" t="s">
        <v>1695</v>
      </c>
      <c r="C1371" s="76">
        <v>-3</v>
      </c>
      <c r="D1371" s="77">
        <v>0.9</v>
      </c>
      <c r="E1371" s="68"/>
      <c r="F1371" s="68">
        <v>2.1</v>
      </c>
      <c r="G1371" s="67">
        <f t="shared" si="44"/>
        <v>-5.67</v>
      </c>
      <c r="H1371" s="929" t="s">
        <v>1303</v>
      </c>
      <c r="I1371" s="1227"/>
    </row>
    <row r="1372" spans="1:9" ht="18" customHeight="1">
      <c r="A1372" s="128"/>
      <c r="B1372" s="64" t="s">
        <v>1701</v>
      </c>
      <c r="C1372" s="70">
        <v>3</v>
      </c>
      <c r="D1372" s="68">
        <v>4.218</v>
      </c>
      <c r="E1372" s="68"/>
      <c r="F1372" s="68">
        <v>4</v>
      </c>
      <c r="G1372" s="67">
        <f t="shared" si="44"/>
        <v>50.62</v>
      </c>
      <c r="H1372" s="929" t="s">
        <v>1303</v>
      </c>
    </row>
    <row r="1373" spans="1:9" s="78" customFormat="1" ht="18" customHeight="1">
      <c r="A1373" s="432"/>
      <c r="B1373" s="63" t="s">
        <v>1702</v>
      </c>
      <c r="C1373" s="70">
        <v>3</v>
      </c>
      <c r="D1373" s="68">
        <v>4.8</v>
      </c>
      <c r="E1373" s="68"/>
      <c r="F1373" s="68">
        <v>4</v>
      </c>
      <c r="G1373" s="67">
        <f t="shared" si="44"/>
        <v>57.6</v>
      </c>
      <c r="H1373" s="929" t="s">
        <v>1303</v>
      </c>
      <c r="I1373" s="1227"/>
    </row>
    <row r="1374" spans="1:9" ht="18" customHeight="1">
      <c r="A1374" s="128"/>
      <c r="B1374" s="356" t="s">
        <v>1694</v>
      </c>
      <c r="C1374" s="76">
        <v>1</v>
      </c>
      <c r="D1374" s="77">
        <v>20.437999999999999</v>
      </c>
      <c r="E1374" s="68"/>
      <c r="F1374" s="68">
        <v>3.5</v>
      </c>
      <c r="G1374" s="67">
        <f t="shared" si="44"/>
        <v>71.53</v>
      </c>
      <c r="H1374" s="929" t="s">
        <v>1303</v>
      </c>
    </row>
    <row r="1375" spans="1:9" s="78" customFormat="1" ht="18" customHeight="1">
      <c r="A1375" s="432"/>
      <c r="B1375" s="356" t="s">
        <v>1703</v>
      </c>
      <c r="C1375" s="76">
        <v>-7</v>
      </c>
      <c r="D1375" s="77">
        <v>0.9</v>
      </c>
      <c r="E1375" s="68"/>
      <c r="F1375" s="68">
        <v>2.1</v>
      </c>
      <c r="G1375" s="67">
        <f t="shared" si="44"/>
        <v>-13.23</v>
      </c>
      <c r="H1375" s="929" t="s">
        <v>1303</v>
      </c>
      <c r="I1375" s="1227"/>
    </row>
    <row r="1376" spans="1:9" ht="18" customHeight="1">
      <c r="A1376" s="432"/>
      <c r="B1376" s="64" t="s">
        <v>1712</v>
      </c>
      <c r="C1376" s="70">
        <v>1</v>
      </c>
      <c r="D1376" s="68">
        <v>4.218</v>
      </c>
      <c r="E1376" s="68"/>
      <c r="F1376" s="68">
        <v>3.35</v>
      </c>
      <c r="G1376" s="67">
        <f t="shared" si="44"/>
        <v>14.13</v>
      </c>
      <c r="H1376" s="929" t="s">
        <v>1303</v>
      </c>
    </row>
    <row r="1377" spans="1:9" s="78" customFormat="1" ht="18" customHeight="1">
      <c r="A1377" s="432"/>
      <c r="B1377" s="63" t="s">
        <v>1702</v>
      </c>
      <c r="C1377" s="70">
        <v>2</v>
      </c>
      <c r="D1377" s="68">
        <v>4.8</v>
      </c>
      <c r="E1377" s="68"/>
      <c r="F1377" s="68">
        <v>3.35</v>
      </c>
      <c r="G1377" s="67">
        <f t="shared" si="44"/>
        <v>32.159999999999997</v>
      </c>
      <c r="H1377" s="929" t="s">
        <v>1303</v>
      </c>
      <c r="I1377" s="1227"/>
    </row>
    <row r="1378" spans="1:9" ht="18" customHeight="1">
      <c r="A1378" s="128"/>
      <c r="B1378" s="356" t="s">
        <v>1694</v>
      </c>
      <c r="C1378" s="76">
        <v>1</v>
      </c>
      <c r="D1378" s="572">
        <v>20.65</v>
      </c>
      <c r="E1378" s="68"/>
      <c r="F1378" s="68">
        <v>3.5</v>
      </c>
      <c r="G1378" s="67">
        <f t="shared" si="44"/>
        <v>72.28</v>
      </c>
      <c r="H1378" s="929" t="s">
        <v>1303</v>
      </c>
    </row>
    <row r="1379" spans="1:9" s="78" customFormat="1" ht="18" customHeight="1">
      <c r="A1379" s="432"/>
      <c r="B1379" s="356" t="s">
        <v>1699</v>
      </c>
      <c r="C1379" s="76">
        <v>-4</v>
      </c>
      <c r="D1379" s="77">
        <v>0.9</v>
      </c>
      <c r="E1379" s="68"/>
      <c r="F1379" s="68">
        <v>2.1</v>
      </c>
      <c r="G1379" s="67">
        <f t="shared" si="44"/>
        <v>-7.56</v>
      </c>
      <c r="H1379" s="929" t="s">
        <v>1303</v>
      </c>
      <c r="I1379" s="1227"/>
    </row>
    <row r="1380" spans="1:9" s="78" customFormat="1" ht="18" customHeight="1">
      <c r="A1380" s="432"/>
      <c r="B1380" s="356" t="s">
        <v>1705</v>
      </c>
      <c r="C1380" s="76">
        <v>-2</v>
      </c>
      <c r="D1380" s="77">
        <v>1</v>
      </c>
      <c r="E1380" s="68"/>
      <c r="F1380" s="68">
        <v>1.8</v>
      </c>
      <c r="G1380" s="67">
        <f t="shared" ref="G1380:G1405" si="45">IF(C1380&lt;&gt;0,ROUND(PRODUCT(D1380:F1380)*C1380,2)," ")</f>
        <v>-3.6</v>
      </c>
      <c r="H1380" s="929" t="s">
        <v>1303</v>
      </c>
      <c r="I1380" s="1227"/>
    </row>
    <row r="1381" spans="1:9" ht="18" customHeight="1">
      <c r="A1381" s="128"/>
      <c r="B1381" s="64" t="s">
        <v>1706</v>
      </c>
      <c r="C1381" s="70">
        <v>3</v>
      </c>
      <c r="D1381" s="68">
        <v>4.218</v>
      </c>
      <c r="E1381" s="68"/>
      <c r="F1381" s="68">
        <v>4</v>
      </c>
      <c r="G1381" s="67">
        <f t="shared" si="45"/>
        <v>50.62</v>
      </c>
      <c r="H1381" s="929" t="s">
        <v>1303</v>
      </c>
    </row>
    <row r="1382" spans="1:9" s="78" customFormat="1" ht="18" customHeight="1">
      <c r="A1382" s="432"/>
      <c r="B1382" s="63" t="s">
        <v>1702</v>
      </c>
      <c r="C1382" s="70">
        <v>3</v>
      </c>
      <c r="D1382" s="68">
        <v>4.8</v>
      </c>
      <c r="E1382" s="68"/>
      <c r="F1382" s="68">
        <v>4</v>
      </c>
      <c r="G1382" s="67">
        <f t="shared" si="45"/>
        <v>57.6</v>
      </c>
      <c r="H1382" s="929" t="s">
        <v>1303</v>
      </c>
      <c r="I1382" s="1227"/>
    </row>
    <row r="1383" spans="1:9" ht="18" customHeight="1">
      <c r="A1383" s="128"/>
      <c r="B1383" s="356" t="s">
        <v>1694</v>
      </c>
      <c r="C1383" s="76">
        <v>1</v>
      </c>
      <c r="D1383" s="77">
        <v>20.437999999999999</v>
      </c>
      <c r="E1383" s="68"/>
      <c r="F1383" s="68">
        <v>3.5</v>
      </c>
      <c r="G1383" s="67">
        <f t="shared" si="45"/>
        <v>71.53</v>
      </c>
      <c r="H1383" s="929" t="s">
        <v>1303</v>
      </c>
    </row>
    <row r="1384" spans="1:9" s="78" customFormat="1" ht="18" customHeight="1">
      <c r="A1384" s="432"/>
      <c r="B1384" s="356" t="s">
        <v>1703</v>
      </c>
      <c r="C1384" s="76">
        <v>-7</v>
      </c>
      <c r="D1384" s="77">
        <v>0.9</v>
      </c>
      <c r="E1384" s="68"/>
      <c r="F1384" s="68">
        <v>2.1</v>
      </c>
      <c r="G1384" s="67">
        <f t="shared" si="45"/>
        <v>-13.23</v>
      </c>
      <c r="H1384" s="929" t="s">
        <v>1303</v>
      </c>
      <c r="I1384" s="1227"/>
    </row>
    <row r="1385" spans="1:9" ht="18" customHeight="1">
      <c r="A1385" s="128"/>
      <c r="B1385" s="64" t="s">
        <v>1713</v>
      </c>
      <c r="C1385" s="70">
        <v>2</v>
      </c>
      <c r="D1385" s="68">
        <v>4.218</v>
      </c>
      <c r="E1385" s="68"/>
      <c r="F1385" s="68">
        <v>3.35</v>
      </c>
      <c r="G1385" s="67">
        <f t="shared" si="45"/>
        <v>28.26</v>
      </c>
      <c r="H1385" s="929" t="s">
        <v>1303</v>
      </c>
    </row>
    <row r="1386" spans="1:9" s="78" customFormat="1" ht="18" customHeight="1">
      <c r="A1386" s="432"/>
      <c r="B1386" s="63" t="s">
        <v>1702</v>
      </c>
      <c r="C1386" s="70">
        <v>2</v>
      </c>
      <c r="D1386" s="68">
        <v>4.8</v>
      </c>
      <c r="E1386" s="68"/>
      <c r="F1386" s="68">
        <v>3.35</v>
      </c>
      <c r="G1386" s="67">
        <f t="shared" si="45"/>
        <v>32.159999999999997</v>
      </c>
      <c r="H1386" s="929" t="s">
        <v>1303</v>
      </c>
      <c r="I1386" s="1227"/>
    </row>
    <row r="1387" spans="1:9" s="78" customFormat="1" ht="18" customHeight="1">
      <c r="A1387" s="432"/>
      <c r="B1387" s="356" t="s">
        <v>1694</v>
      </c>
      <c r="C1387" s="76">
        <v>1</v>
      </c>
      <c r="D1387" s="77">
        <v>20.437999999999999</v>
      </c>
      <c r="E1387" s="68"/>
      <c r="F1387" s="68">
        <v>3.5</v>
      </c>
      <c r="G1387" s="67">
        <f t="shared" si="45"/>
        <v>71.53</v>
      </c>
      <c r="H1387" s="929" t="s">
        <v>1303</v>
      </c>
      <c r="I1387" s="1227"/>
    </row>
    <row r="1388" spans="1:9" ht="18" customHeight="1">
      <c r="A1388" s="128"/>
      <c r="B1388" s="356" t="s">
        <v>1699</v>
      </c>
      <c r="C1388" s="76">
        <v>-4</v>
      </c>
      <c r="D1388" s="77">
        <v>0.9</v>
      </c>
      <c r="E1388" s="68"/>
      <c r="F1388" s="68">
        <v>2.1</v>
      </c>
      <c r="G1388" s="67">
        <f t="shared" si="45"/>
        <v>-7.56</v>
      </c>
      <c r="H1388" s="929" t="s">
        <v>1303</v>
      </c>
    </row>
    <row r="1389" spans="1:9" s="78" customFormat="1" ht="18" customHeight="1">
      <c r="A1389" s="432"/>
      <c r="B1389" s="356" t="s">
        <v>1705</v>
      </c>
      <c r="C1389" s="76">
        <v>-2</v>
      </c>
      <c r="D1389" s="77">
        <v>1</v>
      </c>
      <c r="E1389" s="68"/>
      <c r="F1389" s="68">
        <v>1.8</v>
      </c>
      <c r="G1389" s="67">
        <f t="shared" si="45"/>
        <v>-3.6</v>
      </c>
      <c r="H1389" s="929" t="s">
        <v>1303</v>
      </c>
      <c r="I1389" s="1227"/>
    </row>
    <row r="1390" spans="1:9" ht="18" customHeight="1">
      <c r="A1390" s="128"/>
      <c r="B1390" s="64" t="s">
        <v>1714</v>
      </c>
      <c r="C1390" s="70">
        <v>1</v>
      </c>
      <c r="D1390" s="68">
        <v>4.218</v>
      </c>
      <c r="E1390" s="68"/>
      <c r="F1390" s="68">
        <v>3.35</v>
      </c>
      <c r="G1390" s="67">
        <f t="shared" si="45"/>
        <v>14.13</v>
      </c>
      <c r="H1390" s="929" t="s">
        <v>1303</v>
      </c>
    </row>
    <row r="1391" spans="1:9" s="78" customFormat="1" ht="18" customHeight="1">
      <c r="A1391" s="432"/>
      <c r="B1391" s="63" t="s">
        <v>1693</v>
      </c>
      <c r="C1391" s="70">
        <v>1</v>
      </c>
      <c r="D1391" s="68">
        <v>4.8</v>
      </c>
      <c r="E1391" s="68"/>
      <c r="F1391" s="68">
        <v>3.35</v>
      </c>
      <c r="G1391" s="67">
        <f t="shared" si="45"/>
        <v>16.079999999999998</v>
      </c>
      <c r="H1391" s="929" t="s">
        <v>1303</v>
      </c>
      <c r="I1391" s="1227"/>
    </row>
    <row r="1392" spans="1:9" ht="18" customHeight="1">
      <c r="A1392" s="128"/>
      <c r="B1392" s="356" t="s">
        <v>1694</v>
      </c>
      <c r="C1392" s="76">
        <v>1</v>
      </c>
      <c r="D1392" s="77">
        <v>9.25</v>
      </c>
      <c r="E1392" s="68"/>
      <c r="F1392" s="68">
        <v>3.5</v>
      </c>
      <c r="G1392" s="67">
        <f t="shared" si="45"/>
        <v>32.380000000000003</v>
      </c>
      <c r="H1392" s="929" t="s">
        <v>1303</v>
      </c>
    </row>
    <row r="1393" spans="1:9" s="78" customFormat="1" ht="18" customHeight="1">
      <c r="A1393" s="432"/>
      <c r="B1393" s="356" t="s">
        <v>1695</v>
      </c>
      <c r="C1393" s="76">
        <v>-3</v>
      </c>
      <c r="D1393" s="77">
        <v>0.9</v>
      </c>
      <c r="E1393" s="68"/>
      <c r="F1393" s="68">
        <v>2.1</v>
      </c>
      <c r="G1393" s="67">
        <f t="shared" si="45"/>
        <v>-5.67</v>
      </c>
      <c r="H1393" s="929" t="s">
        <v>1303</v>
      </c>
      <c r="I1393" s="1227"/>
    </row>
    <row r="1394" spans="1:9" ht="18" customHeight="1">
      <c r="A1394" s="128"/>
      <c r="B1394" s="64" t="s">
        <v>1715</v>
      </c>
      <c r="C1394" s="70">
        <v>2</v>
      </c>
      <c r="D1394" s="68">
        <v>4.218</v>
      </c>
      <c r="E1394" s="68"/>
      <c r="F1394" s="68">
        <v>4</v>
      </c>
      <c r="G1394" s="67">
        <f t="shared" si="45"/>
        <v>33.74</v>
      </c>
      <c r="H1394" s="929" t="s">
        <v>1303</v>
      </c>
    </row>
    <row r="1395" spans="1:9" s="78" customFormat="1" ht="18" customHeight="1">
      <c r="A1395" s="432"/>
      <c r="B1395" s="63" t="s">
        <v>1693</v>
      </c>
      <c r="C1395" s="70">
        <v>1</v>
      </c>
      <c r="D1395" s="68">
        <v>4.8</v>
      </c>
      <c r="E1395" s="68"/>
      <c r="F1395" s="68">
        <v>4</v>
      </c>
      <c r="G1395" s="67">
        <f t="shared" si="45"/>
        <v>19.2</v>
      </c>
      <c r="H1395" s="929" t="s">
        <v>1303</v>
      </c>
      <c r="I1395" s="1227"/>
    </row>
    <row r="1396" spans="1:9" ht="18" customHeight="1">
      <c r="A1396" s="128"/>
      <c r="B1396" s="356" t="s">
        <v>1694</v>
      </c>
      <c r="C1396" s="76">
        <v>1</v>
      </c>
      <c r="D1396" s="77">
        <v>12.238</v>
      </c>
      <c r="E1396" s="68"/>
      <c r="F1396" s="68">
        <v>3.5</v>
      </c>
      <c r="G1396" s="67">
        <f t="shared" si="45"/>
        <v>42.83</v>
      </c>
      <c r="H1396" s="929" t="s">
        <v>1303</v>
      </c>
    </row>
    <row r="1397" spans="1:9" s="78" customFormat="1" ht="18" customHeight="1">
      <c r="A1397" s="432"/>
      <c r="B1397" s="356" t="s">
        <v>1699</v>
      </c>
      <c r="C1397" s="76">
        <v>-4</v>
      </c>
      <c r="D1397" s="77">
        <v>0.9</v>
      </c>
      <c r="E1397" s="68"/>
      <c r="F1397" s="68">
        <v>2.1</v>
      </c>
      <c r="G1397" s="67">
        <f t="shared" si="45"/>
        <v>-7.56</v>
      </c>
      <c r="H1397" s="929" t="s">
        <v>1303</v>
      </c>
      <c r="I1397" s="1227"/>
    </row>
    <row r="1398" spans="1:9" ht="18" customHeight="1">
      <c r="A1398" s="128"/>
      <c r="B1398" s="64" t="s">
        <v>1716</v>
      </c>
      <c r="C1398" s="70">
        <v>1</v>
      </c>
      <c r="D1398" s="68">
        <v>4.218</v>
      </c>
      <c r="E1398" s="68"/>
      <c r="F1398" s="68">
        <v>3.35</v>
      </c>
      <c r="G1398" s="67">
        <f t="shared" si="45"/>
        <v>14.13</v>
      </c>
      <c r="H1398" s="929" t="s">
        <v>1303</v>
      </c>
    </row>
    <row r="1399" spans="1:9" s="78" customFormat="1" ht="18" customHeight="1">
      <c r="A1399" s="432"/>
      <c r="B1399" s="63" t="s">
        <v>1693</v>
      </c>
      <c r="C1399" s="70">
        <v>1</v>
      </c>
      <c r="D1399" s="68">
        <v>4.8</v>
      </c>
      <c r="E1399" s="68"/>
      <c r="F1399" s="68">
        <v>3.35</v>
      </c>
      <c r="G1399" s="67">
        <f t="shared" si="45"/>
        <v>16.079999999999998</v>
      </c>
      <c r="H1399" s="929" t="s">
        <v>1303</v>
      </c>
      <c r="I1399" s="1227"/>
    </row>
    <row r="1400" spans="1:9" ht="18" customHeight="1">
      <c r="A1400" s="128"/>
      <c r="B1400" s="356" t="s">
        <v>1694</v>
      </c>
      <c r="C1400" s="76">
        <v>1</v>
      </c>
      <c r="D1400" s="77">
        <v>9.25</v>
      </c>
      <c r="E1400" s="68"/>
      <c r="F1400" s="68">
        <v>3.5</v>
      </c>
      <c r="G1400" s="67">
        <f t="shared" si="45"/>
        <v>32.380000000000003</v>
      </c>
      <c r="H1400" s="929" t="s">
        <v>1303</v>
      </c>
    </row>
    <row r="1401" spans="1:9" s="78" customFormat="1" ht="18" customHeight="1">
      <c r="A1401" s="432"/>
      <c r="B1401" s="356" t="s">
        <v>1695</v>
      </c>
      <c r="C1401" s="76">
        <v>-3</v>
      </c>
      <c r="D1401" s="77">
        <v>0.9</v>
      </c>
      <c r="E1401" s="68"/>
      <c r="F1401" s="68">
        <v>2.1</v>
      </c>
      <c r="G1401" s="67">
        <f t="shared" si="45"/>
        <v>-5.67</v>
      </c>
      <c r="H1401" s="929" t="s">
        <v>1303</v>
      </c>
      <c r="I1401" s="1227"/>
    </row>
    <row r="1402" spans="1:9" ht="18" customHeight="1">
      <c r="A1402" s="128"/>
      <c r="B1402" s="64" t="s">
        <v>1717</v>
      </c>
      <c r="C1402" s="70">
        <v>2</v>
      </c>
      <c r="D1402" s="68">
        <v>4.218</v>
      </c>
      <c r="E1402" s="68"/>
      <c r="F1402" s="68">
        <v>4</v>
      </c>
      <c r="G1402" s="67">
        <f t="shared" si="45"/>
        <v>33.74</v>
      </c>
      <c r="H1402" s="929" t="s">
        <v>1303</v>
      </c>
    </row>
    <row r="1403" spans="1:9" s="78" customFormat="1" ht="18" customHeight="1">
      <c r="A1403" s="432"/>
      <c r="B1403" s="63" t="s">
        <v>1693</v>
      </c>
      <c r="C1403" s="70">
        <v>1</v>
      </c>
      <c r="D1403" s="68">
        <v>4.8</v>
      </c>
      <c r="E1403" s="68"/>
      <c r="F1403" s="68">
        <v>4</v>
      </c>
      <c r="G1403" s="67">
        <f t="shared" si="45"/>
        <v>19.2</v>
      </c>
      <c r="H1403" s="929" t="s">
        <v>1303</v>
      </c>
      <c r="I1403" s="1227"/>
    </row>
    <row r="1404" spans="1:9" ht="18" customHeight="1">
      <c r="A1404" s="128"/>
      <c r="B1404" s="356" t="s">
        <v>1694</v>
      </c>
      <c r="C1404" s="76">
        <v>1</v>
      </c>
      <c r="D1404" s="77">
        <v>12.238</v>
      </c>
      <c r="E1404" s="68"/>
      <c r="F1404" s="68">
        <v>3.5</v>
      </c>
      <c r="G1404" s="67">
        <f t="shared" si="45"/>
        <v>42.83</v>
      </c>
      <c r="H1404" s="929" t="s">
        <v>1303</v>
      </c>
    </row>
    <row r="1405" spans="1:9" s="78" customFormat="1" ht="18" customHeight="1">
      <c r="A1405" s="432"/>
      <c r="B1405" s="356" t="s">
        <v>1699</v>
      </c>
      <c r="C1405" s="76">
        <v>-4</v>
      </c>
      <c r="D1405" s="77">
        <v>0.9</v>
      </c>
      <c r="E1405" s="68"/>
      <c r="F1405" s="68">
        <v>2.1</v>
      </c>
      <c r="G1405" s="67">
        <f t="shared" si="45"/>
        <v>-7.56</v>
      </c>
      <c r="H1405" s="929" t="s">
        <v>1303</v>
      </c>
      <c r="I1405" s="1227"/>
    </row>
    <row r="1406" spans="1:9" s="873" customFormat="1" ht="18" customHeight="1">
      <c r="A1406" s="380"/>
      <c r="B1406" s="80" t="s">
        <v>2188</v>
      </c>
      <c r="C1406" s="712"/>
      <c r="D1406" s="713"/>
      <c r="E1406" s="713"/>
      <c r="F1406" s="713"/>
      <c r="G1406" s="842">
        <f>SUM(G1252:G1405)</f>
        <v>3035.3000000000011</v>
      </c>
      <c r="H1406" s="945" t="s">
        <v>350</v>
      </c>
      <c r="I1406" s="1243">
        <v>8.3000000000000007</v>
      </c>
    </row>
    <row r="1407" spans="1:9" s="628" customFormat="1" ht="24.95" customHeight="1">
      <c r="A1407" s="354" t="s">
        <v>441</v>
      </c>
      <c r="B1407" s="607" t="s">
        <v>2035</v>
      </c>
      <c r="C1407" s="70"/>
      <c r="D1407" s="68"/>
      <c r="E1407" s="68"/>
      <c r="F1407" s="68"/>
      <c r="G1407" s="68"/>
      <c r="H1407" s="929"/>
      <c r="I1407" s="1235"/>
    </row>
    <row r="1408" spans="1:9" s="694" customFormat="1" ht="24.95" customHeight="1">
      <c r="A1408" s="479"/>
      <c r="B1408" s="81" t="s">
        <v>2036</v>
      </c>
      <c r="C1408" s="404">
        <v>2</v>
      </c>
      <c r="D1408" s="405">
        <v>11.538</v>
      </c>
      <c r="E1408" s="405">
        <v>10</v>
      </c>
      <c r="F1408" s="405">
        <f t="shared" ref="F1408:F1416" si="46">0.6-0.075-0.075</f>
        <v>0.45</v>
      </c>
      <c r="G1408" s="664">
        <f t="shared" ref="G1408:G1419" si="47">IF(C1408&lt;&gt;0,ROUND(PRODUCT(D1408:F1408)*C1408,2),)</f>
        <v>103.84</v>
      </c>
      <c r="H1408" s="935"/>
      <c r="I1408" s="1244"/>
    </row>
    <row r="1409" spans="1:9" s="694" customFormat="1" ht="24.95" customHeight="1">
      <c r="A1409" s="479"/>
      <c r="B1409" s="81" t="s">
        <v>2037</v>
      </c>
      <c r="C1409" s="404">
        <v>-2</v>
      </c>
      <c r="D1409" s="405">
        <v>2.93</v>
      </c>
      <c r="E1409" s="405">
        <v>4.37</v>
      </c>
      <c r="F1409" s="405">
        <f t="shared" si="46"/>
        <v>0.45</v>
      </c>
      <c r="G1409" s="664">
        <f t="shared" si="47"/>
        <v>-11.52</v>
      </c>
      <c r="H1409" s="935"/>
      <c r="I1409" s="1244"/>
    </row>
    <row r="1410" spans="1:9" s="694" customFormat="1" ht="24.95" customHeight="1">
      <c r="A1410" s="479"/>
      <c r="B1410" s="81" t="s">
        <v>2038</v>
      </c>
      <c r="C1410" s="404">
        <v>2</v>
      </c>
      <c r="D1410" s="405">
        <v>6.1139999999999999</v>
      </c>
      <c r="E1410" s="405">
        <v>3.0579999999999998</v>
      </c>
      <c r="F1410" s="405">
        <f t="shared" si="46"/>
        <v>0.45</v>
      </c>
      <c r="G1410" s="664">
        <f t="shared" si="47"/>
        <v>16.829999999999998</v>
      </c>
      <c r="H1410" s="935"/>
      <c r="I1410" s="1244"/>
    </row>
    <row r="1411" spans="1:9" s="694" customFormat="1" ht="24.95" customHeight="1">
      <c r="A1411" s="479"/>
      <c r="B1411" s="81" t="s">
        <v>2039</v>
      </c>
      <c r="C1411" s="404">
        <v>4</v>
      </c>
      <c r="D1411" s="405">
        <v>4.67</v>
      </c>
      <c r="E1411" s="405">
        <v>3.25</v>
      </c>
      <c r="F1411" s="405">
        <f t="shared" si="46"/>
        <v>0.45</v>
      </c>
      <c r="G1411" s="664">
        <f t="shared" si="47"/>
        <v>27.32</v>
      </c>
      <c r="H1411" s="935"/>
      <c r="I1411" s="1244"/>
    </row>
    <row r="1412" spans="1:9" s="694" customFormat="1" ht="24.95" customHeight="1">
      <c r="A1412" s="479"/>
      <c r="B1412" s="81" t="s">
        <v>2040</v>
      </c>
      <c r="C1412" s="404">
        <v>1</v>
      </c>
      <c r="D1412" s="405">
        <v>6.04</v>
      </c>
      <c r="E1412" s="405">
        <v>2.4</v>
      </c>
      <c r="F1412" s="405">
        <f t="shared" si="46"/>
        <v>0.45</v>
      </c>
      <c r="G1412" s="664">
        <f t="shared" si="47"/>
        <v>6.52</v>
      </c>
      <c r="H1412" s="935"/>
      <c r="I1412" s="1244"/>
    </row>
    <row r="1413" spans="1:9" s="694" customFormat="1" ht="24.95" customHeight="1">
      <c r="A1413" s="479"/>
      <c r="B1413" s="81" t="s">
        <v>2041</v>
      </c>
      <c r="C1413" s="404">
        <v>1</v>
      </c>
      <c r="D1413" s="405">
        <v>6.04</v>
      </c>
      <c r="E1413" s="405">
        <f>1.525+3.075+1.6</f>
        <v>6.1999999999999993</v>
      </c>
      <c r="F1413" s="405">
        <f t="shared" si="46"/>
        <v>0.45</v>
      </c>
      <c r="G1413" s="664">
        <f t="shared" si="47"/>
        <v>16.850000000000001</v>
      </c>
      <c r="H1413" s="935"/>
      <c r="I1413" s="1244"/>
    </row>
    <row r="1414" spans="1:9" s="694" customFormat="1" ht="24.95" customHeight="1">
      <c r="A1414" s="479"/>
      <c r="B1414" s="81" t="s">
        <v>2042</v>
      </c>
      <c r="C1414" s="404">
        <v>1</v>
      </c>
      <c r="D1414" s="405">
        <v>6.2309999999999999</v>
      </c>
      <c r="E1414" s="405">
        <v>2.0499999999999998</v>
      </c>
      <c r="F1414" s="405">
        <f t="shared" si="46"/>
        <v>0.45</v>
      </c>
      <c r="G1414" s="664">
        <f t="shared" si="47"/>
        <v>5.75</v>
      </c>
      <c r="H1414" s="935"/>
      <c r="I1414" s="1244"/>
    </row>
    <row r="1415" spans="1:9" s="694" customFormat="1" ht="24.95" customHeight="1">
      <c r="A1415" s="479"/>
      <c r="B1415" s="81" t="s">
        <v>2043</v>
      </c>
      <c r="C1415" s="404">
        <v>1</v>
      </c>
      <c r="D1415" s="405">
        <v>1.67</v>
      </c>
      <c r="E1415" s="405">
        <v>2.7</v>
      </c>
      <c r="F1415" s="405">
        <f t="shared" si="46"/>
        <v>0.45</v>
      </c>
      <c r="G1415" s="664">
        <f t="shared" si="47"/>
        <v>2.0299999999999998</v>
      </c>
      <c r="H1415" s="935"/>
      <c r="I1415" s="1244"/>
    </row>
    <row r="1416" spans="1:9" s="79" customFormat="1" ht="24.95" customHeight="1">
      <c r="A1416" s="479"/>
      <c r="B1416" s="81" t="s">
        <v>954</v>
      </c>
      <c r="C1416" s="404">
        <f>1</f>
        <v>1</v>
      </c>
      <c r="D1416" s="405">
        <v>0.47</v>
      </c>
      <c r="E1416" s="405">
        <v>1.2</v>
      </c>
      <c r="F1416" s="405">
        <f t="shared" si="46"/>
        <v>0.45</v>
      </c>
      <c r="G1416" s="664">
        <f t="shared" si="47"/>
        <v>0.25</v>
      </c>
      <c r="H1416" s="935"/>
      <c r="I1416" s="1231"/>
    </row>
    <row r="1417" spans="1:9" s="79" customFormat="1" ht="24.95" customHeight="1">
      <c r="A1417" s="479"/>
      <c r="B1417" s="81" t="s">
        <v>2044</v>
      </c>
      <c r="C1417" s="404">
        <v>1</v>
      </c>
      <c r="D1417" s="405">
        <v>3.9550000000000001</v>
      </c>
      <c r="E1417" s="405">
        <v>2.9849999999999999</v>
      </c>
      <c r="F1417" s="405">
        <v>0.45</v>
      </c>
      <c r="G1417" s="664">
        <f t="shared" si="47"/>
        <v>5.31</v>
      </c>
      <c r="H1417" s="935"/>
      <c r="I1417" s="1231"/>
    </row>
    <row r="1418" spans="1:9" ht="18" customHeight="1">
      <c r="A1418" s="128" t="s">
        <v>2128</v>
      </c>
      <c r="B1418" s="81" t="s">
        <v>2126</v>
      </c>
      <c r="C1418" s="70">
        <v>1</v>
      </c>
      <c r="D1418" s="68">
        <v>12.5</v>
      </c>
      <c r="E1418" s="68">
        <f>1.388+6.622</f>
        <v>8.01</v>
      </c>
      <c r="F1418" s="68">
        <f t="shared" ref="F1418" si="48">0.6-0.075-0.075</f>
        <v>0.45</v>
      </c>
      <c r="G1418" s="664">
        <f t="shared" si="47"/>
        <v>45.06</v>
      </c>
      <c r="H1418" s="929"/>
    </row>
    <row r="1419" spans="1:9" ht="18" customHeight="1">
      <c r="A1419" s="128" t="s">
        <v>2128</v>
      </c>
      <c r="B1419" s="81" t="s">
        <v>2127</v>
      </c>
      <c r="C1419" s="70">
        <v>-2</v>
      </c>
      <c r="D1419" s="68">
        <v>8.01</v>
      </c>
      <c r="E1419" s="68">
        <v>0.3</v>
      </c>
      <c r="F1419" s="68">
        <f>0.6-0.25</f>
        <v>0.35</v>
      </c>
      <c r="G1419" s="664">
        <f t="shared" si="47"/>
        <v>-1.68</v>
      </c>
      <c r="H1419" s="929"/>
    </row>
    <row r="1420" spans="1:9" s="873" customFormat="1" ht="18" customHeight="1">
      <c r="A1420" s="380"/>
      <c r="B1420" s="80" t="s">
        <v>2188</v>
      </c>
      <c r="C1420" s="712"/>
      <c r="D1420" s="713"/>
      <c r="E1420" s="713"/>
      <c r="F1420" s="713"/>
      <c r="G1420" s="842">
        <f>SUM(G1408:G1419)</f>
        <v>216.56</v>
      </c>
      <c r="H1420" s="945"/>
      <c r="I1420" s="1243" t="s">
        <v>441</v>
      </c>
    </row>
    <row r="1421" spans="1:9" s="355" customFormat="1" ht="18" customHeight="1">
      <c r="A1421" s="354"/>
      <c r="B1421" s="548"/>
      <c r="C1421" s="410"/>
      <c r="D1421" s="352"/>
      <c r="E1421" s="352"/>
      <c r="F1421" s="352"/>
      <c r="G1421" s="352"/>
      <c r="H1421" s="942"/>
      <c r="I1421" s="1239"/>
    </row>
    <row r="1422" spans="1:9" s="682" customFormat="1" ht="17.25" customHeight="1">
      <c r="A1422" s="354"/>
      <c r="B1422" s="64"/>
      <c r="C1422" s="410"/>
      <c r="D1422" s="352"/>
      <c r="E1422" s="352"/>
      <c r="F1422" s="352"/>
      <c r="G1422" s="615"/>
      <c r="H1422" s="942"/>
      <c r="I1422" s="1245"/>
    </row>
    <row r="1423" spans="1:9" ht="18" customHeight="1">
      <c r="A1423" s="453" t="s">
        <v>446</v>
      </c>
      <c r="B1423" s="387" t="s">
        <v>1143</v>
      </c>
      <c r="C1423" s="70"/>
      <c r="D1423" s="67"/>
      <c r="E1423" s="67"/>
      <c r="F1423" s="67"/>
      <c r="G1423" s="67"/>
      <c r="H1423" s="929"/>
    </row>
    <row r="1424" spans="1:9" s="78" customFormat="1" ht="14.25">
      <c r="A1424" s="75" t="s">
        <v>2128</v>
      </c>
      <c r="B1424" s="387" t="s">
        <v>2013</v>
      </c>
      <c r="C1424" s="70"/>
      <c r="D1424" s="68"/>
      <c r="E1424" s="68"/>
      <c r="F1424" s="68"/>
      <c r="G1424" s="68">
        <f t="shared" ref="G1424" si="49">PRODUCT(C1424:F1424)</f>
        <v>0</v>
      </c>
      <c r="H1424" s="930"/>
      <c r="I1424" s="1227"/>
    </row>
    <row r="1425" spans="1:15" s="78" customFormat="1" ht="18" customHeight="1">
      <c r="A1425" s="75"/>
      <c r="B1425" s="607" t="s">
        <v>939</v>
      </c>
      <c r="C1425" s="70"/>
      <c r="D1425" s="68"/>
      <c r="E1425" s="68"/>
      <c r="F1425" s="68"/>
      <c r="G1425" s="68">
        <f>PRODUCT(C1425:F1425)</f>
        <v>0</v>
      </c>
      <c r="H1425" s="930"/>
      <c r="I1425" s="1227"/>
    </row>
    <row r="1426" spans="1:15" s="78" customFormat="1" ht="18" customHeight="1">
      <c r="A1426" s="75"/>
      <c r="B1426" s="607" t="s">
        <v>944</v>
      </c>
      <c r="C1426" s="70"/>
      <c r="D1426" s="68"/>
      <c r="E1426" s="68"/>
      <c r="F1426" s="68"/>
      <c r="G1426" s="68"/>
      <c r="H1426" s="930"/>
      <c r="I1426" s="1227"/>
    </row>
    <row r="1427" spans="1:15" s="78" customFormat="1" ht="18" customHeight="1">
      <c r="A1427" s="75"/>
      <c r="B1427" s="406" t="s">
        <v>940</v>
      </c>
      <c r="C1427" s="70">
        <v>1</v>
      </c>
      <c r="D1427" s="68">
        <v>3.194</v>
      </c>
      <c r="E1427" s="68"/>
      <c r="F1427" s="68">
        <v>2.7</v>
      </c>
      <c r="G1427" s="67">
        <f t="shared" ref="G1427:G1490" si="50">IF(C1427&lt;&gt;0,ROUND(PRODUCT(D1427:F1427)*C1427,2)," ")</f>
        <v>8.6199999999999992</v>
      </c>
      <c r="H1427" s="930"/>
      <c r="I1427" s="1227"/>
    </row>
    <row r="1428" spans="1:15" s="78" customFormat="1" ht="18" customHeight="1">
      <c r="A1428" s="75"/>
      <c r="B1428" s="406" t="s">
        <v>951</v>
      </c>
      <c r="C1428" s="70">
        <v>-0.5</v>
      </c>
      <c r="D1428" s="68">
        <v>1</v>
      </c>
      <c r="E1428" s="68"/>
      <c r="F1428" s="68">
        <v>1.8</v>
      </c>
      <c r="G1428" s="67">
        <f t="shared" si="50"/>
        <v>-0.9</v>
      </c>
      <c r="H1428" s="930"/>
      <c r="I1428" s="1227"/>
    </row>
    <row r="1429" spans="1:15" s="78" customFormat="1" ht="18" customHeight="1">
      <c r="A1429" s="75"/>
      <c r="B1429" s="406" t="s">
        <v>1596</v>
      </c>
      <c r="C1429" s="70">
        <v>1</v>
      </c>
      <c r="D1429" s="68">
        <v>4.4089999999999998</v>
      </c>
      <c r="E1429" s="68"/>
      <c r="F1429" s="68">
        <v>2.7</v>
      </c>
      <c r="G1429" s="67">
        <f t="shared" si="50"/>
        <v>11.9</v>
      </c>
      <c r="H1429" s="930"/>
      <c r="I1429" s="1227"/>
      <c r="O1429" s="220"/>
    </row>
    <row r="1430" spans="1:15" s="78" customFormat="1" ht="18" customHeight="1">
      <c r="A1430" s="75"/>
      <c r="B1430" s="63" t="s">
        <v>942</v>
      </c>
      <c r="C1430" s="70">
        <v>1</v>
      </c>
      <c r="D1430" s="68">
        <f>6.45+6.4+6.4+3.25+0.1-0.1</f>
        <v>22.5</v>
      </c>
      <c r="E1430" s="68"/>
      <c r="F1430" s="68">
        <v>2.95</v>
      </c>
      <c r="G1430" s="67">
        <f t="shared" si="50"/>
        <v>66.38</v>
      </c>
      <c r="H1430" s="930"/>
      <c r="I1430" s="1227"/>
    </row>
    <row r="1431" spans="1:15" s="78" customFormat="1" ht="18" customHeight="1">
      <c r="A1431" s="75"/>
      <c r="B1431" s="409" t="s">
        <v>943</v>
      </c>
      <c r="C1431" s="70">
        <v>-3.5</v>
      </c>
      <c r="D1431" s="68">
        <v>1</v>
      </c>
      <c r="E1431" s="68"/>
      <c r="F1431" s="68">
        <v>1.8</v>
      </c>
      <c r="G1431" s="67">
        <f t="shared" si="50"/>
        <v>-6.3</v>
      </c>
      <c r="H1431" s="930"/>
      <c r="I1431" s="1227"/>
    </row>
    <row r="1432" spans="1:15" s="78" customFormat="1" ht="18" customHeight="1">
      <c r="A1432" s="75"/>
      <c r="B1432" s="63" t="s">
        <v>1913</v>
      </c>
      <c r="C1432" s="70">
        <v>2</v>
      </c>
      <c r="D1432" s="68">
        <v>4.18</v>
      </c>
      <c r="E1432" s="68"/>
      <c r="F1432" s="68">
        <v>2.7</v>
      </c>
      <c r="G1432" s="67">
        <f t="shared" si="50"/>
        <v>22.57</v>
      </c>
      <c r="H1432" s="930"/>
      <c r="I1432" s="1227"/>
    </row>
    <row r="1433" spans="1:15" s="78" customFormat="1" ht="18" customHeight="1">
      <c r="A1433" s="75"/>
      <c r="B1433" s="63" t="s">
        <v>945</v>
      </c>
      <c r="C1433" s="70">
        <v>1</v>
      </c>
      <c r="D1433" s="68">
        <v>3.1840000000000002</v>
      </c>
      <c r="E1433" s="68"/>
      <c r="F1433" s="68">
        <v>2.7</v>
      </c>
      <c r="G1433" s="67">
        <f t="shared" si="50"/>
        <v>8.6</v>
      </c>
      <c r="H1433" s="930"/>
      <c r="I1433" s="1227"/>
    </row>
    <row r="1434" spans="1:15" s="78" customFormat="1" ht="18" customHeight="1">
      <c r="A1434" s="75"/>
      <c r="B1434" s="63" t="s">
        <v>946</v>
      </c>
      <c r="C1434" s="70">
        <v>-0.5</v>
      </c>
      <c r="D1434" s="68">
        <v>2.85</v>
      </c>
      <c r="E1434" s="68"/>
      <c r="F1434" s="68">
        <v>1.2</v>
      </c>
      <c r="G1434" s="67">
        <f t="shared" si="50"/>
        <v>-1.71</v>
      </c>
      <c r="H1434" s="930"/>
      <c r="I1434" s="1227"/>
    </row>
    <row r="1435" spans="1:15" s="78" customFormat="1" ht="18" customHeight="1">
      <c r="A1435" s="75"/>
      <c r="B1435" s="63" t="s">
        <v>1291</v>
      </c>
      <c r="C1435" s="70">
        <v>1</v>
      </c>
      <c r="D1435" s="567">
        <v>12.573</v>
      </c>
      <c r="E1435" s="68"/>
      <c r="F1435" s="68">
        <v>2.7</v>
      </c>
      <c r="G1435" s="67">
        <f t="shared" si="50"/>
        <v>33.950000000000003</v>
      </c>
      <c r="H1435" s="930"/>
      <c r="I1435" s="1227"/>
    </row>
    <row r="1436" spans="1:15" s="78" customFormat="1" ht="18" customHeight="1">
      <c r="A1436" s="75"/>
      <c r="B1436" s="63" t="s">
        <v>948</v>
      </c>
      <c r="C1436" s="70">
        <v>-2</v>
      </c>
      <c r="D1436" s="68">
        <v>1</v>
      </c>
      <c r="E1436" s="68"/>
      <c r="F1436" s="68">
        <v>1.8</v>
      </c>
      <c r="G1436" s="67">
        <f t="shared" si="50"/>
        <v>-3.6</v>
      </c>
      <c r="H1436" s="930"/>
      <c r="I1436" s="1227"/>
    </row>
    <row r="1437" spans="1:15" s="78" customFormat="1" ht="18" customHeight="1">
      <c r="A1437" s="75"/>
      <c r="B1437" s="63" t="s">
        <v>949</v>
      </c>
      <c r="C1437" s="70">
        <v>-0.5</v>
      </c>
      <c r="D1437" s="68">
        <v>1</v>
      </c>
      <c r="E1437" s="68"/>
      <c r="F1437" s="68">
        <v>1.8</v>
      </c>
      <c r="G1437" s="67">
        <f t="shared" si="50"/>
        <v>-0.9</v>
      </c>
      <c r="H1437" s="930"/>
      <c r="I1437" s="1227"/>
    </row>
    <row r="1438" spans="1:15" s="78" customFormat="1" ht="18" customHeight="1">
      <c r="A1438" s="75"/>
      <c r="B1438" s="63" t="s">
        <v>1914</v>
      </c>
      <c r="C1438" s="70">
        <v>2</v>
      </c>
      <c r="D1438" s="68">
        <v>4.218</v>
      </c>
      <c r="E1438" s="68"/>
      <c r="F1438" s="68">
        <v>2.7</v>
      </c>
      <c r="G1438" s="67">
        <f t="shared" si="50"/>
        <v>22.78</v>
      </c>
      <c r="H1438" s="930"/>
      <c r="I1438" s="1227"/>
    </row>
    <row r="1439" spans="1:15" s="78" customFormat="1" ht="18" customHeight="1">
      <c r="A1439" s="75"/>
      <c r="B1439" s="63" t="s">
        <v>1915</v>
      </c>
      <c r="C1439" s="568">
        <v>1</v>
      </c>
      <c r="D1439" s="68">
        <v>4.218</v>
      </c>
      <c r="E1439" s="68"/>
      <c r="F1439" s="68">
        <v>2.7</v>
      </c>
      <c r="G1439" s="67">
        <f t="shared" si="50"/>
        <v>11.39</v>
      </c>
      <c r="H1439" s="930"/>
      <c r="I1439" s="1227"/>
    </row>
    <row r="1440" spans="1:15" s="78" customFormat="1" ht="18" customHeight="1">
      <c r="A1440" s="75"/>
      <c r="B1440" s="63" t="s">
        <v>1916</v>
      </c>
      <c r="C1440" s="568">
        <v>1</v>
      </c>
      <c r="D1440" s="68">
        <f>3.25-0.1+0.1</f>
        <v>3.25</v>
      </c>
      <c r="E1440" s="68"/>
      <c r="F1440" s="68">
        <v>2.7</v>
      </c>
      <c r="G1440" s="67">
        <f t="shared" si="50"/>
        <v>8.7799999999999994</v>
      </c>
      <c r="H1440" s="930"/>
      <c r="I1440" s="1227"/>
    </row>
    <row r="1441" spans="1:9" s="78" customFormat="1" ht="18" customHeight="1">
      <c r="A1441" s="75"/>
      <c r="B1441" s="63" t="s">
        <v>1917</v>
      </c>
      <c r="C1441" s="568">
        <v>1</v>
      </c>
      <c r="D1441" s="68">
        <v>4.22</v>
      </c>
      <c r="E1441" s="68"/>
      <c r="F1441" s="68">
        <v>2.7</v>
      </c>
      <c r="G1441" s="67">
        <f t="shared" si="50"/>
        <v>11.39</v>
      </c>
      <c r="H1441" s="930"/>
      <c r="I1441" s="1227"/>
    </row>
    <row r="1442" spans="1:9" s="78" customFormat="1" ht="18" customHeight="1">
      <c r="A1442" s="75"/>
      <c r="B1442" s="63" t="s">
        <v>1918</v>
      </c>
      <c r="C1442" s="568">
        <v>1</v>
      </c>
      <c r="D1442" s="68">
        <v>2.91</v>
      </c>
      <c r="E1442" s="68"/>
      <c r="F1442" s="68">
        <v>2.7</v>
      </c>
      <c r="G1442" s="67">
        <f t="shared" si="50"/>
        <v>7.86</v>
      </c>
      <c r="H1442" s="930"/>
      <c r="I1442" s="1227"/>
    </row>
    <row r="1443" spans="1:9" s="78" customFormat="1" ht="18" customHeight="1">
      <c r="A1443" s="75"/>
      <c r="B1443" s="63" t="s">
        <v>1919</v>
      </c>
      <c r="C1443" s="568">
        <v>1</v>
      </c>
      <c r="D1443" s="68">
        <v>3.3</v>
      </c>
      <c r="E1443" s="68"/>
      <c r="F1443" s="68">
        <v>2.7</v>
      </c>
      <c r="G1443" s="67">
        <f t="shared" si="50"/>
        <v>8.91</v>
      </c>
      <c r="H1443" s="930"/>
      <c r="I1443" s="1227"/>
    </row>
    <row r="1444" spans="1:9" s="78" customFormat="1" ht="18" customHeight="1">
      <c r="A1444" s="75"/>
      <c r="B1444" s="63"/>
      <c r="C1444" s="568">
        <v>1</v>
      </c>
      <c r="D1444" s="68">
        <v>1.5</v>
      </c>
      <c r="E1444" s="68"/>
      <c r="F1444" s="68">
        <v>2.7</v>
      </c>
      <c r="G1444" s="67">
        <f t="shared" si="50"/>
        <v>4.05</v>
      </c>
      <c r="H1444" s="930"/>
      <c r="I1444" s="1227"/>
    </row>
    <row r="1445" spans="1:9" s="78" customFormat="1" ht="18" customHeight="1">
      <c r="A1445" s="75"/>
      <c r="B1445" s="63" t="s">
        <v>950</v>
      </c>
      <c r="C1445" s="70">
        <v>1</v>
      </c>
      <c r="D1445" s="68">
        <v>3.1</v>
      </c>
      <c r="E1445" s="68"/>
      <c r="F1445" s="68">
        <v>2.7</v>
      </c>
      <c r="G1445" s="67">
        <f t="shared" si="50"/>
        <v>8.3699999999999992</v>
      </c>
      <c r="H1445" s="930"/>
      <c r="I1445" s="1227"/>
    </row>
    <row r="1446" spans="1:9" s="78" customFormat="1" ht="18" customHeight="1">
      <c r="A1446" s="75"/>
      <c r="B1446" s="63" t="s">
        <v>951</v>
      </c>
      <c r="C1446" s="70">
        <v>-0.5</v>
      </c>
      <c r="D1446" s="68">
        <v>1</v>
      </c>
      <c r="E1446" s="68"/>
      <c r="F1446" s="68">
        <v>1.8</v>
      </c>
      <c r="G1446" s="67">
        <f t="shared" si="50"/>
        <v>-0.9</v>
      </c>
      <c r="H1446" s="930"/>
      <c r="I1446" s="1227"/>
    </row>
    <row r="1447" spans="1:9" s="78" customFormat="1" ht="18" customHeight="1">
      <c r="A1447" s="75"/>
      <c r="B1447" s="63" t="s">
        <v>2032</v>
      </c>
      <c r="C1447" s="70">
        <v>1</v>
      </c>
      <c r="D1447" s="68">
        <v>2.298</v>
      </c>
      <c r="E1447" s="68"/>
      <c r="F1447" s="68">
        <v>2.7</v>
      </c>
      <c r="G1447" s="67">
        <f t="shared" si="50"/>
        <v>6.2</v>
      </c>
      <c r="H1447" s="930"/>
      <c r="I1447" s="1227"/>
    </row>
    <row r="1448" spans="1:9" s="78" customFormat="1" ht="18" customHeight="1">
      <c r="A1448" s="75"/>
      <c r="B1448" s="63" t="s">
        <v>2014</v>
      </c>
      <c r="C1448" s="70">
        <v>2</v>
      </c>
      <c r="D1448" s="68">
        <v>4.5999999999999996</v>
      </c>
      <c r="E1448" s="68"/>
      <c r="F1448" s="68">
        <v>2.7</v>
      </c>
      <c r="G1448" s="67">
        <f t="shared" si="50"/>
        <v>24.84</v>
      </c>
      <c r="H1448" s="930"/>
      <c r="I1448" s="1227"/>
    </row>
    <row r="1449" spans="1:9" s="78" customFormat="1" ht="18" customHeight="1">
      <c r="A1449" s="75"/>
      <c r="B1449" s="63" t="s">
        <v>953</v>
      </c>
      <c r="C1449" s="70">
        <v>-0.5</v>
      </c>
      <c r="D1449" s="68">
        <v>1.2</v>
      </c>
      <c r="E1449" s="68"/>
      <c r="F1449" s="68">
        <v>2.1</v>
      </c>
      <c r="G1449" s="67">
        <f t="shared" si="50"/>
        <v>-1.26</v>
      </c>
      <c r="H1449" s="930"/>
      <c r="I1449" s="1227"/>
    </row>
    <row r="1450" spans="1:9" s="78" customFormat="1" ht="18" customHeight="1">
      <c r="A1450" s="75"/>
      <c r="B1450" s="63" t="s">
        <v>954</v>
      </c>
      <c r="C1450" s="70"/>
      <c r="D1450" s="68"/>
      <c r="E1450" s="68"/>
      <c r="F1450" s="68"/>
      <c r="G1450" s="67" t="str">
        <f t="shared" si="50"/>
        <v xml:space="preserve"> </v>
      </c>
      <c r="H1450" s="930"/>
      <c r="I1450" s="1227"/>
    </row>
    <row r="1451" spans="1:9" s="78" customFormat="1" ht="18" customHeight="1">
      <c r="A1451" s="75"/>
      <c r="B1451" s="63" t="s">
        <v>955</v>
      </c>
      <c r="C1451" s="70">
        <v>2</v>
      </c>
      <c r="D1451" s="68">
        <f>3.175-0.2</f>
        <v>2.9749999999999996</v>
      </c>
      <c r="E1451" s="68"/>
      <c r="F1451" s="68">
        <v>2.7</v>
      </c>
      <c r="G1451" s="67">
        <f t="shared" si="50"/>
        <v>16.07</v>
      </c>
      <c r="H1451" s="930"/>
      <c r="I1451" s="1227"/>
    </row>
    <row r="1452" spans="1:9" s="78" customFormat="1" ht="18" customHeight="1">
      <c r="A1452" s="75"/>
      <c r="B1452" s="63" t="s">
        <v>953</v>
      </c>
      <c r="C1452" s="70">
        <v>-0.5</v>
      </c>
      <c r="D1452" s="68">
        <v>1.2</v>
      </c>
      <c r="E1452" s="68"/>
      <c r="F1452" s="68">
        <v>2.1</v>
      </c>
      <c r="G1452" s="67">
        <f t="shared" si="50"/>
        <v>-1.26</v>
      </c>
      <c r="H1452" s="930"/>
      <c r="I1452" s="1227"/>
    </row>
    <row r="1453" spans="1:9" s="78" customFormat="1" ht="18" customHeight="1">
      <c r="A1453" s="75"/>
      <c r="B1453" s="63" t="s">
        <v>956</v>
      </c>
      <c r="C1453" s="70">
        <v>-0.5</v>
      </c>
      <c r="D1453" s="68">
        <v>0.9</v>
      </c>
      <c r="E1453" s="68"/>
      <c r="F1453" s="68">
        <v>2</v>
      </c>
      <c r="G1453" s="67">
        <f t="shared" si="50"/>
        <v>-0.9</v>
      </c>
      <c r="H1453" s="930"/>
      <c r="I1453" s="1227"/>
    </row>
    <row r="1454" spans="1:9" s="78" customFormat="1" ht="18" customHeight="1">
      <c r="A1454" s="75"/>
      <c r="B1454" s="63" t="s">
        <v>957</v>
      </c>
      <c r="C1454" s="70">
        <v>2</v>
      </c>
      <c r="D1454" s="567">
        <v>1.1000000000000001</v>
      </c>
      <c r="E1454" s="68"/>
      <c r="F1454" s="68">
        <v>2.7</v>
      </c>
      <c r="G1454" s="67">
        <f t="shared" si="50"/>
        <v>5.94</v>
      </c>
      <c r="H1454" s="930"/>
      <c r="I1454" s="1227"/>
    </row>
    <row r="1455" spans="1:9" s="78" customFormat="1" ht="18" customHeight="1">
      <c r="A1455" s="75"/>
      <c r="B1455" s="63"/>
      <c r="C1455" s="70">
        <v>2</v>
      </c>
      <c r="D1455" s="567">
        <v>1.603</v>
      </c>
      <c r="E1455" s="68"/>
      <c r="F1455" s="68">
        <v>2.7</v>
      </c>
      <c r="G1455" s="67">
        <f t="shared" si="50"/>
        <v>8.66</v>
      </c>
      <c r="H1455" s="930"/>
      <c r="I1455" s="1227"/>
    </row>
    <row r="1456" spans="1:9" s="78" customFormat="1" ht="18" customHeight="1">
      <c r="A1456" s="75"/>
      <c r="B1456" s="607" t="s">
        <v>1048</v>
      </c>
      <c r="C1456" s="70"/>
      <c r="D1456" s="68"/>
      <c r="E1456" s="68"/>
      <c r="F1456" s="68"/>
      <c r="G1456" s="67" t="str">
        <f t="shared" si="50"/>
        <v xml:space="preserve"> </v>
      </c>
      <c r="H1456" s="930"/>
      <c r="I1456" s="1227"/>
    </row>
    <row r="1457" spans="1:9" s="78" customFormat="1" ht="18" customHeight="1">
      <c r="A1457" s="75"/>
      <c r="B1457" s="406" t="s">
        <v>1049</v>
      </c>
      <c r="C1457" s="70">
        <v>1</v>
      </c>
      <c r="D1457" s="68">
        <f>6.45+6.45-3.05+0.625</f>
        <v>10.475000000000001</v>
      </c>
      <c r="E1457" s="68"/>
      <c r="F1457" s="68">
        <v>2.7</v>
      </c>
      <c r="G1457" s="67">
        <f t="shared" si="50"/>
        <v>28.28</v>
      </c>
      <c r="H1457" s="930"/>
      <c r="I1457" s="1227"/>
    </row>
    <row r="1458" spans="1:9" s="78" customFormat="1" ht="18" customHeight="1">
      <c r="A1458" s="75"/>
      <c r="B1458" s="406" t="s">
        <v>2129</v>
      </c>
      <c r="C1458" s="70">
        <v>-1.5</v>
      </c>
      <c r="D1458" s="68">
        <v>1</v>
      </c>
      <c r="E1458" s="68"/>
      <c r="F1458" s="68">
        <v>1.8</v>
      </c>
      <c r="G1458" s="67">
        <f t="shared" si="50"/>
        <v>-2.7</v>
      </c>
      <c r="H1458" s="930"/>
      <c r="I1458" s="1227"/>
    </row>
    <row r="1459" spans="1:9" s="78" customFormat="1" ht="18" customHeight="1">
      <c r="A1459" s="75"/>
      <c r="B1459" s="406" t="s">
        <v>1050</v>
      </c>
      <c r="C1459" s="70">
        <v>1</v>
      </c>
      <c r="D1459" s="567">
        <v>13.4</v>
      </c>
      <c r="E1459" s="68"/>
      <c r="F1459" s="68">
        <v>2.7</v>
      </c>
      <c r="G1459" s="67">
        <f t="shared" si="50"/>
        <v>36.18</v>
      </c>
      <c r="H1459" s="930"/>
      <c r="I1459" s="1227"/>
    </row>
    <row r="1460" spans="1:9" s="78" customFormat="1" ht="18" customHeight="1">
      <c r="A1460" s="75"/>
      <c r="B1460" s="406" t="s">
        <v>2130</v>
      </c>
      <c r="C1460" s="70">
        <v>-1.5</v>
      </c>
      <c r="D1460" s="68">
        <v>1</v>
      </c>
      <c r="E1460" s="68"/>
      <c r="F1460" s="68">
        <v>1.8</v>
      </c>
      <c r="G1460" s="67">
        <f t="shared" si="50"/>
        <v>-2.7</v>
      </c>
      <c r="H1460" s="930"/>
      <c r="I1460" s="1227"/>
    </row>
    <row r="1461" spans="1:9" s="78" customFormat="1" ht="18" customHeight="1">
      <c r="A1461" s="75"/>
      <c r="B1461" s="406" t="s">
        <v>2131</v>
      </c>
      <c r="C1461" s="70">
        <v>-1</v>
      </c>
      <c r="D1461" s="68">
        <v>3</v>
      </c>
      <c r="E1461" s="68"/>
      <c r="F1461" s="68">
        <v>1.8</v>
      </c>
      <c r="G1461" s="67">
        <f t="shared" si="50"/>
        <v>-5.4</v>
      </c>
      <c r="H1461" s="930"/>
      <c r="I1461" s="1227"/>
    </row>
    <row r="1462" spans="1:9" s="78" customFormat="1" ht="18" customHeight="1">
      <c r="A1462" s="75"/>
      <c r="B1462" s="63" t="s">
        <v>1969</v>
      </c>
      <c r="C1462" s="70">
        <v>2</v>
      </c>
      <c r="D1462" s="68">
        <f>1.425+3.175-0.38</f>
        <v>4.22</v>
      </c>
      <c r="E1462" s="68"/>
      <c r="F1462" s="68">
        <v>2.7</v>
      </c>
      <c r="G1462" s="67">
        <f t="shared" si="50"/>
        <v>22.79</v>
      </c>
      <c r="H1462" s="930"/>
      <c r="I1462" s="1227"/>
    </row>
    <row r="1463" spans="1:9" s="78" customFormat="1" ht="18" customHeight="1">
      <c r="A1463" s="75"/>
      <c r="B1463" s="409" t="s">
        <v>1970</v>
      </c>
      <c r="C1463" s="70">
        <v>2</v>
      </c>
      <c r="D1463" s="68">
        <f>1.425+3.175-0.38</f>
        <v>4.22</v>
      </c>
      <c r="E1463" s="68"/>
      <c r="F1463" s="68">
        <v>2.7</v>
      </c>
      <c r="G1463" s="67">
        <f t="shared" si="50"/>
        <v>22.79</v>
      </c>
      <c r="H1463" s="930"/>
      <c r="I1463" s="1227"/>
    </row>
    <row r="1464" spans="1:9" s="78" customFormat="1" ht="18" customHeight="1">
      <c r="A1464" s="75"/>
      <c r="B1464" s="409" t="s">
        <v>1971</v>
      </c>
      <c r="C1464" s="70">
        <v>2</v>
      </c>
      <c r="D1464" s="68">
        <f>1.425+3.175-0.38</f>
        <v>4.22</v>
      </c>
      <c r="E1464" s="68"/>
      <c r="F1464" s="68">
        <v>2.7</v>
      </c>
      <c r="G1464" s="67">
        <f t="shared" si="50"/>
        <v>22.79</v>
      </c>
      <c r="H1464" s="930"/>
      <c r="I1464" s="1227"/>
    </row>
    <row r="1465" spans="1:9" s="78" customFormat="1" ht="18" customHeight="1">
      <c r="A1465" s="75"/>
      <c r="B1465" s="409" t="s">
        <v>1972</v>
      </c>
      <c r="C1465" s="70">
        <v>2</v>
      </c>
      <c r="D1465" s="68">
        <f>1.425+3.175-0.38</f>
        <v>4.22</v>
      </c>
      <c r="E1465" s="68"/>
      <c r="F1465" s="68">
        <v>2.7</v>
      </c>
      <c r="G1465" s="67">
        <f t="shared" si="50"/>
        <v>22.79</v>
      </c>
      <c r="H1465" s="930"/>
      <c r="I1465" s="1227"/>
    </row>
    <row r="1466" spans="1:9" s="78" customFormat="1" ht="18" customHeight="1">
      <c r="A1466" s="75"/>
      <c r="B1466" s="409" t="s">
        <v>1973</v>
      </c>
      <c r="C1466" s="70">
        <v>2</v>
      </c>
      <c r="D1466" s="68">
        <v>3.05</v>
      </c>
      <c r="E1466" s="68"/>
      <c r="F1466" s="68">
        <v>2.7</v>
      </c>
      <c r="G1466" s="67">
        <f t="shared" si="50"/>
        <v>16.47</v>
      </c>
      <c r="H1466" s="930"/>
      <c r="I1466" s="1227"/>
    </row>
    <row r="1467" spans="1:9" s="78" customFormat="1" ht="18" customHeight="1">
      <c r="A1467" s="75"/>
      <c r="B1467" s="409" t="s">
        <v>964</v>
      </c>
      <c r="C1467" s="70">
        <v>-1</v>
      </c>
      <c r="D1467" s="68">
        <v>1</v>
      </c>
      <c r="E1467" s="68"/>
      <c r="F1467" s="68">
        <v>2.1</v>
      </c>
      <c r="G1467" s="67">
        <f t="shared" si="50"/>
        <v>-2.1</v>
      </c>
      <c r="H1467" s="930"/>
      <c r="I1467" s="1227"/>
    </row>
    <row r="1468" spans="1:9" s="78" customFormat="1" ht="18" customHeight="1">
      <c r="A1468" s="75"/>
      <c r="B1468" s="63" t="s">
        <v>1053</v>
      </c>
      <c r="C1468" s="70">
        <v>2</v>
      </c>
      <c r="D1468" s="68">
        <v>3.25</v>
      </c>
      <c r="E1468" s="68"/>
      <c r="F1468" s="68">
        <v>2.7</v>
      </c>
      <c r="G1468" s="67">
        <f t="shared" si="50"/>
        <v>17.55</v>
      </c>
      <c r="H1468" s="930"/>
      <c r="I1468" s="1227"/>
    </row>
    <row r="1469" spans="1:9" s="78" customFormat="1" ht="18" customHeight="1">
      <c r="A1469" s="75"/>
      <c r="B1469" s="63" t="s">
        <v>1054</v>
      </c>
      <c r="C1469" s="70">
        <v>-1</v>
      </c>
      <c r="D1469" s="68">
        <v>1.8</v>
      </c>
      <c r="E1469" s="68"/>
      <c r="F1469" s="68">
        <v>2.1</v>
      </c>
      <c r="G1469" s="67">
        <f t="shared" si="50"/>
        <v>-3.78</v>
      </c>
      <c r="H1469" s="930"/>
      <c r="I1469" s="1227"/>
    </row>
    <row r="1470" spans="1:9" s="78" customFormat="1" ht="18" customHeight="1">
      <c r="A1470" s="75"/>
      <c r="B1470" s="64" t="s">
        <v>1055</v>
      </c>
      <c r="C1470" s="70"/>
      <c r="D1470" s="68"/>
      <c r="E1470" s="68"/>
      <c r="F1470" s="68"/>
      <c r="G1470" s="67" t="str">
        <f t="shared" si="50"/>
        <v xml:space="preserve"> </v>
      </c>
      <c r="H1470" s="930"/>
      <c r="I1470" s="1227"/>
    </row>
    <row r="1471" spans="1:9" s="78" customFormat="1" ht="18" customHeight="1">
      <c r="A1471" s="75"/>
      <c r="B1471" s="409" t="s">
        <v>1056</v>
      </c>
      <c r="C1471" s="70">
        <v>1</v>
      </c>
      <c r="D1471" s="567">
        <v>12.7</v>
      </c>
      <c r="E1471" s="68"/>
      <c r="F1471" s="68">
        <v>2.7</v>
      </c>
      <c r="G1471" s="67">
        <f t="shared" si="50"/>
        <v>34.29</v>
      </c>
      <c r="H1471" s="930"/>
      <c r="I1471" s="1227"/>
    </row>
    <row r="1472" spans="1:9" s="78" customFormat="1" ht="18" customHeight="1">
      <c r="A1472" s="75"/>
      <c r="B1472" s="409" t="s">
        <v>2015</v>
      </c>
      <c r="C1472" s="70">
        <v>-2</v>
      </c>
      <c r="D1472" s="68">
        <v>1</v>
      </c>
      <c r="E1472" s="68"/>
      <c r="F1472" s="68">
        <v>1.8</v>
      </c>
      <c r="G1472" s="67">
        <f t="shared" si="50"/>
        <v>-3.6</v>
      </c>
      <c r="H1472" s="930"/>
      <c r="I1472" s="1227"/>
    </row>
    <row r="1473" spans="1:9" s="78" customFormat="1" ht="18" customHeight="1">
      <c r="A1473" s="75"/>
      <c r="B1473" s="63" t="s">
        <v>1057</v>
      </c>
      <c r="C1473" s="70">
        <v>1</v>
      </c>
      <c r="D1473" s="567">
        <v>12.75</v>
      </c>
      <c r="E1473" s="68"/>
      <c r="F1473" s="68">
        <v>2.7</v>
      </c>
      <c r="G1473" s="67">
        <f t="shared" si="50"/>
        <v>34.43</v>
      </c>
      <c r="H1473" s="930"/>
      <c r="I1473" s="1227"/>
    </row>
    <row r="1474" spans="1:9" s="78" customFormat="1" ht="18" customHeight="1">
      <c r="A1474" s="75"/>
      <c r="B1474" s="63" t="s">
        <v>2016</v>
      </c>
      <c r="C1474" s="70">
        <v>-1</v>
      </c>
      <c r="D1474" s="68">
        <v>1</v>
      </c>
      <c r="E1474" s="68"/>
      <c r="F1474" s="68">
        <v>1.8</v>
      </c>
      <c r="G1474" s="67">
        <f t="shared" si="50"/>
        <v>-1.8</v>
      </c>
      <c r="H1474" s="930"/>
      <c r="I1474" s="1227"/>
    </row>
    <row r="1475" spans="1:9" s="78" customFormat="1" ht="18" customHeight="1">
      <c r="A1475" s="75"/>
      <c r="B1475" s="63" t="s">
        <v>2052</v>
      </c>
      <c r="C1475" s="70">
        <v>-1</v>
      </c>
      <c r="D1475" s="68">
        <v>0.8</v>
      </c>
      <c r="E1475" s="68"/>
      <c r="F1475" s="68">
        <v>1.8</v>
      </c>
      <c r="G1475" s="67">
        <f t="shared" si="50"/>
        <v>-1.44</v>
      </c>
      <c r="H1475" s="930"/>
      <c r="I1475" s="1227"/>
    </row>
    <row r="1476" spans="1:9" s="78" customFormat="1" ht="18" customHeight="1">
      <c r="A1476" s="75"/>
      <c r="B1476" s="63" t="s">
        <v>2053</v>
      </c>
      <c r="C1476" s="70">
        <v>-1</v>
      </c>
      <c r="D1476" s="68">
        <v>0.6</v>
      </c>
      <c r="E1476" s="68"/>
      <c r="F1476" s="68">
        <v>0.6</v>
      </c>
      <c r="G1476" s="67">
        <f t="shared" si="50"/>
        <v>-0.36</v>
      </c>
      <c r="H1476" s="930"/>
      <c r="I1476" s="1227"/>
    </row>
    <row r="1477" spans="1:9" s="78" customFormat="1" ht="18" customHeight="1">
      <c r="A1477" s="75"/>
      <c r="B1477" s="63" t="s">
        <v>2054</v>
      </c>
      <c r="C1477" s="70">
        <v>1</v>
      </c>
      <c r="D1477" s="68">
        <v>4.4249999999999998</v>
      </c>
      <c r="E1477" s="68"/>
      <c r="F1477" s="68">
        <v>2.7</v>
      </c>
      <c r="G1477" s="67">
        <f t="shared" si="50"/>
        <v>11.95</v>
      </c>
      <c r="H1477" s="930"/>
      <c r="I1477" s="1227"/>
    </row>
    <row r="1478" spans="1:9" s="78" customFormat="1" ht="18" customHeight="1">
      <c r="A1478" s="75"/>
      <c r="B1478" s="63" t="s">
        <v>2017</v>
      </c>
      <c r="C1478" s="70">
        <v>2</v>
      </c>
      <c r="D1478" s="68">
        <v>4.5999999999999996</v>
      </c>
      <c r="E1478" s="68"/>
      <c r="F1478" s="68">
        <v>2.7</v>
      </c>
      <c r="G1478" s="67">
        <f t="shared" si="50"/>
        <v>24.84</v>
      </c>
      <c r="H1478" s="930"/>
      <c r="I1478" s="1227"/>
    </row>
    <row r="1479" spans="1:9" s="78" customFormat="1" ht="18" customHeight="1">
      <c r="A1479" s="75"/>
      <c r="B1479" s="63" t="s">
        <v>2018</v>
      </c>
      <c r="C1479" s="70">
        <v>2</v>
      </c>
      <c r="D1479" s="68">
        <f>1.525+3.075</f>
        <v>4.5999999999999996</v>
      </c>
      <c r="E1479" s="68"/>
      <c r="F1479" s="68">
        <v>2.7</v>
      </c>
      <c r="G1479" s="67">
        <f t="shared" si="50"/>
        <v>24.84</v>
      </c>
      <c r="H1479" s="930"/>
      <c r="I1479" s="1227"/>
    </row>
    <row r="1480" spans="1:9" s="78" customFormat="1" ht="18" customHeight="1">
      <c r="A1480" s="75"/>
      <c r="B1480" s="63" t="s">
        <v>2019</v>
      </c>
      <c r="C1480" s="70">
        <v>1</v>
      </c>
      <c r="D1480" s="68">
        <v>1.6</v>
      </c>
      <c r="E1480" s="68"/>
      <c r="F1480" s="68">
        <v>2.7</v>
      </c>
      <c r="G1480" s="67">
        <f t="shared" si="50"/>
        <v>4.32</v>
      </c>
      <c r="H1480" s="930"/>
      <c r="I1480" s="1227"/>
    </row>
    <row r="1481" spans="1:9" s="78" customFormat="1" ht="18" customHeight="1">
      <c r="A1481" s="75"/>
      <c r="B1481" s="63"/>
      <c r="C1481" s="70"/>
      <c r="D1481" s="68"/>
      <c r="E1481" s="68"/>
      <c r="F1481" s="68"/>
      <c r="G1481" s="67" t="str">
        <f t="shared" si="50"/>
        <v xml:space="preserve"> </v>
      </c>
      <c r="H1481" s="930"/>
      <c r="I1481" s="1227"/>
    </row>
    <row r="1482" spans="1:9" s="78" customFormat="1" ht="18" customHeight="1">
      <c r="A1482" s="75"/>
      <c r="B1482" s="64" t="s">
        <v>1062</v>
      </c>
      <c r="C1482" s="70"/>
      <c r="D1482" s="68"/>
      <c r="E1482" s="68"/>
      <c r="F1482" s="68"/>
      <c r="G1482" s="67" t="str">
        <f t="shared" si="50"/>
        <v xml:space="preserve"> </v>
      </c>
      <c r="H1482" s="930"/>
      <c r="I1482" s="1227"/>
    </row>
    <row r="1483" spans="1:9" s="78" customFormat="1" ht="18" customHeight="1">
      <c r="A1483" s="75"/>
      <c r="B1483" s="63" t="s">
        <v>1063</v>
      </c>
      <c r="C1483" s="70">
        <v>1</v>
      </c>
      <c r="D1483" s="567">
        <v>18.399999999999999</v>
      </c>
      <c r="E1483" s="68"/>
      <c r="F1483" s="68">
        <v>2.7</v>
      </c>
      <c r="G1483" s="67">
        <f t="shared" si="50"/>
        <v>49.68</v>
      </c>
      <c r="H1483" s="930"/>
      <c r="I1483" s="1227"/>
    </row>
    <row r="1484" spans="1:9" s="78" customFormat="1" ht="18" customHeight="1">
      <c r="A1484" s="75"/>
      <c r="B1484" s="63" t="s">
        <v>1064</v>
      </c>
      <c r="C1484" s="70">
        <v>-0.5</v>
      </c>
      <c r="D1484" s="68">
        <v>1.2</v>
      </c>
      <c r="E1484" s="68"/>
      <c r="F1484" s="68">
        <v>2.1</v>
      </c>
      <c r="G1484" s="67">
        <f t="shared" si="50"/>
        <v>-1.26</v>
      </c>
      <c r="H1484" s="930"/>
      <c r="I1484" s="1227"/>
    </row>
    <row r="1485" spans="1:9" s="78" customFormat="1" ht="18" customHeight="1">
      <c r="A1485" s="75"/>
      <c r="B1485" s="63" t="s">
        <v>1065</v>
      </c>
      <c r="C1485" s="70">
        <v>-1.5</v>
      </c>
      <c r="D1485" s="68">
        <v>1</v>
      </c>
      <c r="E1485" s="68"/>
      <c r="F1485" s="68">
        <v>1.8</v>
      </c>
      <c r="G1485" s="67">
        <f t="shared" si="50"/>
        <v>-2.7</v>
      </c>
      <c r="H1485" s="930"/>
      <c r="I1485" s="1227"/>
    </row>
    <row r="1486" spans="1:9" s="78" customFormat="1" ht="18" customHeight="1">
      <c r="A1486" s="75"/>
      <c r="B1486" s="63" t="s">
        <v>1066</v>
      </c>
      <c r="C1486" s="70">
        <v>-1</v>
      </c>
      <c r="D1486" s="68">
        <v>3</v>
      </c>
      <c r="E1486" s="68"/>
      <c r="F1486" s="68">
        <v>1.8</v>
      </c>
      <c r="G1486" s="67">
        <f t="shared" si="50"/>
        <v>-5.4</v>
      </c>
      <c r="H1486" s="930"/>
      <c r="I1486" s="1227"/>
    </row>
    <row r="1487" spans="1:9" s="78" customFormat="1" ht="18" customHeight="1">
      <c r="A1487" s="75"/>
      <c r="B1487" s="63" t="s">
        <v>2055</v>
      </c>
      <c r="C1487" s="70">
        <v>1</v>
      </c>
      <c r="D1487" s="68">
        <v>4.9000000000000004</v>
      </c>
      <c r="E1487" s="68"/>
      <c r="F1487" s="68">
        <v>2.7</v>
      </c>
      <c r="G1487" s="67">
        <f t="shared" si="50"/>
        <v>13.23</v>
      </c>
      <c r="H1487" s="930"/>
      <c r="I1487" s="1227"/>
    </row>
    <row r="1488" spans="1:9" s="78" customFormat="1" ht="18" customHeight="1">
      <c r="A1488" s="75"/>
      <c r="B1488" s="63" t="s">
        <v>1064</v>
      </c>
      <c r="C1488" s="70">
        <v>-0.5</v>
      </c>
      <c r="D1488" s="68">
        <v>1.2</v>
      </c>
      <c r="E1488" s="68"/>
      <c r="F1488" s="68">
        <v>2.1</v>
      </c>
      <c r="G1488" s="67">
        <f t="shared" si="50"/>
        <v>-1.26</v>
      </c>
      <c r="H1488" s="930"/>
      <c r="I1488" s="1227"/>
    </row>
    <row r="1489" spans="1:9" s="78" customFormat="1" ht="18" customHeight="1">
      <c r="A1489" s="75"/>
      <c r="B1489" s="63" t="s">
        <v>1067</v>
      </c>
      <c r="C1489" s="70">
        <v>1</v>
      </c>
      <c r="D1489" s="567">
        <v>10.275</v>
      </c>
      <c r="E1489" s="68"/>
      <c r="F1489" s="68">
        <v>2.7</v>
      </c>
      <c r="G1489" s="67">
        <f t="shared" si="50"/>
        <v>27.74</v>
      </c>
      <c r="H1489" s="930"/>
      <c r="I1489" s="1227"/>
    </row>
    <row r="1490" spans="1:9" s="78" customFormat="1" ht="18" customHeight="1">
      <c r="A1490" s="75"/>
      <c r="B1490" s="63" t="s">
        <v>2020</v>
      </c>
      <c r="C1490" s="70">
        <v>-1.5</v>
      </c>
      <c r="D1490" s="68">
        <v>1</v>
      </c>
      <c r="E1490" s="68"/>
      <c r="F1490" s="68">
        <v>1.8</v>
      </c>
      <c r="G1490" s="67">
        <f t="shared" si="50"/>
        <v>-2.7</v>
      </c>
      <c r="H1490" s="930"/>
      <c r="I1490" s="1227"/>
    </row>
    <row r="1491" spans="1:9" s="78" customFormat="1" ht="18" customHeight="1">
      <c r="A1491" s="75"/>
      <c r="B1491" s="63" t="s">
        <v>1976</v>
      </c>
      <c r="C1491" s="70">
        <v>2</v>
      </c>
      <c r="D1491" s="68">
        <f>1.425+3.175-0.38</f>
        <v>4.22</v>
      </c>
      <c r="E1491" s="68"/>
      <c r="F1491" s="68">
        <v>2.7</v>
      </c>
      <c r="G1491" s="67">
        <f t="shared" ref="G1491:G1554" si="51">IF(C1491&lt;&gt;0,ROUND(PRODUCT(D1491:F1491)*C1491,2)," ")</f>
        <v>22.79</v>
      </c>
      <c r="H1491" s="930"/>
      <c r="I1491" s="1227"/>
    </row>
    <row r="1492" spans="1:9" s="78" customFormat="1" ht="18" customHeight="1">
      <c r="A1492" s="75"/>
      <c r="B1492" s="63" t="s">
        <v>1605</v>
      </c>
      <c r="C1492" s="70">
        <v>2</v>
      </c>
      <c r="D1492" s="68">
        <f>2.725+1.875-0.38</f>
        <v>4.22</v>
      </c>
      <c r="E1492" s="68"/>
      <c r="F1492" s="68">
        <v>2.7</v>
      </c>
      <c r="G1492" s="67">
        <f t="shared" si="51"/>
        <v>22.79</v>
      </c>
      <c r="H1492" s="930"/>
      <c r="I1492" s="1227"/>
    </row>
    <row r="1493" spans="1:9" s="78" customFormat="1" ht="18" customHeight="1">
      <c r="A1493" s="75"/>
      <c r="B1493" s="63" t="s">
        <v>1977</v>
      </c>
      <c r="C1493" s="70">
        <v>2</v>
      </c>
      <c r="D1493" s="68">
        <f>1.425+3.175-0.38</f>
        <v>4.22</v>
      </c>
      <c r="E1493" s="68"/>
      <c r="F1493" s="68">
        <v>2.7</v>
      </c>
      <c r="G1493" s="67">
        <f t="shared" si="51"/>
        <v>22.79</v>
      </c>
      <c r="H1493" s="930"/>
      <c r="I1493" s="1227"/>
    </row>
    <row r="1494" spans="1:9" s="78" customFormat="1" ht="18" customHeight="1">
      <c r="A1494" s="75"/>
      <c r="B1494" s="63" t="s">
        <v>1978</v>
      </c>
      <c r="C1494" s="70">
        <v>2</v>
      </c>
      <c r="D1494" s="68">
        <f>2.725+1.875-0.38</f>
        <v>4.22</v>
      </c>
      <c r="E1494" s="68"/>
      <c r="F1494" s="68">
        <v>2.7</v>
      </c>
      <c r="G1494" s="67">
        <f t="shared" si="51"/>
        <v>22.79</v>
      </c>
      <c r="H1494" s="930"/>
      <c r="I1494" s="1227"/>
    </row>
    <row r="1495" spans="1:9" s="78" customFormat="1" ht="18" customHeight="1">
      <c r="A1495" s="75"/>
      <c r="B1495" s="63" t="s">
        <v>1979</v>
      </c>
      <c r="C1495" s="70">
        <v>2</v>
      </c>
      <c r="D1495" s="68">
        <f>3.25-1+0.2</f>
        <v>2.4500000000000002</v>
      </c>
      <c r="E1495" s="68"/>
      <c r="F1495" s="68">
        <v>2.7</v>
      </c>
      <c r="G1495" s="67">
        <f t="shared" si="51"/>
        <v>13.23</v>
      </c>
      <c r="H1495" s="930"/>
      <c r="I1495" s="1227"/>
    </row>
    <row r="1496" spans="1:9" s="78" customFormat="1" ht="18" customHeight="1">
      <c r="A1496" s="75"/>
      <c r="B1496" s="63" t="s">
        <v>1068</v>
      </c>
      <c r="C1496" s="70">
        <v>2</v>
      </c>
      <c r="D1496" s="68">
        <v>3.25</v>
      </c>
      <c r="E1496" s="68"/>
      <c r="F1496" s="68">
        <v>2.7</v>
      </c>
      <c r="G1496" s="67">
        <f t="shared" si="51"/>
        <v>17.55</v>
      </c>
      <c r="H1496" s="930"/>
      <c r="I1496" s="1227"/>
    </row>
    <row r="1497" spans="1:9" s="78" customFormat="1" ht="18" customHeight="1">
      <c r="A1497" s="75"/>
      <c r="B1497" s="63" t="s">
        <v>2132</v>
      </c>
      <c r="C1497" s="70">
        <v>-2</v>
      </c>
      <c r="D1497" s="68">
        <v>1.8</v>
      </c>
      <c r="E1497" s="68"/>
      <c r="F1497" s="68">
        <v>2.1</v>
      </c>
      <c r="G1497" s="67">
        <f t="shared" si="51"/>
        <v>-7.56</v>
      </c>
      <c r="H1497" s="930"/>
      <c r="I1497" s="1227"/>
    </row>
    <row r="1498" spans="1:9" s="78" customFormat="1" ht="18" customHeight="1">
      <c r="A1498" s="75"/>
      <c r="B1498" s="64" t="s">
        <v>1076</v>
      </c>
      <c r="C1498" s="70"/>
      <c r="D1498" s="68"/>
      <c r="E1498" s="68"/>
      <c r="F1498" s="68"/>
      <c r="G1498" s="67" t="str">
        <f t="shared" si="51"/>
        <v xml:space="preserve"> </v>
      </c>
      <c r="H1498" s="930"/>
      <c r="I1498" s="1227"/>
    </row>
    <row r="1499" spans="1:9" s="78" customFormat="1" ht="18" customHeight="1">
      <c r="A1499" s="75"/>
      <c r="B1499" s="63" t="s">
        <v>2056</v>
      </c>
      <c r="C1499" s="70">
        <v>1</v>
      </c>
      <c r="D1499" s="68">
        <v>4.4249999999999998</v>
      </c>
      <c r="E1499" s="68"/>
      <c r="F1499" s="68">
        <v>2.7</v>
      </c>
      <c r="G1499" s="67">
        <f t="shared" si="51"/>
        <v>11.95</v>
      </c>
      <c r="H1499" s="930"/>
      <c r="I1499" s="1227"/>
    </row>
    <row r="1500" spans="1:9" s="78" customFormat="1" ht="18" customHeight="1">
      <c r="A1500" s="75"/>
      <c r="B1500" s="63" t="s">
        <v>2057</v>
      </c>
      <c r="C1500" s="70">
        <v>2</v>
      </c>
      <c r="D1500" s="68">
        <v>4.5999999999999996</v>
      </c>
      <c r="E1500" s="68"/>
      <c r="F1500" s="68">
        <v>2.7</v>
      </c>
      <c r="G1500" s="67">
        <f t="shared" si="51"/>
        <v>24.84</v>
      </c>
      <c r="H1500" s="930"/>
      <c r="I1500" s="1227"/>
    </row>
    <row r="1501" spans="1:9" s="78" customFormat="1" ht="18" customHeight="1">
      <c r="A1501" s="75"/>
      <c r="B1501" s="63" t="s">
        <v>2021</v>
      </c>
      <c r="C1501" s="70">
        <v>2</v>
      </c>
      <c r="D1501" s="68">
        <f>1.525+3.075+0.275-0.2+0.275</f>
        <v>4.95</v>
      </c>
      <c r="E1501" s="68"/>
      <c r="F1501" s="68">
        <v>2.7</v>
      </c>
      <c r="G1501" s="67">
        <f t="shared" si="51"/>
        <v>26.73</v>
      </c>
      <c r="H1501" s="930"/>
      <c r="I1501" s="1227"/>
    </row>
    <row r="1502" spans="1:9" s="78" customFormat="1" ht="18" customHeight="1">
      <c r="A1502" s="75"/>
      <c r="B1502" s="63" t="s">
        <v>2058</v>
      </c>
      <c r="C1502" s="70">
        <v>1</v>
      </c>
      <c r="D1502" s="68">
        <v>1.6</v>
      </c>
      <c r="E1502" s="68"/>
      <c r="F1502" s="68">
        <v>2.7</v>
      </c>
      <c r="G1502" s="67">
        <f t="shared" si="51"/>
        <v>4.32</v>
      </c>
      <c r="H1502" s="930"/>
      <c r="I1502" s="1227"/>
    </row>
    <row r="1503" spans="1:9" s="78" customFormat="1" ht="18" customHeight="1">
      <c r="A1503" s="75"/>
      <c r="B1503" s="63" t="s">
        <v>1982</v>
      </c>
      <c r="C1503" s="70">
        <v>2</v>
      </c>
      <c r="D1503" s="68">
        <f>1.525+3.075+0.275-0.2+0.275</f>
        <v>4.95</v>
      </c>
      <c r="E1503" s="68"/>
      <c r="F1503" s="68">
        <v>2.7</v>
      </c>
      <c r="G1503" s="67">
        <f t="shared" si="51"/>
        <v>26.73</v>
      </c>
      <c r="H1503" s="930"/>
      <c r="I1503" s="1227"/>
    </row>
    <row r="1504" spans="1:9" s="78" customFormat="1" ht="18" customHeight="1">
      <c r="A1504" s="75"/>
      <c r="B1504" s="63" t="s">
        <v>1077</v>
      </c>
      <c r="C1504" s="70">
        <v>2</v>
      </c>
      <c r="D1504" s="68">
        <v>0.8</v>
      </c>
      <c r="E1504" s="68"/>
      <c r="F1504" s="68">
        <v>2.7</v>
      </c>
      <c r="G1504" s="67">
        <f t="shared" si="51"/>
        <v>4.32</v>
      </c>
      <c r="H1504" s="930"/>
      <c r="I1504" s="1227"/>
    </row>
    <row r="1505" spans="1:15" s="78" customFormat="1" ht="18" customHeight="1">
      <c r="A1505" s="75"/>
      <c r="B1505" s="63" t="s">
        <v>1078</v>
      </c>
      <c r="C1505" s="70">
        <v>-1</v>
      </c>
      <c r="D1505" s="68">
        <v>0.9</v>
      </c>
      <c r="E1505" s="68"/>
      <c r="F1505" s="68">
        <v>2</v>
      </c>
      <c r="G1505" s="67">
        <f t="shared" si="51"/>
        <v>-1.8</v>
      </c>
      <c r="H1505" s="930"/>
      <c r="I1505" s="1227"/>
    </row>
    <row r="1506" spans="1:15" s="78" customFormat="1" ht="18" customHeight="1">
      <c r="A1506" s="75"/>
      <c r="B1506" s="63" t="s">
        <v>1079</v>
      </c>
      <c r="C1506" s="70">
        <v>2</v>
      </c>
      <c r="D1506" s="68">
        <v>3.2</v>
      </c>
      <c r="E1506" s="68"/>
      <c r="F1506" s="68">
        <v>2.7</v>
      </c>
      <c r="G1506" s="67">
        <f t="shared" si="51"/>
        <v>17.28</v>
      </c>
      <c r="H1506" s="930"/>
      <c r="I1506" s="1227"/>
    </row>
    <row r="1507" spans="1:15" s="78" customFormat="1" ht="18" customHeight="1">
      <c r="A1507" s="75"/>
      <c r="B1507" s="63" t="s">
        <v>1080</v>
      </c>
      <c r="C1507" s="70">
        <v>-1</v>
      </c>
      <c r="D1507" s="68">
        <v>1.2</v>
      </c>
      <c r="E1507" s="68"/>
      <c r="F1507" s="68">
        <v>2.1</v>
      </c>
      <c r="G1507" s="67">
        <f t="shared" si="51"/>
        <v>-2.52</v>
      </c>
      <c r="H1507" s="930"/>
      <c r="I1507" s="1227"/>
    </row>
    <row r="1508" spans="1:15" s="78" customFormat="1" ht="18" customHeight="1">
      <c r="A1508" s="75"/>
      <c r="B1508" s="63" t="s">
        <v>2022</v>
      </c>
      <c r="C1508" s="70">
        <v>2</v>
      </c>
      <c r="D1508" s="68">
        <f>1.525-0.75-0.2</f>
        <v>0.57499999999999996</v>
      </c>
      <c r="E1508" s="68"/>
      <c r="F1508" s="68">
        <v>2.7</v>
      </c>
      <c r="G1508" s="67">
        <f t="shared" si="51"/>
        <v>3.11</v>
      </c>
      <c r="H1508" s="930"/>
      <c r="I1508" s="1227"/>
    </row>
    <row r="1509" spans="1:15" s="78" customFormat="1" ht="18" customHeight="1">
      <c r="A1509" s="75"/>
      <c r="B1509" s="63" t="s">
        <v>1081</v>
      </c>
      <c r="C1509" s="70">
        <v>1</v>
      </c>
      <c r="D1509" s="68">
        <f>6.45+6.45-0.1</f>
        <v>12.8</v>
      </c>
      <c r="E1509" s="68"/>
      <c r="F1509" s="68">
        <v>2.7</v>
      </c>
      <c r="G1509" s="67">
        <f t="shared" si="51"/>
        <v>34.56</v>
      </c>
      <c r="H1509" s="930"/>
      <c r="I1509" s="1227"/>
    </row>
    <row r="1510" spans="1:15" s="78" customFormat="1" ht="18" customHeight="1">
      <c r="A1510" s="75"/>
      <c r="B1510" s="63" t="s">
        <v>2023</v>
      </c>
      <c r="C1510" s="70">
        <v>-2</v>
      </c>
      <c r="D1510" s="68">
        <v>1</v>
      </c>
      <c r="E1510" s="68"/>
      <c r="F1510" s="68">
        <v>1.8</v>
      </c>
      <c r="G1510" s="67">
        <f t="shared" si="51"/>
        <v>-3.6</v>
      </c>
      <c r="H1510" s="930"/>
      <c r="I1510" s="1227"/>
    </row>
    <row r="1511" spans="1:15" s="78" customFormat="1" ht="18" customHeight="1">
      <c r="A1511" s="75"/>
      <c r="B1511" s="63" t="s">
        <v>1082</v>
      </c>
      <c r="C1511" s="70">
        <v>1</v>
      </c>
      <c r="D1511" s="68">
        <f>6.45+6.45-0.1</f>
        <v>12.8</v>
      </c>
      <c r="E1511" s="68"/>
      <c r="F1511" s="68">
        <v>2.7</v>
      </c>
      <c r="G1511" s="67">
        <f t="shared" si="51"/>
        <v>34.56</v>
      </c>
      <c r="H1511" s="930"/>
      <c r="I1511" s="1227"/>
    </row>
    <row r="1512" spans="1:15" s="78" customFormat="1" ht="18" customHeight="1">
      <c r="A1512" s="75"/>
      <c r="B1512" s="63" t="s">
        <v>2024</v>
      </c>
      <c r="C1512" s="70">
        <v>-1</v>
      </c>
      <c r="D1512" s="68">
        <v>1</v>
      </c>
      <c r="E1512" s="68"/>
      <c r="F1512" s="68">
        <v>1.8</v>
      </c>
      <c r="G1512" s="67">
        <f t="shared" si="51"/>
        <v>-1.8</v>
      </c>
      <c r="H1512" s="930"/>
      <c r="I1512" s="1227"/>
    </row>
    <row r="1513" spans="1:15" s="78" customFormat="1" ht="18" customHeight="1">
      <c r="A1513" s="75"/>
      <c r="B1513" s="63" t="s">
        <v>2025</v>
      </c>
      <c r="C1513" s="70">
        <v>-0.5</v>
      </c>
      <c r="D1513" s="68">
        <v>1</v>
      </c>
      <c r="E1513" s="68"/>
      <c r="F1513" s="68">
        <v>1.8</v>
      </c>
      <c r="G1513" s="67">
        <f t="shared" si="51"/>
        <v>-0.9</v>
      </c>
      <c r="H1513" s="930"/>
      <c r="I1513" s="1227"/>
    </row>
    <row r="1514" spans="1:15" s="78" customFormat="1" ht="18" customHeight="1">
      <c r="A1514" s="75"/>
      <c r="B1514" s="63" t="s">
        <v>2026</v>
      </c>
      <c r="C1514" s="70">
        <v>-0.5</v>
      </c>
      <c r="D1514" s="68">
        <v>0.6</v>
      </c>
      <c r="E1514" s="68"/>
      <c r="F1514" s="68">
        <v>0.6</v>
      </c>
      <c r="G1514" s="67">
        <f t="shared" si="51"/>
        <v>-0.18</v>
      </c>
      <c r="H1514" s="930"/>
      <c r="I1514" s="1227"/>
    </row>
    <row r="1515" spans="1:15" s="78" customFormat="1" ht="18" customHeight="1">
      <c r="A1515" s="75"/>
      <c r="B1515" s="64" t="s">
        <v>1084</v>
      </c>
      <c r="C1515" s="70"/>
      <c r="D1515" s="68"/>
      <c r="E1515" s="68"/>
      <c r="F1515" s="68"/>
      <c r="G1515" s="67" t="str">
        <f t="shared" si="51"/>
        <v xml:space="preserve"> </v>
      </c>
      <c r="H1515" s="930"/>
      <c r="I1515" s="1227"/>
    </row>
    <row r="1516" spans="1:15" s="78" customFormat="1" ht="18" customHeight="1">
      <c r="A1516" s="75"/>
      <c r="B1516" s="64" t="s">
        <v>2027</v>
      </c>
      <c r="C1516" s="70"/>
      <c r="D1516" s="68"/>
      <c r="E1516" s="68"/>
      <c r="F1516" s="68"/>
      <c r="G1516" s="67" t="str">
        <f t="shared" si="51"/>
        <v xml:space="preserve"> </v>
      </c>
      <c r="H1516" s="930"/>
      <c r="I1516" s="1227"/>
    </row>
    <row r="1517" spans="1:15" s="78" customFormat="1" ht="18" customHeight="1">
      <c r="A1517" s="75"/>
      <c r="B1517" s="406" t="s">
        <v>940</v>
      </c>
      <c r="C1517" s="70">
        <v>1</v>
      </c>
      <c r="D1517" s="68">
        <v>3.194</v>
      </c>
      <c r="E1517" s="68"/>
      <c r="F1517" s="68">
        <v>2.7</v>
      </c>
      <c r="G1517" s="67">
        <f t="shared" si="51"/>
        <v>8.6199999999999992</v>
      </c>
      <c r="H1517" s="930"/>
      <c r="I1517" s="1227"/>
    </row>
    <row r="1518" spans="1:15" s="78" customFormat="1" ht="18" customHeight="1">
      <c r="A1518" s="75"/>
      <c r="B1518" s="406" t="s">
        <v>951</v>
      </c>
      <c r="C1518" s="70">
        <v>-0.5</v>
      </c>
      <c r="D1518" s="68">
        <v>1</v>
      </c>
      <c r="E1518" s="68"/>
      <c r="F1518" s="68">
        <v>1.8</v>
      </c>
      <c r="G1518" s="67">
        <f t="shared" si="51"/>
        <v>-0.9</v>
      </c>
      <c r="H1518" s="930"/>
      <c r="I1518" s="1227"/>
    </row>
    <row r="1519" spans="1:15" s="78" customFormat="1" ht="18" customHeight="1">
      <c r="A1519" s="75"/>
      <c r="B1519" s="406" t="s">
        <v>1596</v>
      </c>
      <c r="C1519" s="70">
        <v>1</v>
      </c>
      <c r="D1519" s="68">
        <v>4.4089999999999998</v>
      </c>
      <c r="E1519" s="68"/>
      <c r="F1519" s="68">
        <v>2.7</v>
      </c>
      <c r="G1519" s="67">
        <f t="shared" si="51"/>
        <v>11.9</v>
      </c>
      <c r="H1519" s="930"/>
      <c r="I1519" s="1227"/>
      <c r="O1519" s="220"/>
    </row>
    <row r="1520" spans="1:15" s="78" customFormat="1" ht="18" customHeight="1">
      <c r="A1520" s="75"/>
      <c r="B1520" s="63" t="s">
        <v>942</v>
      </c>
      <c r="C1520" s="70">
        <v>1</v>
      </c>
      <c r="D1520" s="68">
        <f>6.45+6.4+6.4+3.25+0.1-0.1</f>
        <v>22.5</v>
      </c>
      <c r="E1520" s="68"/>
      <c r="F1520" s="68">
        <v>2.7</v>
      </c>
      <c r="G1520" s="67">
        <f t="shared" si="51"/>
        <v>60.75</v>
      </c>
      <c r="H1520" s="930"/>
      <c r="I1520" s="1227"/>
    </row>
    <row r="1521" spans="1:9" s="78" customFormat="1" ht="18" customHeight="1">
      <c r="A1521" s="75"/>
      <c r="B1521" s="409" t="s">
        <v>943</v>
      </c>
      <c r="C1521" s="70">
        <v>-3.5</v>
      </c>
      <c r="D1521" s="68">
        <v>1</v>
      </c>
      <c r="E1521" s="68"/>
      <c r="F1521" s="68">
        <v>1.8</v>
      </c>
      <c r="G1521" s="67">
        <f t="shared" si="51"/>
        <v>-6.3</v>
      </c>
      <c r="H1521" s="930"/>
      <c r="I1521" s="1227"/>
    </row>
    <row r="1522" spans="1:9" s="78" customFormat="1" ht="18" customHeight="1">
      <c r="A1522" s="75"/>
      <c r="B1522" s="63" t="s">
        <v>1913</v>
      </c>
      <c r="C1522" s="70">
        <v>2</v>
      </c>
      <c r="D1522" s="68">
        <v>4.18</v>
      </c>
      <c r="E1522" s="68"/>
      <c r="F1522" s="68">
        <v>2.7</v>
      </c>
      <c r="G1522" s="67">
        <f t="shared" si="51"/>
        <v>22.57</v>
      </c>
      <c r="H1522" s="930"/>
      <c r="I1522" s="1227"/>
    </row>
    <row r="1523" spans="1:9" s="78" customFormat="1" ht="18" customHeight="1">
      <c r="A1523" s="75"/>
      <c r="B1523" s="63" t="s">
        <v>945</v>
      </c>
      <c r="C1523" s="70">
        <v>1</v>
      </c>
      <c r="D1523" s="68">
        <v>3.1840000000000002</v>
      </c>
      <c r="E1523" s="68"/>
      <c r="F1523" s="68">
        <v>2.7</v>
      </c>
      <c r="G1523" s="67">
        <f t="shared" si="51"/>
        <v>8.6</v>
      </c>
      <c r="H1523" s="930"/>
      <c r="I1523" s="1227"/>
    </row>
    <row r="1524" spans="1:9" s="78" customFormat="1" ht="18" customHeight="1">
      <c r="A1524" s="75"/>
      <c r="B1524" s="63" t="s">
        <v>946</v>
      </c>
      <c r="C1524" s="70">
        <v>-0.5</v>
      </c>
      <c r="D1524" s="68">
        <v>2.85</v>
      </c>
      <c r="E1524" s="68"/>
      <c r="F1524" s="68">
        <v>1.2</v>
      </c>
      <c r="G1524" s="67">
        <f t="shared" si="51"/>
        <v>-1.71</v>
      </c>
      <c r="H1524" s="930"/>
      <c r="I1524" s="1227"/>
    </row>
    <row r="1525" spans="1:9" s="78" customFormat="1" ht="18" customHeight="1">
      <c r="A1525" s="75"/>
      <c r="B1525" s="63" t="s">
        <v>947</v>
      </c>
      <c r="C1525" s="70">
        <v>1</v>
      </c>
      <c r="D1525" s="452">
        <v>12.573</v>
      </c>
      <c r="E1525" s="68"/>
      <c r="F1525" s="68">
        <v>2.7</v>
      </c>
      <c r="G1525" s="67">
        <f t="shared" si="51"/>
        <v>33.950000000000003</v>
      </c>
      <c r="H1525" s="930"/>
      <c r="I1525" s="1227"/>
    </row>
    <row r="1526" spans="1:9" s="78" customFormat="1" ht="18" customHeight="1">
      <c r="A1526" s="75"/>
      <c r="B1526" s="63" t="s">
        <v>948</v>
      </c>
      <c r="C1526" s="70">
        <v>-2</v>
      </c>
      <c r="D1526" s="68">
        <v>1</v>
      </c>
      <c r="E1526" s="68"/>
      <c r="F1526" s="68">
        <v>1.8</v>
      </c>
      <c r="G1526" s="67">
        <f t="shared" si="51"/>
        <v>-3.6</v>
      </c>
      <c r="H1526" s="930"/>
      <c r="I1526" s="1227"/>
    </row>
    <row r="1527" spans="1:9" s="78" customFormat="1" ht="18" customHeight="1">
      <c r="A1527" s="75"/>
      <c r="B1527" s="63" t="s">
        <v>949</v>
      </c>
      <c r="C1527" s="70">
        <v>-0.5</v>
      </c>
      <c r="D1527" s="68">
        <v>1</v>
      </c>
      <c r="E1527" s="68"/>
      <c r="F1527" s="68">
        <v>1.8</v>
      </c>
      <c r="G1527" s="67">
        <f t="shared" si="51"/>
        <v>-0.9</v>
      </c>
      <c r="H1527" s="930"/>
      <c r="I1527" s="1227"/>
    </row>
    <row r="1528" spans="1:9" s="78" customFormat="1" ht="18" customHeight="1">
      <c r="A1528" s="75"/>
      <c r="B1528" s="63" t="s">
        <v>1915</v>
      </c>
      <c r="C1528" s="568">
        <v>1</v>
      </c>
      <c r="D1528" s="68">
        <v>4.218</v>
      </c>
      <c r="E1528" s="68"/>
      <c r="F1528" s="68">
        <v>2.7</v>
      </c>
      <c r="G1528" s="67">
        <f t="shared" si="51"/>
        <v>11.39</v>
      </c>
      <c r="H1528" s="930"/>
      <c r="I1528" s="1227"/>
    </row>
    <row r="1529" spans="1:9" s="78" customFormat="1" ht="18" customHeight="1">
      <c r="A1529" s="75"/>
      <c r="B1529" s="63" t="s">
        <v>1916</v>
      </c>
      <c r="C1529" s="568">
        <v>1</v>
      </c>
      <c r="D1529" s="68">
        <f>3.25-0.1+0.1</f>
        <v>3.25</v>
      </c>
      <c r="E1529" s="68"/>
      <c r="F1529" s="68">
        <v>2.7</v>
      </c>
      <c r="G1529" s="67">
        <f t="shared" si="51"/>
        <v>8.7799999999999994</v>
      </c>
      <c r="H1529" s="930"/>
      <c r="I1529" s="1227"/>
    </row>
    <row r="1530" spans="1:9" s="78" customFormat="1" ht="18" customHeight="1">
      <c r="A1530" s="75"/>
      <c r="B1530" s="63" t="s">
        <v>1917</v>
      </c>
      <c r="C1530" s="568">
        <v>1</v>
      </c>
      <c r="D1530" s="68">
        <v>4.22</v>
      </c>
      <c r="E1530" s="68"/>
      <c r="F1530" s="68">
        <v>2.7</v>
      </c>
      <c r="G1530" s="67">
        <f t="shared" si="51"/>
        <v>11.39</v>
      </c>
      <c r="H1530" s="930"/>
      <c r="I1530" s="1227"/>
    </row>
    <row r="1531" spans="1:9" s="78" customFormat="1" ht="18" customHeight="1">
      <c r="A1531" s="75"/>
      <c r="B1531" s="63" t="s">
        <v>1918</v>
      </c>
      <c r="C1531" s="568">
        <v>1</v>
      </c>
      <c r="D1531" s="68">
        <v>2.91</v>
      </c>
      <c r="E1531" s="68"/>
      <c r="F1531" s="68">
        <v>2.7</v>
      </c>
      <c r="G1531" s="67">
        <f t="shared" si="51"/>
        <v>7.86</v>
      </c>
      <c r="H1531" s="930"/>
      <c r="I1531" s="1227"/>
    </row>
    <row r="1532" spans="1:9" s="78" customFormat="1" ht="18" customHeight="1">
      <c r="A1532" s="75"/>
      <c r="B1532" s="63" t="s">
        <v>1919</v>
      </c>
      <c r="C1532" s="568">
        <v>1</v>
      </c>
      <c r="D1532" s="68">
        <v>3.3</v>
      </c>
      <c r="E1532" s="68"/>
      <c r="F1532" s="68">
        <v>2.7</v>
      </c>
      <c r="G1532" s="67">
        <f t="shared" si="51"/>
        <v>8.91</v>
      </c>
      <c r="H1532" s="930"/>
      <c r="I1532" s="1227"/>
    </row>
    <row r="1533" spans="1:9" s="78" customFormat="1" ht="18" customHeight="1">
      <c r="A1533" s="75"/>
      <c r="B1533" s="63"/>
      <c r="C1533" s="568">
        <v>1</v>
      </c>
      <c r="D1533" s="68">
        <v>1.5</v>
      </c>
      <c r="E1533" s="68"/>
      <c r="F1533" s="68">
        <v>2.7</v>
      </c>
      <c r="G1533" s="67">
        <f t="shared" si="51"/>
        <v>4.05</v>
      </c>
      <c r="H1533" s="930"/>
      <c r="I1533" s="1227"/>
    </row>
    <row r="1534" spans="1:9" s="78" customFormat="1" ht="18" customHeight="1">
      <c r="A1534" s="75"/>
      <c r="B1534" s="63" t="s">
        <v>950</v>
      </c>
      <c r="C1534" s="70">
        <v>1</v>
      </c>
      <c r="D1534" s="68">
        <v>3.1</v>
      </c>
      <c r="E1534" s="68"/>
      <c r="F1534" s="68">
        <v>2.7</v>
      </c>
      <c r="G1534" s="67">
        <f t="shared" si="51"/>
        <v>8.3699999999999992</v>
      </c>
      <c r="H1534" s="930"/>
      <c r="I1534" s="1227"/>
    </row>
    <row r="1535" spans="1:9" s="78" customFormat="1" ht="18" customHeight="1">
      <c r="A1535" s="75"/>
      <c r="B1535" s="63" t="s">
        <v>951</v>
      </c>
      <c r="C1535" s="70">
        <v>-0.5</v>
      </c>
      <c r="D1535" s="68">
        <v>1</v>
      </c>
      <c r="E1535" s="68"/>
      <c r="F1535" s="68">
        <v>1.8</v>
      </c>
      <c r="G1535" s="67">
        <f t="shared" si="51"/>
        <v>-0.9</v>
      </c>
      <c r="H1535" s="930"/>
      <c r="I1535" s="1227"/>
    </row>
    <row r="1536" spans="1:9" s="78" customFormat="1" ht="18" customHeight="1">
      <c r="A1536" s="75"/>
      <c r="B1536" s="63" t="s">
        <v>2032</v>
      </c>
      <c r="C1536" s="70">
        <v>1</v>
      </c>
      <c r="D1536" s="68">
        <v>2.298</v>
      </c>
      <c r="E1536" s="68"/>
      <c r="F1536" s="68">
        <v>2.7</v>
      </c>
      <c r="G1536" s="67">
        <f t="shared" si="51"/>
        <v>6.2</v>
      </c>
      <c r="H1536" s="930"/>
      <c r="I1536" s="1227"/>
    </row>
    <row r="1537" spans="1:15" s="78" customFormat="1" ht="18" customHeight="1">
      <c r="A1537" s="75"/>
      <c r="B1537" s="63" t="s">
        <v>2014</v>
      </c>
      <c r="C1537" s="70">
        <v>2</v>
      </c>
      <c r="D1537" s="68">
        <v>4.5999999999999996</v>
      </c>
      <c r="E1537" s="68"/>
      <c r="F1537" s="68">
        <v>2.7</v>
      </c>
      <c r="G1537" s="67">
        <f t="shared" si="51"/>
        <v>24.84</v>
      </c>
      <c r="H1537" s="930"/>
      <c r="I1537" s="1227"/>
    </row>
    <row r="1538" spans="1:15" s="78" customFormat="1" ht="18" customHeight="1">
      <c r="A1538" s="75"/>
      <c r="B1538" s="63" t="s">
        <v>953</v>
      </c>
      <c r="C1538" s="70">
        <v>-0.5</v>
      </c>
      <c r="D1538" s="68">
        <v>1.2</v>
      </c>
      <c r="E1538" s="68"/>
      <c r="F1538" s="68">
        <v>2.1</v>
      </c>
      <c r="G1538" s="67">
        <f t="shared" si="51"/>
        <v>-1.26</v>
      </c>
      <c r="H1538" s="930"/>
      <c r="I1538" s="1227"/>
    </row>
    <row r="1539" spans="1:15" s="78" customFormat="1" ht="18" customHeight="1">
      <c r="A1539" s="75"/>
      <c r="B1539" s="63" t="s">
        <v>954</v>
      </c>
      <c r="C1539" s="70"/>
      <c r="D1539" s="68"/>
      <c r="E1539" s="68"/>
      <c r="F1539" s="68"/>
      <c r="G1539" s="67" t="str">
        <f t="shared" si="51"/>
        <v xml:space="preserve"> </v>
      </c>
      <c r="H1539" s="930"/>
      <c r="I1539" s="1227"/>
    </row>
    <row r="1540" spans="1:15" s="78" customFormat="1" ht="18" customHeight="1">
      <c r="A1540" s="75"/>
      <c r="B1540" s="63" t="s">
        <v>955</v>
      </c>
      <c r="C1540" s="70">
        <v>2</v>
      </c>
      <c r="D1540" s="68">
        <f>3.175-0.2</f>
        <v>2.9749999999999996</v>
      </c>
      <c r="E1540" s="68"/>
      <c r="F1540" s="68">
        <v>2.7</v>
      </c>
      <c r="G1540" s="67">
        <f t="shared" si="51"/>
        <v>16.07</v>
      </c>
      <c r="H1540" s="930"/>
      <c r="I1540" s="1227"/>
    </row>
    <row r="1541" spans="1:15" s="78" customFormat="1" ht="18" customHeight="1">
      <c r="A1541" s="75"/>
      <c r="B1541" s="63" t="s">
        <v>953</v>
      </c>
      <c r="C1541" s="70">
        <v>-0.5</v>
      </c>
      <c r="D1541" s="68">
        <v>1.2</v>
      </c>
      <c r="E1541" s="68"/>
      <c r="F1541" s="68">
        <v>2.1</v>
      </c>
      <c r="G1541" s="67">
        <f t="shared" si="51"/>
        <v>-1.26</v>
      </c>
      <c r="H1541" s="930"/>
      <c r="I1541" s="1227"/>
    </row>
    <row r="1542" spans="1:15" s="78" customFormat="1" ht="18" customHeight="1">
      <c r="A1542" s="75"/>
      <c r="B1542" s="63" t="s">
        <v>956</v>
      </c>
      <c r="C1542" s="70">
        <v>-0.5</v>
      </c>
      <c r="D1542" s="68">
        <v>0.9</v>
      </c>
      <c r="E1542" s="68"/>
      <c r="F1542" s="68">
        <v>2</v>
      </c>
      <c r="G1542" s="67">
        <f t="shared" si="51"/>
        <v>-0.9</v>
      </c>
      <c r="H1542" s="930"/>
      <c r="I1542" s="1227"/>
    </row>
    <row r="1543" spans="1:15" s="78" customFormat="1" ht="18" customHeight="1">
      <c r="A1543" s="75"/>
      <c r="B1543" s="63" t="s">
        <v>957</v>
      </c>
      <c r="C1543" s="70">
        <v>2</v>
      </c>
      <c r="D1543" s="567">
        <v>1.1000000000000001</v>
      </c>
      <c r="E1543" s="68"/>
      <c r="F1543" s="68">
        <v>2.7</v>
      </c>
      <c r="G1543" s="67">
        <f t="shared" si="51"/>
        <v>5.94</v>
      </c>
      <c r="H1543" s="930"/>
      <c r="I1543" s="1227"/>
    </row>
    <row r="1544" spans="1:15" s="78" customFormat="1" ht="18" customHeight="1">
      <c r="A1544" s="75"/>
      <c r="B1544" s="63"/>
      <c r="C1544" s="70">
        <v>2</v>
      </c>
      <c r="D1544" s="567">
        <v>1.603</v>
      </c>
      <c r="E1544" s="68"/>
      <c r="F1544" s="68">
        <v>2.7</v>
      </c>
      <c r="G1544" s="67">
        <f t="shared" si="51"/>
        <v>8.66</v>
      </c>
      <c r="H1544" s="930"/>
      <c r="I1544" s="1227"/>
    </row>
    <row r="1545" spans="1:15" s="78" customFormat="1" ht="18" customHeight="1">
      <c r="A1545" s="75"/>
      <c r="B1545" s="63"/>
      <c r="C1545" s="70"/>
      <c r="D1545" s="68" t="s">
        <v>2133</v>
      </c>
      <c r="E1545" s="68"/>
      <c r="F1545" s="68"/>
      <c r="G1545" s="67" t="str">
        <f t="shared" si="51"/>
        <v xml:space="preserve"> </v>
      </c>
      <c r="H1545" s="930"/>
      <c r="I1545" s="1227"/>
    </row>
    <row r="1546" spans="1:15" s="78" customFormat="1" ht="18" customHeight="1">
      <c r="A1546" s="75"/>
      <c r="B1546" s="607" t="s">
        <v>937</v>
      </c>
      <c r="C1546" s="70"/>
      <c r="D1546" s="68"/>
      <c r="E1546" s="68"/>
      <c r="F1546" s="68"/>
      <c r="G1546" s="67" t="str">
        <f t="shared" si="51"/>
        <v xml:space="preserve"> </v>
      </c>
      <c r="H1546" s="930"/>
      <c r="I1546" s="1227"/>
    </row>
    <row r="1547" spans="1:15" s="78" customFormat="1" ht="18" customHeight="1">
      <c r="A1547" s="75"/>
      <c r="B1547" s="607" t="s">
        <v>944</v>
      </c>
      <c r="C1547" s="70"/>
      <c r="D1547" s="68"/>
      <c r="E1547" s="68"/>
      <c r="F1547" s="68"/>
      <c r="G1547" s="67" t="str">
        <f t="shared" si="51"/>
        <v xml:space="preserve"> </v>
      </c>
      <c r="H1547" s="930"/>
      <c r="I1547" s="1227"/>
    </row>
    <row r="1548" spans="1:15" s="78" customFormat="1" ht="18" customHeight="1">
      <c r="A1548" s="75"/>
      <c r="B1548" s="406" t="s">
        <v>940</v>
      </c>
      <c r="C1548" s="70">
        <v>1</v>
      </c>
      <c r="D1548" s="68">
        <v>3.194</v>
      </c>
      <c r="E1548" s="68"/>
      <c r="F1548" s="68">
        <v>2.7</v>
      </c>
      <c r="G1548" s="67">
        <f t="shared" si="51"/>
        <v>8.6199999999999992</v>
      </c>
      <c r="H1548" s="930"/>
      <c r="I1548" s="1227"/>
    </row>
    <row r="1549" spans="1:15" s="78" customFormat="1" ht="18" customHeight="1">
      <c r="A1549" s="75"/>
      <c r="B1549" s="406" t="s">
        <v>2028</v>
      </c>
      <c r="C1549" s="70">
        <v>-0.5</v>
      </c>
      <c r="D1549" s="68">
        <v>1</v>
      </c>
      <c r="E1549" s="68"/>
      <c r="F1549" s="68">
        <v>1.8</v>
      </c>
      <c r="G1549" s="67">
        <f t="shared" si="51"/>
        <v>-0.9</v>
      </c>
      <c r="H1549" s="930"/>
      <c r="I1549" s="1227"/>
    </row>
    <row r="1550" spans="1:15" s="78" customFormat="1" ht="18" customHeight="1">
      <c r="A1550" s="75"/>
      <c r="B1550" s="406" t="s">
        <v>1596</v>
      </c>
      <c r="C1550" s="70">
        <v>1</v>
      </c>
      <c r="D1550" s="68">
        <v>4.4089999999999998</v>
      </c>
      <c r="E1550" s="68"/>
      <c r="F1550" s="68">
        <v>2.7</v>
      </c>
      <c r="G1550" s="67">
        <f t="shared" si="51"/>
        <v>11.9</v>
      </c>
      <c r="H1550" s="930"/>
      <c r="I1550" s="1227"/>
      <c r="O1550" s="220"/>
    </row>
    <row r="1551" spans="1:15" s="78" customFormat="1" ht="18" customHeight="1">
      <c r="A1551" s="75"/>
      <c r="B1551" s="63" t="s">
        <v>942</v>
      </c>
      <c r="C1551" s="70">
        <v>1</v>
      </c>
      <c r="D1551" s="68">
        <f>6.45+6.4+6.4+3.25+0.1-0.1</f>
        <v>22.5</v>
      </c>
      <c r="E1551" s="68"/>
      <c r="F1551" s="68">
        <v>2.7</v>
      </c>
      <c r="G1551" s="67">
        <f t="shared" si="51"/>
        <v>60.75</v>
      </c>
      <c r="H1551" s="930"/>
      <c r="I1551" s="1227"/>
    </row>
    <row r="1552" spans="1:15" s="78" customFormat="1" ht="18" customHeight="1">
      <c r="A1552" s="75"/>
      <c r="B1552" s="409" t="s">
        <v>943</v>
      </c>
      <c r="C1552" s="70">
        <v>-3.5</v>
      </c>
      <c r="D1552" s="68">
        <v>1</v>
      </c>
      <c r="E1552" s="68"/>
      <c r="F1552" s="68">
        <v>1.8</v>
      </c>
      <c r="G1552" s="67">
        <f t="shared" si="51"/>
        <v>-6.3</v>
      </c>
      <c r="H1552" s="930"/>
      <c r="I1552" s="1227"/>
    </row>
    <row r="1553" spans="1:9" s="78" customFormat="1" ht="18" customHeight="1">
      <c r="A1553" s="75"/>
      <c r="B1553" s="63" t="s">
        <v>1913</v>
      </c>
      <c r="C1553" s="70">
        <v>2</v>
      </c>
      <c r="D1553" s="68">
        <v>4.218</v>
      </c>
      <c r="E1553" s="68"/>
      <c r="F1553" s="68">
        <v>2.7</v>
      </c>
      <c r="G1553" s="67">
        <f t="shared" si="51"/>
        <v>22.78</v>
      </c>
      <c r="H1553" s="930"/>
      <c r="I1553" s="1227"/>
    </row>
    <row r="1554" spans="1:9" s="78" customFormat="1" ht="18" customHeight="1">
      <c r="A1554" s="75"/>
      <c r="B1554" s="63" t="s">
        <v>945</v>
      </c>
      <c r="C1554" s="70">
        <v>1</v>
      </c>
      <c r="D1554" s="68">
        <v>3.1840000000000002</v>
      </c>
      <c r="E1554" s="68"/>
      <c r="F1554" s="68">
        <v>2.7</v>
      </c>
      <c r="G1554" s="67">
        <f t="shared" si="51"/>
        <v>8.6</v>
      </c>
      <c r="H1554" s="930"/>
      <c r="I1554" s="1227"/>
    </row>
    <row r="1555" spans="1:9" s="78" customFormat="1" ht="18" customHeight="1">
      <c r="A1555" s="75"/>
      <c r="B1555" s="63" t="s">
        <v>946</v>
      </c>
      <c r="C1555" s="70">
        <v>-1</v>
      </c>
      <c r="D1555" s="68">
        <v>2.85</v>
      </c>
      <c r="E1555" s="68"/>
      <c r="F1555" s="68">
        <v>1.2</v>
      </c>
      <c r="G1555" s="67">
        <f t="shared" ref="G1555:G1618" si="52">IF(C1555&lt;&gt;0,ROUND(PRODUCT(D1555:F1555)*C1555,2)," ")</f>
        <v>-3.42</v>
      </c>
      <c r="H1555" s="930"/>
      <c r="I1555" s="1227"/>
    </row>
    <row r="1556" spans="1:9" s="78" customFormat="1" ht="18" customHeight="1">
      <c r="A1556" s="75"/>
      <c r="B1556" s="63" t="s">
        <v>947</v>
      </c>
      <c r="C1556" s="70">
        <v>1</v>
      </c>
      <c r="D1556" s="68">
        <v>12.573</v>
      </c>
      <c r="E1556" s="68"/>
      <c r="F1556" s="68">
        <v>2.7</v>
      </c>
      <c r="G1556" s="67">
        <f t="shared" si="52"/>
        <v>33.950000000000003</v>
      </c>
      <c r="H1556" s="930"/>
      <c r="I1556" s="1227"/>
    </row>
    <row r="1557" spans="1:9" s="78" customFormat="1" ht="18" customHeight="1">
      <c r="A1557" s="75"/>
      <c r="B1557" s="63" t="s">
        <v>948</v>
      </c>
      <c r="C1557" s="70">
        <v>-2</v>
      </c>
      <c r="D1557" s="68">
        <v>1</v>
      </c>
      <c r="E1557" s="68"/>
      <c r="F1557" s="68">
        <v>1.8</v>
      </c>
      <c r="G1557" s="67">
        <f t="shared" si="52"/>
        <v>-3.6</v>
      </c>
      <c r="H1557" s="930"/>
      <c r="I1557" s="1227"/>
    </row>
    <row r="1558" spans="1:9" s="78" customFormat="1" ht="18" customHeight="1">
      <c r="A1558" s="75"/>
      <c r="B1558" s="63" t="s">
        <v>949</v>
      </c>
      <c r="C1558" s="70">
        <v>-0.5</v>
      </c>
      <c r="D1558" s="68">
        <v>1</v>
      </c>
      <c r="E1558" s="68"/>
      <c r="F1558" s="68">
        <v>1.8</v>
      </c>
      <c r="G1558" s="67">
        <f t="shared" si="52"/>
        <v>-0.9</v>
      </c>
      <c r="H1558" s="930"/>
      <c r="I1558" s="1227"/>
    </row>
    <row r="1559" spans="1:9" s="78" customFormat="1" ht="18" customHeight="1">
      <c r="A1559" s="75"/>
      <c r="B1559" s="63" t="s">
        <v>1914</v>
      </c>
      <c r="C1559" s="70">
        <v>2</v>
      </c>
      <c r="D1559" s="68">
        <v>4.218</v>
      </c>
      <c r="E1559" s="68"/>
      <c r="F1559" s="68">
        <v>2.7</v>
      </c>
      <c r="G1559" s="67">
        <f t="shared" si="52"/>
        <v>22.78</v>
      </c>
      <c r="H1559" s="930"/>
      <c r="I1559" s="1227"/>
    </row>
    <row r="1560" spans="1:9" s="78" customFormat="1" ht="18" customHeight="1">
      <c r="A1560" s="75"/>
      <c r="B1560" s="63" t="s">
        <v>1915</v>
      </c>
      <c r="C1560" s="568">
        <v>1</v>
      </c>
      <c r="D1560" s="68">
        <v>4.218</v>
      </c>
      <c r="E1560" s="68"/>
      <c r="F1560" s="68">
        <v>2.7</v>
      </c>
      <c r="G1560" s="67">
        <f t="shared" si="52"/>
        <v>11.39</v>
      </c>
      <c r="H1560" s="930"/>
      <c r="I1560" s="1227"/>
    </row>
    <row r="1561" spans="1:9" s="78" customFormat="1" ht="18" customHeight="1">
      <c r="A1561" s="75"/>
      <c r="B1561" s="63" t="s">
        <v>1916</v>
      </c>
      <c r="C1561" s="568">
        <v>1</v>
      </c>
      <c r="D1561" s="68">
        <f>3.25-0.1+0.1</f>
        <v>3.25</v>
      </c>
      <c r="E1561" s="68"/>
      <c r="F1561" s="68">
        <v>2.7</v>
      </c>
      <c r="G1561" s="67">
        <f t="shared" si="52"/>
        <v>8.7799999999999994</v>
      </c>
      <c r="H1561" s="930"/>
      <c r="I1561" s="1227"/>
    </row>
    <row r="1562" spans="1:9" s="78" customFormat="1" ht="18" customHeight="1">
      <c r="A1562" s="75"/>
      <c r="B1562" s="63" t="s">
        <v>1917</v>
      </c>
      <c r="C1562" s="568">
        <v>1</v>
      </c>
      <c r="D1562" s="68">
        <v>4.22</v>
      </c>
      <c r="E1562" s="68"/>
      <c r="F1562" s="68">
        <v>2.7</v>
      </c>
      <c r="G1562" s="67">
        <f t="shared" si="52"/>
        <v>11.39</v>
      </c>
      <c r="H1562" s="930"/>
      <c r="I1562" s="1227"/>
    </row>
    <row r="1563" spans="1:9" s="78" customFormat="1" ht="18" customHeight="1">
      <c r="A1563" s="75"/>
      <c r="B1563" s="63" t="s">
        <v>1918</v>
      </c>
      <c r="C1563" s="568">
        <v>1</v>
      </c>
      <c r="D1563" s="68">
        <v>2.91</v>
      </c>
      <c r="E1563" s="68"/>
      <c r="F1563" s="68">
        <v>2.7</v>
      </c>
      <c r="G1563" s="67">
        <f t="shared" si="52"/>
        <v>7.86</v>
      </c>
      <c r="H1563" s="930"/>
      <c r="I1563" s="1227"/>
    </row>
    <row r="1564" spans="1:9" s="78" customFormat="1" ht="18" customHeight="1">
      <c r="A1564" s="75"/>
      <c r="B1564" s="63" t="s">
        <v>1919</v>
      </c>
      <c r="C1564" s="568">
        <v>1</v>
      </c>
      <c r="D1564" s="68">
        <v>3.3</v>
      </c>
      <c r="E1564" s="68"/>
      <c r="F1564" s="68">
        <v>2.7</v>
      </c>
      <c r="G1564" s="67">
        <f t="shared" si="52"/>
        <v>8.91</v>
      </c>
      <c r="H1564" s="930"/>
      <c r="I1564" s="1227"/>
    </row>
    <row r="1565" spans="1:9" s="78" customFormat="1" ht="18" customHeight="1">
      <c r="A1565" s="75"/>
      <c r="B1565" s="63"/>
      <c r="C1565" s="568">
        <v>1</v>
      </c>
      <c r="D1565" s="68">
        <v>1.5</v>
      </c>
      <c r="E1565" s="68"/>
      <c r="F1565" s="68">
        <v>2.7</v>
      </c>
      <c r="G1565" s="67">
        <f t="shared" si="52"/>
        <v>4.05</v>
      </c>
      <c r="H1565" s="930"/>
      <c r="I1565" s="1227"/>
    </row>
    <row r="1566" spans="1:9" s="78" customFormat="1" ht="18" customHeight="1">
      <c r="A1566" s="75"/>
      <c r="B1566" s="63" t="s">
        <v>950</v>
      </c>
      <c r="C1566" s="70">
        <v>1</v>
      </c>
      <c r="D1566" s="68">
        <v>3.1</v>
      </c>
      <c r="E1566" s="68"/>
      <c r="F1566" s="68">
        <v>2.7</v>
      </c>
      <c r="G1566" s="67">
        <f t="shared" si="52"/>
        <v>8.3699999999999992</v>
      </c>
      <c r="H1566" s="930"/>
      <c r="I1566" s="1227"/>
    </row>
    <row r="1567" spans="1:9" s="78" customFormat="1" ht="18" customHeight="1">
      <c r="A1567" s="75"/>
      <c r="B1567" s="63" t="s">
        <v>951</v>
      </c>
      <c r="C1567" s="70">
        <v>-0.5</v>
      </c>
      <c r="D1567" s="68">
        <v>1</v>
      </c>
      <c r="E1567" s="68"/>
      <c r="F1567" s="68">
        <v>1.8</v>
      </c>
      <c r="G1567" s="67">
        <f t="shared" si="52"/>
        <v>-0.9</v>
      </c>
      <c r="H1567" s="930"/>
      <c r="I1567" s="1227"/>
    </row>
    <row r="1568" spans="1:9" s="78" customFormat="1" ht="18" customHeight="1">
      <c r="A1568" s="75"/>
      <c r="B1568" s="63" t="s">
        <v>2032</v>
      </c>
      <c r="C1568" s="70">
        <v>1</v>
      </c>
      <c r="D1568" s="68">
        <v>2.298</v>
      </c>
      <c r="E1568" s="68"/>
      <c r="F1568" s="68">
        <v>2.7</v>
      </c>
      <c r="G1568" s="67">
        <f t="shared" si="52"/>
        <v>6.2</v>
      </c>
      <c r="H1568" s="930"/>
      <c r="I1568" s="1227"/>
    </row>
    <row r="1569" spans="1:9" s="78" customFormat="1" ht="18" customHeight="1">
      <c r="A1569" s="75"/>
      <c r="B1569" s="63" t="s">
        <v>2014</v>
      </c>
      <c r="C1569" s="70">
        <v>2</v>
      </c>
      <c r="D1569" s="68">
        <v>4.5999999999999996</v>
      </c>
      <c r="E1569" s="68"/>
      <c r="F1569" s="68">
        <v>2.7</v>
      </c>
      <c r="G1569" s="67">
        <f t="shared" si="52"/>
        <v>24.84</v>
      </c>
      <c r="H1569" s="930"/>
      <c r="I1569" s="1227"/>
    </row>
    <row r="1570" spans="1:9" s="78" customFormat="1" ht="18" customHeight="1">
      <c r="A1570" s="75"/>
      <c r="B1570" s="63" t="s">
        <v>953</v>
      </c>
      <c r="C1570" s="70">
        <v>-0.5</v>
      </c>
      <c r="D1570" s="68">
        <v>1.2</v>
      </c>
      <c r="E1570" s="68"/>
      <c r="F1570" s="68">
        <v>2.1</v>
      </c>
      <c r="G1570" s="67">
        <f t="shared" si="52"/>
        <v>-1.26</v>
      </c>
      <c r="H1570" s="930"/>
      <c r="I1570" s="1227"/>
    </row>
    <row r="1571" spans="1:9" s="78" customFormat="1" ht="18" customHeight="1">
      <c r="A1571" s="75"/>
      <c r="B1571" s="63" t="s">
        <v>954</v>
      </c>
      <c r="C1571" s="70"/>
      <c r="D1571" s="68"/>
      <c r="E1571" s="68"/>
      <c r="F1571" s="68"/>
      <c r="G1571" s="67" t="str">
        <f t="shared" si="52"/>
        <v xml:space="preserve"> </v>
      </c>
      <c r="H1571" s="930"/>
      <c r="I1571" s="1227"/>
    </row>
    <row r="1572" spans="1:9" s="78" customFormat="1" ht="18" customHeight="1">
      <c r="A1572" s="75"/>
      <c r="B1572" s="63" t="s">
        <v>955</v>
      </c>
      <c r="C1572" s="70">
        <v>2</v>
      </c>
      <c r="D1572" s="68">
        <f>3.175-0.2</f>
        <v>2.9749999999999996</v>
      </c>
      <c r="E1572" s="68"/>
      <c r="F1572" s="68">
        <v>2.7</v>
      </c>
      <c r="G1572" s="67">
        <f t="shared" si="52"/>
        <v>16.07</v>
      </c>
      <c r="H1572" s="930"/>
      <c r="I1572" s="1227"/>
    </row>
    <row r="1573" spans="1:9" s="78" customFormat="1" ht="18" customHeight="1">
      <c r="A1573" s="75"/>
      <c r="B1573" s="63" t="s">
        <v>953</v>
      </c>
      <c r="C1573" s="70">
        <v>-0.5</v>
      </c>
      <c r="D1573" s="68">
        <v>1.2</v>
      </c>
      <c r="E1573" s="68"/>
      <c r="F1573" s="68">
        <v>2.1</v>
      </c>
      <c r="G1573" s="67">
        <f t="shared" si="52"/>
        <v>-1.26</v>
      </c>
      <c r="H1573" s="930"/>
      <c r="I1573" s="1227"/>
    </row>
    <row r="1574" spans="1:9" s="78" customFormat="1" ht="18" customHeight="1">
      <c r="A1574" s="75"/>
      <c r="B1574" s="63" t="s">
        <v>956</v>
      </c>
      <c r="C1574" s="70">
        <v>-0.5</v>
      </c>
      <c r="D1574" s="68">
        <v>0.9</v>
      </c>
      <c r="E1574" s="68"/>
      <c r="F1574" s="68">
        <v>2</v>
      </c>
      <c r="G1574" s="67">
        <f t="shared" si="52"/>
        <v>-0.9</v>
      </c>
      <c r="H1574" s="930"/>
      <c r="I1574" s="1227"/>
    </row>
    <row r="1575" spans="1:9" s="78" customFormat="1" ht="18" customHeight="1">
      <c r="A1575" s="75"/>
      <c r="B1575" s="63" t="s">
        <v>957</v>
      </c>
      <c r="C1575" s="70">
        <v>2</v>
      </c>
      <c r="D1575" s="567">
        <v>1.1000000000000001</v>
      </c>
      <c r="E1575" s="68"/>
      <c r="F1575" s="68">
        <v>2.7</v>
      </c>
      <c r="G1575" s="67">
        <f t="shared" si="52"/>
        <v>5.94</v>
      </c>
      <c r="H1575" s="930"/>
      <c r="I1575" s="1227"/>
    </row>
    <row r="1576" spans="1:9" s="78" customFormat="1" ht="18" customHeight="1">
      <c r="A1576" s="75"/>
      <c r="B1576" s="63"/>
      <c r="C1576" s="70">
        <v>2</v>
      </c>
      <c r="D1576" s="567">
        <v>1.603</v>
      </c>
      <c r="E1576" s="68"/>
      <c r="F1576" s="68">
        <v>2.7</v>
      </c>
      <c r="G1576" s="67">
        <f t="shared" si="52"/>
        <v>8.66</v>
      </c>
      <c r="H1576" s="930"/>
      <c r="I1576" s="1227"/>
    </row>
    <row r="1577" spans="1:9" s="78" customFormat="1" ht="18" customHeight="1">
      <c r="A1577" s="75"/>
      <c r="B1577" s="387" t="s">
        <v>1091</v>
      </c>
      <c r="C1577" s="70"/>
      <c r="D1577" s="68"/>
      <c r="E1577" s="68"/>
      <c r="F1577" s="68"/>
      <c r="G1577" s="67" t="str">
        <f t="shared" si="52"/>
        <v xml:space="preserve"> </v>
      </c>
      <c r="H1577" s="930"/>
      <c r="I1577" s="1227"/>
    </row>
    <row r="1578" spans="1:9" s="78" customFormat="1" ht="18" customHeight="1">
      <c r="A1578" s="75"/>
      <c r="B1578" s="406" t="s">
        <v>1049</v>
      </c>
      <c r="C1578" s="70">
        <v>1</v>
      </c>
      <c r="D1578" s="567">
        <v>12.275</v>
      </c>
      <c r="E1578" s="68"/>
      <c r="F1578" s="68">
        <v>2.7</v>
      </c>
      <c r="G1578" s="67">
        <f t="shared" si="52"/>
        <v>33.14</v>
      </c>
      <c r="H1578" s="930"/>
      <c r="I1578" s="1227"/>
    </row>
    <row r="1579" spans="1:9" s="78" customFormat="1" ht="18" customHeight="1">
      <c r="A1579" s="75"/>
      <c r="B1579" s="406" t="s">
        <v>1065</v>
      </c>
      <c r="C1579" s="70">
        <v>-1.5</v>
      </c>
      <c r="D1579" s="68">
        <v>1</v>
      </c>
      <c r="E1579" s="68"/>
      <c r="F1579" s="68">
        <v>1.8</v>
      </c>
      <c r="G1579" s="67">
        <f t="shared" si="52"/>
        <v>-2.7</v>
      </c>
      <c r="H1579" s="930"/>
      <c r="I1579" s="1227"/>
    </row>
    <row r="1580" spans="1:9" s="78" customFormat="1" ht="18" customHeight="1">
      <c r="A1580" s="75"/>
      <c r="B1580" s="406" t="s">
        <v>1092</v>
      </c>
      <c r="C1580" s="70">
        <v>-1</v>
      </c>
      <c r="D1580" s="68">
        <v>1.85</v>
      </c>
      <c r="E1580" s="68"/>
      <c r="F1580" s="68">
        <v>2.4</v>
      </c>
      <c r="G1580" s="67">
        <f t="shared" si="52"/>
        <v>-4.4400000000000004</v>
      </c>
      <c r="H1580" s="930"/>
      <c r="I1580" s="1227"/>
    </row>
    <row r="1581" spans="1:9" ht="18" customHeight="1">
      <c r="A1581" s="75"/>
      <c r="B1581" s="406" t="s">
        <v>1050</v>
      </c>
      <c r="C1581" s="70">
        <v>1</v>
      </c>
      <c r="D1581" s="68">
        <f>12.9-0.1</f>
        <v>12.8</v>
      </c>
      <c r="E1581" s="68"/>
      <c r="F1581" s="68">
        <v>2.7</v>
      </c>
      <c r="G1581" s="67">
        <f t="shared" si="52"/>
        <v>34.56</v>
      </c>
      <c r="H1581" s="930"/>
    </row>
    <row r="1582" spans="1:9" ht="18" customHeight="1">
      <c r="A1582" s="75"/>
      <c r="B1582" s="406" t="s">
        <v>2134</v>
      </c>
      <c r="C1582" s="70">
        <v>-1.5</v>
      </c>
      <c r="D1582" s="68">
        <v>1</v>
      </c>
      <c r="E1582" s="68"/>
      <c r="F1582" s="68">
        <v>1.8</v>
      </c>
      <c r="G1582" s="67">
        <f t="shared" si="52"/>
        <v>-2.7</v>
      </c>
      <c r="H1582" s="930"/>
    </row>
    <row r="1583" spans="1:9" s="78" customFormat="1" ht="18" customHeight="1">
      <c r="A1583" s="75"/>
      <c r="B1583" s="406" t="s">
        <v>1094</v>
      </c>
      <c r="C1583" s="70">
        <v>-0.5</v>
      </c>
      <c r="D1583" s="68">
        <v>1.85</v>
      </c>
      <c r="E1583" s="68"/>
      <c r="F1583" s="68">
        <v>2.4</v>
      </c>
      <c r="G1583" s="67">
        <f t="shared" si="52"/>
        <v>-2.2200000000000002</v>
      </c>
      <c r="H1583" s="930"/>
      <c r="I1583" s="1227"/>
    </row>
    <row r="1584" spans="1:9" s="78" customFormat="1" ht="18" customHeight="1">
      <c r="A1584" s="75"/>
      <c r="B1584" s="63" t="s">
        <v>1969</v>
      </c>
      <c r="C1584" s="70">
        <v>2</v>
      </c>
      <c r="D1584" s="68">
        <f>1.425+3.175+0.275-0.2</f>
        <v>4.6749999999999998</v>
      </c>
      <c r="E1584" s="68"/>
      <c r="F1584" s="68">
        <v>2.7</v>
      </c>
      <c r="G1584" s="67">
        <f t="shared" si="52"/>
        <v>25.25</v>
      </c>
      <c r="H1584" s="930"/>
      <c r="I1584" s="1227"/>
    </row>
    <row r="1585" spans="1:9" ht="18" customHeight="1">
      <c r="A1585" s="75"/>
      <c r="B1585" s="409" t="s">
        <v>1970</v>
      </c>
      <c r="C1585" s="70">
        <v>2</v>
      </c>
      <c r="D1585" s="68">
        <f>1.875+2.725+0.275-0.2</f>
        <v>4.6749999999999998</v>
      </c>
      <c r="E1585" s="68"/>
      <c r="F1585" s="68">
        <v>2.7</v>
      </c>
      <c r="G1585" s="67">
        <f t="shared" si="52"/>
        <v>25.25</v>
      </c>
      <c r="H1585" s="930"/>
    </row>
    <row r="1586" spans="1:9" ht="18" customHeight="1">
      <c r="A1586" s="75"/>
      <c r="B1586" s="667" t="s">
        <v>1095</v>
      </c>
      <c r="C1586" s="70"/>
      <c r="D1586" s="68"/>
      <c r="E1586" s="68"/>
      <c r="F1586" s="68"/>
      <c r="G1586" s="67" t="str">
        <f t="shared" si="52"/>
        <v xml:space="preserve"> </v>
      </c>
      <c r="H1586" s="930"/>
    </row>
    <row r="1587" spans="1:9" ht="18" customHeight="1">
      <c r="A1587" s="75"/>
      <c r="B1587" s="409" t="s">
        <v>1056</v>
      </c>
      <c r="C1587" s="70">
        <v>1</v>
      </c>
      <c r="D1587" s="567">
        <v>12.75</v>
      </c>
      <c r="E1587" s="68"/>
      <c r="F1587" s="68">
        <v>2.7</v>
      </c>
      <c r="G1587" s="67">
        <f t="shared" si="52"/>
        <v>34.43</v>
      </c>
      <c r="H1587" s="930"/>
    </row>
    <row r="1588" spans="1:9" ht="18" customHeight="1">
      <c r="A1588" s="75"/>
      <c r="B1588" s="409" t="s">
        <v>1051</v>
      </c>
      <c r="C1588" s="70">
        <v>-2</v>
      </c>
      <c r="D1588" s="68">
        <v>1</v>
      </c>
      <c r="E1588" s="68"/>
      <c r="F1588" s="68">
        <v>1.8</v>
      </c>
      <c r="G1588" s="67">
        <f t="shared" si="52"/>
        <v>-3.6</v>
      </c>
      <c r="H1588" s="930"/>
    </row>
    <row r="1589" spans="1:9" s="78" customFormat="1" ht="18" customHeight="1">
      <c r="A1589" s="75"/>
      <c r="B1589" s="63" t="s">
        <v>1057</v>
      </c>
      <c r="C1589" s="70">
        <v>1</v>
      </c>
      <c r="D1589" s="567">
        <v>12.75</v>
      </c>
      <c r="E1589" s="68"/>
      <c r="F1589" s="68">
        <v>2.7</v>
      </c>
      <c r="G1589" s="67">
        <f t="shared" si="52"/>
        <v>34.43</v>
      </c>
      <c r="H1589" s="930"/>
      <c r="I1589" s="1227"/>
    </row>
    <row r="1590" spans="1:9" ht="18" customHeight="1">
      <c r="A1590" s="75"/>
      <c r="B1590" s="63" t="s">
        <v>1051</v>
      </c>
      <c r="C1590" s="70">
        <v>-2</v>
      </c>
      <c r="D1590" s="68">
        <v>1</v>
      </c>
      <c r="E1590" s="68"/>
      <c r="F1590" s="68">
        <v>1.8</v>
      </c>
      <c r="G1590" s="67">
        <f t="shared" si="52"/>
        <v>-3.6</v>
      </c>
      <c r="H1590" s="930"/>
    </row>
    <row r="1591" spans="1:9" s="78" customFormat="1" ht="18" customHeight="1">
      <c r="A1591" s="75"/>
      <c r="B1591" s="63" t="s">
        <v>2029</v>
      </c>
      <c r="C1591" s="70">
        <v>1</v>
      </c>
      <c r="D1591" s="68">
        <v>2.0249999999999999</v>
      </c>
      <c r="E1591" s="68"/>
      <c r="F1591" s="68">
        <v>2.7</v>
      </c>
      <c r="G1591" s="67">
        <f t="shared" si="52"/>
        <v>5.47</v>
      </c>
      <c r="H1591" s="930"/>
      <c r="I1591" s="1227"/>
    </row>
    <row r="1592" spans="1:9" s="78" customFormat="1" ht="18" customHeight="1">
      <c r="A1592" s="75"/>
      <c r="B1592" s="63" t="s">
        <v>2017</v>
      </c>
      <c r="C1592" s="70">
        <v>2</v>
      </c>
      <c r="D1592" s="68">
        <v>4.5999999999999996</v>
      </c>
      <c r="E1592" s="68"/>
      <c r="F1592" s="68">
        <v>2.7</v>
      </c>
      <c r="G1592" s="67">
        <f t="shared" si="52"/>
        <v>24.84</v>
      </c>
      <c r="H1592" s="930"/>
      <c r="I1592" s="1227"/>
    </row>
    <row r="1593" spans="1:9" s="78" customFormat="1" ht="18" customHeight="1">
      <c r="A1593" s="75"/>
      <c r="B1593" s="496" t="s">
        <v>1097</v>
      </c>
      <c r="C1593" s="70"/>
      <c r="D1593" s="68"/>
      <c r="E1593" s="68"/>
      <c r="F1593" s="68"/>
      <c r="G1593" s="67" t="str">
        <f t="shared" si="52"/>
        <v xml:space="preserve"> </v>
      </c>
      <c r="H1593" s="930"/>
      <c r="I1593" s="1227"/>
    </row>
    <row r="1594" spans="1:9" s="78" customFormat="1" ht="18" customHeight="1">
      <c r="A1594" s="75"/>
      <c r="B1594" s="63" t="s">
        <v>1063</v>
      </c>
      <c r="C1594" s="70">
        <v>1</v>
      </c>
      <c r="D1594" s="567">
        <v>18.3</v>
      </c>
      <c r="E1594" s="68"/>
      <c r="F1594" s="68">
        <v>2.7</v>
      </c>
      <c r="G1594" s="67">
        <f t="shared" si="52"/>
        <v>49.41</v>
      </c>
      <c r="H1594" s="930"/>
      <c r="I1594" s="1227"/>
    </row>
    <row r="1595" spans="1:9" s="78" customFormat="1" ht="18" customHeight="1">
      <c r="A1595" s="75"/>
      <c r="B1595" s="63" t="s">
        <v>1065</v>
      </c>
      <c r="C1595" s="70">
        <v>-1.5</v>
      </c>
      <c r="D1595" s="68">
        <v>1</v>
      </c>
      <c r="E1595" s="68"/>
      <c r="F1595" s="68">
        <v>1.8</v>
      </c>
      <c r="G1595" s="67">
        <f t="shared" si="52"/>
        <v>-2.7</v>
      </c>
      <c r="H1595" s="930"/>
      <c r="I1595" s="1227"/>
    </row>
    <row r="1596" spans="1:9" s="78" customFormat="1" ht="18" customHeight="1">
      <c r="A1596" s="75"/>
      <c r="B1596" s="63" t="s">
        <v>1098</v>
      </c>
      <c r="C1596" s="70">
        <v>-1</v>
      </c>
      <c r="D1596" s="68">
        <v>1.85</v>
      </c>
      <c r="E1596" s="68"/>
      <c r="F1596" s="68">
        <v>2.4</v>
      </c>
      <c r="G1596" s="67">
        <f t="shared" si="52"/>
        <v>-4.4400000000000004</v>
      </c>
      <c r="H1596" s="930"/>
      <c r="I1596" s="1227"/>
    </row>
    <row r="1597" spans="1:9" s="78" customFormat="1" ht="18" customHeight="1">
      <c r="A1597" s="75"/>
      <c r="B1597" s="63" t="s">
        <v>1069</v>
      </c>
      <c r="C1597" s="70">
        <v>-1</v>
      </c>
      <c r="D1597" s="68">
        <v>1.8</v>
      </c>
      <c r="E1597" s="68"/>
      <c r="F1597" s="68">
        <v>2.1</v>
      </c>
      <c r="G1597" s="67">
        <f t="shared" si="52"/>
        <v>-3.78</v>
      </c>
      <c r="H1597" s="930"/>
      <c r="I1597" s="1227"/>
    </row>
    <row r="1598" spans="1:9" s="78" customFormat="1" ht="18" customHeight="1">
      <c r="A1598" s="75"/>
      <c r="B1598" s="63" t="s">
        <v>1099</v>
      </c>
      <c r="C1598" s="70">
        <v>1</v>
      </c>
      <c r="D1598" s="567">
        <v>18.3</v>
      </c>
      <c r="E1598" s="68"/>
      <c r="F1598" s="68">
        <v>2.7</v>
      </c>
      <c r="G1598" s="67">
        <f t="shared" si="52"/>
        <v>49.41</v>
      </c>
      <c r="H1598" s="930"/>
      <c r="I1598" s="1227"/>
    </row>
    <row r="1599" spans="1:9" ht="18" customHeight="1">
      <c r="A1599" s="75"/>
      <c r="B1599" s="63" t="s">
        <v>1051</v>
      </c>
      <c r="C1599" s="70">
        <v>-1.5</v>
      </c>
      <c r="D1599" s="68">
        <v>1</v>
      </c>
      <c r="E1599" s="68"/>
      <c r="F1599" s="68">
        <v>1.8</v>
      </c>
      <c r="G1599" s="67">
        <f t="shared" si="52"/>
        <v>-2.7</v>
      </c>
      <c r="H1599" s="930"/>
    </row>
    <row r="1600" spans="1:9" ht="18" customHeight="1">
      <c r="A1600" s="75"/>
      <c r="B1600" s="63" t="s">
        <v>1092</v>
      </c>
      <c r="C1600" s="70">
        <v>-1</v>
      </c>
      <c r="D1600" s="68">
        <v>1.85</v>
      </c>
      <c r="E1600" s="68"/>
      <c r="F1600" s="68">
        <v>2.4</v>
      </c>
      <c r="G1600" s="67">
        <f t="shared" si="52"/>
        <v>-4.4400000000000004</v>
      </c>
      <c r="H1600" s="930"/>
    </row>
    <row r="1601" spans="1:8" ht="18" customHeight="1">
      <c r="A1601" s="75"/>
      <c r="B1601" s="63" t="s">
        <v>1069</v>
      </c>
      <c r="C1601" s="70">
        <v>-1</v>
      </c>
      <c r="D1601" s="68">
        <v>1.8</v>
      </c>
      <c r="E1601" s="68"/>
      <c r="F1601" s="68">
        <v>2.1</v>
      </c>
      <c r="G1601" s="67">
        <f t="shared" si="52"/>
        <v>-3.78</v>
      </c>
      <c r="H1601" s="930"/>
    </row>
    <row r="1602" spans="1:8" ht="18" customHeight="1">
      <c r="A1602" s="75"/>
      <c r="B1602" s="63" t="s">
        <v>1976</v>
      </c>
      <c r="C1602" s="70">
        <v>2</v>
      </c>
      <c r="D1602" s="68">
        <f>1.425+3.175-0.38</f>
        <v>4.22</v>
      </c>
      <c r="E1602" s="68"/>
      <c r="F1602" s="68">
        <v>2.7</v>
      </c>
      <c r="G1602" s="67">
        <f t="shared" si="52"/>
        <v>22.79</v>
      </c>
      <c r="H1602" s="930"/>
    </row>
    <row r="1603" spans="1:8" ht="18" customHeight="1">
      <c r="A1603" s="75"/>
      <c r="B1603" s="63" t="s">
        <v>1605</v>
      </c>
      <c r="C1603" s="70">
        <v>2</v>
      </c>
      <c r="D1603" s="68">
        <f>2.725+1.875-0.38</f>
        <v>4.22</v>
      </c>
      <c r="E1603" s="68"/>
      <c r="F1603" s="68">
        <v>2.7</v>
      </c>
      <c r="G1603" s="67">
        <f t="shared" si="52"/>
        <v>22.79</v>
      </c>
      <c r="H1603" s="930"/>
    </row>
    <row r="1604" spans="1:8" ht="18" customHeight="1">
      <c r="A1604" s="75"/>
      <c r="B1604" s="63" t="s">
        <v>2059</v>
      </c>
      <c r="C1604" s="70">
        <v>1</v>
      </c>
      <c r="D1604" s="68">
        <v>2.0249999999999999</v>
      </c>
      <c r="E1604" s="68"/>
      <c r="F1604" s="68">
        <v>2.7</v>
      </c>
      <c r="G1604" s="67">
        <f t="shared" si="52"/>
        <v>5.47</v>
      </c>
      <c r="H1604" s="930"/>
    </row>
    <row r="1605" spans="1:8" ht="18" customHeight="1">
      <c r="A1605" s="75"/>
      <c r="B1605" s="63" t="s">
        <v>2030</v>
      </c>
      <c r="C1605" s="70">
        <v>2</v>
      </c>
      <c r="D1605" s="68">
        <v>4.5999999999999996</v>
      </c>
      <c r="E1605" s="68"/>
      <c r="F1605" s="68">
        <v>2.7</v>
      </c>
      <c r="G1605" s="67">
        <f t="shared" si="52"/>
        <v>24.84</v>
      </c>
      <c r="H1605" s="930"/>
    </row>
    <row r="1606" spans="1:8" ht="18" customHeight="1">
      <c r="A1606" s="75"/>
      <c r="B1606" s="63" t="s">
        <v>2021</v>
      </c>
      <c r="C1606" s="70">
        <v>2</v>
      </c>
      <c r="D1606" s="68">
        <f>1.525+3.075</f>
        <v>4.5999999999999996</v>
      </c>
      <c r="E1606" s="68"/>
      <c r="F1606" s="68">
        <v>2.7</v>
      </c>
      <c r="G1606" s="67">
        <f t="shared" si="52"/>
        <v>24.84</v>
      </c>
      <c r="H1606" s="930"/>
    </row>
    <row r="1607" spans="1:8" ht="18" customHeight="1">
      <c r="A1607" s="75"/>
      <c r="B1607" s="63" t="s">
        <v>2058</v>
      </c>
      <c r="C1607" s="70">
        <v>1</v>
      </c>
      <c r="D1607" s="68">
        <v>1.6</v>
      </c>
      <c r="E1607" s="68"/>
      <c r="F1607" s="68">
        <v>2.7</v>
      </c>
      <c r="G1607" s="67">
        <f t="shared" si="52"/>
        <v>4.32</v>
      </c>
      <c r="H1607" s="930"/>
    </row>
    <row r="1608" spans="1:8" ht="18" customHeight="1">
      <c r="A1608" s="75"/>
      <c r="B1608" s="63" t="s">
        <v>1982</v>
      </c>
      <c r="C1608" s="70">
        <v>2</v>
      </c>
      <c r="D1608" s="68">
        <f>1.525+3.075+0.275-0.2+0.275</f>
        <v>4.95</v>
      </c>
      <c r="E1608" s="68"/>
      <c r="F1608" s="68">
        <v>2.7</v>
      </c>
      <c r="G1608" s="67">
        <f t="shared" si="52"/>
        <v>26.73</v>
      </c>
      <c r="H1608" s="930"/>
    </row>
    <row r="1609" spans="1:8" ht="18" customHeight="1">
      <c r="A1609" s="75"/>
      <c r="B1609" s="63" t="s">
        <v>1077</v>
      </c>
      <c r="C1609" s="70">
        <v>2</v>
      </c>
      <c r="D1609" s="68">
        <f>0.8+0.275+0.2</f>
        <v>1.2750000000000001</v>
      </c>
      <c r="E1609" s="68"/>
      <c r="F1609" s="68">
        <v>2.7</v>
      </c>
      <c r="G1609" s="67">
        <f t="shared" si="52"/>
        <v>6.89</v>
      </c>
      <c r="H1609" s="930"/>
    </row>
    <row r="1610" spans="1:8" ht="18" customHeight="1">
      <c r="A1610" s="75"/>
      <c r="B1610" s="63" t="s">
        <v>1100</v>
      </c>
      <c r="C1610" s="70">
        <v>2</v>
      </c>
      <c r="D1610" s="68">
        <f>6.3</f>
        <v>6.3</v>
      </c>
      <c r="E1610" s="68"/>
      <c r="F1610" s="68">
        <v>2.7</v>
      </c>
      <c r="G1610" s="67">
        <f t="shared" si="52"/>
        <v>34.020000000000003</v>
      </c>
      <c r="H1610" s="930"/>
    </row>
    <row r="1611" spans="1:8" ht="18" customHeight="1">
      <c r="A1611" s="75"/>
      <c r="B1611" s="63" t="s">
        <v>1101</v>
      </c>
      <c r="C1611" s="70">
        <v>-1</v>
      </c>
      <c r="D1611" s="68">
        <v>4.9000000000000004</v>
      </c>
      <c r="E1611" s="68"/>
      <c r="F1611" s="68">
        <v>1.8</v>
      </c>
      <c r="G1611" s="67">
        <f t="shared" si="52"/>
        <v>-8.82</v>
      </c>
      <c r="H1611" s="930"/>
    </row>
    <row r="1612" spans="1:8" ht="18" customHeight="1">
      <c r="A1612" s="75"/>
      <c r="B1612" s="63" t="s">
        <v>1081</v>
      </c>
      <c r="C1612" s="70">
        <v>1</v>
      </c>
      <c r="D1612" s="68">
        <f>6.45+6.45-0.1</f>
        <v>12.8</v>
      </c>
      <c r="E1612" s="68"/>
      <c r="F1612" s="68">
        <v>2.7</v>
      </c>
      <c r="G1612" s="67">
        <f t="shared" si="52"/>
        <v>34.56</v>
      </c>
      <c r="H1612" s="930"/>
    </row>
    <row r="1613" spans="1:8" ht="18" customHeight="1">
      <c r="A1613" s="75"/>
      <c r="B1613" s="63" t="s">
        <v>1051</v>
      </c>
      <c r="C1613" s="70">
        <v>-2</v>
      </c>
      <c r="D1613" s="68">
        <v>1</v>
      </c>
      <c r="E1613" s="68"/>
      <c r="F1613" s="68">
        <v>1.8</v>
      </c>
      <c r="G1613" s="67">
        <f t="shared" si="52"/>
        <v>-3.6</v>
      </c>
      <c r="H1613" s="930"/>
    </row>
    <row r="1614" spans="1:8" ht="18" customHeight="1">
      <c r="A1614" s="75"/>
      <c r="B1614" s="63" t="s">
        <v>1082</v>
      </c>
      <c r="C1614" s="70">
        <v>1</v>
      </c>
      <c r="D1614" s="68">
        <f>6.45+6.45-0.1</f>
        <v>12.8</v>
      </c>
      <c r="E1614" s="68"/>
      <c r="F1614" s="68">
        <v>2.7</v>
      </c>
      <c r="G1614" s="67">
        <f t="shared" si="52"/>
        <v>34.56</v>
      </c>
      <c r="H1614" s="930"/>
    </row>
    <row r="1615" spans="1:8" ht="18" customHeight="1">
      <c r="A1615" s="75"/>
      <c r="B1615" s="63" t="s">
        <v>1051</v>
      </c>
      <c r="C1615" s="70">
        <v>-0.5</v>
      </c>
      <c r="D1615" s="68">
        <v>1</v>
      </c>
      <c r="E1615" s="68"/>
      <c r="F1615" s="68">
        <v>1.8</v>
      </c>
      <c r="G1615" s="67">
        <f t="shared" si="52"/>
        <v>-0.9</v>
      </c>
      <c r="H1615" s="930"/>
    </row>
    <row r="1616" spans="1:8" ht="18" customHeight="1">
      <c r="A1616" s="75"/>
      <c r="B1616" s="63" t="s">
        <v>1083</v>
      </c>
      <c r="C1616" s="70">
        <v>-0.5</v>
      </c>
      <c r="D1616" s="68">
        <v>1</v>
      </c>
      <c r="E1616" s="68"/>
      <c r="F1616" s="68">
        <v>1.8</v>
      </c>
      <c r="G1616" s="67">
        <f t="shared" si="52"/>
        <v>-0.9</v>
      </c>
      <c r="H1616" s="930"/>
    </row>
    <row r="1617" spans="1:15" ht="18" customHeight="1">
      <c r="A1617" s="75"/>
      <c r="B1617" s="668" t="s">
        <v>1102</v>
      </c>
      <c r="C1617" s="70"/>
      <c r="D1617" s="68"/>
      <c r="E1617" s="68"/>
      <c r="F1617" s="68"/>
      <c r="G1617" s="67" t="str">
        <f t="shared" si="52"/>
        <v xml:space="preserve"> </v>
      </c>
      <c r="H1617" s="930"/>
    </row>
    <row r="1618" spans="1:15" ht="18" customHeight="1">
      <c r="A1618" s="75"/>
      <c r="B1618" s="496" t="s">
        <v>2031</v>
      </c>
      <c r="C1618" s="70"/>
      <c r="D1618" s="68"/>
      <c r="E1618" s="68"/>
      <c r="F1618" s="68"/>
      <c r="G1618" s="67" t="str">
        <f t="shared" si="52"/>
        <v xml:space="preserve"> </v>
      </c>
      <c r="H1618" s="930"/>
    </row>
    <row r="1619" spans="1:15" s="78" customFormat="1" ht="18" customHeight="1">
      <c r="A1619" s="75"/>
      <c r="B1619" s="406" t="s">
        <v>940</v>
      </c>
      <c r="C1619" s="70">
        <v>1</v>
      </c>
      <c r="D1619" s="68">
        <v>3.194</v>
      </c>
      <c r="E1619" s="68"/>
      <c r="F1619" s="68">
        <v>2.7</v>
      </c>
      <c r="G1619" s="67">
        <f t="shared" ref="G1619:G1682" si="53">IF(C1619&lt;&gt;0,ROUND(PRODUCT(D1619:F1619)*C1619,2)," ")</f>
        <v>8.6199999999999992</v>
      </c>
      <c r="H1619" s="930"/>
      <c r="I1619" s="1227"/>
    </row>
    <row r="1620" spans="1:15" s="78" customFormat="1" ht="18" customHeight="1">
      <c r="A1620" s="75"/>
      <c r="B1620" s="406" t="s">
        <v>2028</v>
      </c>
      <c r="C1620" s="70">
        <v>-0.5</v>
      </c>
      <c r="D1620" s="68">
        <v>1</v>
      </c>
      <c r="E1620" s="68"/>
      <c r="F1620" s="68">
        <v>1.8</v>
      </c>
      <c r="G1620" s="67">
        <f t="shared" si="53"/>
        <v>-0.9</v>
      </c>
      <c r="H1620" s="930"/>
      <c r="I1620" s="1227"/>
    </row>
    <row r="1621" spans="1:15" s="78" customFormat="1" ht="18" customHeight="1">
      <c r="A1621" s="75"/>
      <c r="B1621" s="406" t="s">
        <v>1596</v>
      </c>
      <c r="C1621" s="70">
        <v>1</v>
      </c>
      <c r="D1621" s="68">
        <v>4.4089999999999998</v>
      </c>
      <c r="E1621" s="68"/>
      <c r="F1621" s="68">
        <v>2.7</v>
      </c>
      <c r="G1621" s="67">
        <f t="shared" si="53"/>
        <v>11.9</v>
      </c>
      <c r="H1621" s="930"/>
      <c r="I1621" s="1227"/>
      <c r="O1621" s="220"/>
    </row>
    <row r="1622" spans="1:15" s="78" customFormat="1" ht="18" customHeight="1">
      <c r="A1622" s="75"/>
      <c r="B1622" s="63" t="s">
        <v>942</v>
      </c>
      <c r="C1622" s="70">
        <v>1</v>
      </c>
      <c r="D1622" s="68">
        <f>6.45+6.4+6.4+3.25+0.1-0.1</f>
        <v>22.5</v>
      </c>
      <c r="E1622" s="68"/>
      <c r="F1622" s="68">
        <v>2.7</v>
      </c>
      <c r="G1622" s="67">
        <f t="shared" si="53"/>
        <v>60.75</v>
      </c>
      <c r="H1622" s="930"/>
      <c r="I1622" s="1227"/>
    </row>
    <row r="1623" spans="1:15" s="78" customFormat="1" ht="18" customHeight="1">
      <c r="A1623" s="75"/>
      <c r="B1623" s="409" t="s">
        <v>943</v>
      </c>
      <c r="C1623" s="70">
        <v>-3.5</v>
      </c>
      <c r="D1623" s="68">
        <v>1</v>
      </c>
      <c r="E1623" s="68"/>
      <c r="F1623" s="68">
        <v>1.8</v>
      </c>
      <c r="G1623" s="67">
        <f t="shared" si="53"/>
        <v>-6.3</v>
      </c>
      <c r="H1623" s="930"/>
      <c r="I1623" s="1227"/>
    </row>
    <row r="1624" spans="1:15" s="78" customFormat="1" ht="18" customHeight="1">
      <c r="A1624" s="75"/>
      <c r="B1624" s="63" t="s">
        <v>1913</v>
      </c>
      <c r="C1624" s="70">
        <v>2</v>
      </c>
      <c r="D1624" s="68">
        <v>4.218</v>
      </c>
      <c r="E1624" s="68"/>
      <c r="F1624" s="68">
        <v>2.7</v>
      </c>
      <c r="G1624" s="67">
        <f t="shared" si="53"/>
        <v>22.78</v>
      </c>
      <c r="H1624" s="930"/>
      <c r="I1624" s="1227"/>
    </row>
    <row r="1625" spans="1:15" s="78" customFormat="1" ht="18" customHeight="1">
      <c r="A1625" s="75"/>
      <c r="B1625" s="63" t="s">
        <v>945</v>
      </c>
      <c r="C1625" s="70">
        <v>1</v>
      </c>
      <c r="D1625" s="68">
        <v>3.1840000000000002</v>
      </c>
      <c r="E1625" s="68"/>
      <c r="F1625" s="68">
        <v>2.7</v>
      </c>
      <c r="G1625" s="67">
        <f t="shared" si="53"/>
        <v>8.6</v>
      </c>
      <c r="H1625" s="930"/>
      <c r="I1625" s="1227"/>
    </row>
    <row r="1626" spans="1:15" s="78" customFormat="1" ht="18" customHeight="1">
      <c r="A1626" s="75"/>
      <c r="B1626" s="63" t="s">
        <v>946</v>
      </c>
      <c r="C1626" s="70">
        <v>-1</v>
      </c>
      <c r="D1626" s="68">
        <v>2.85</v>
      </c>
      <c r="E1626" s="68"/>
      <c r="F1626" s="68">
        <v>1.2</v>
      </c>
      <c r="G1626" s="67">
        <f t="shared" si="53"/>
        <v>-3.42</v>
      </c>
      <c r="H1626" s="930"/>
      <c r="I1626" s="1227"/>
    </row>
    <row r="1627" spans="1:15" s="78" customFormat="1" ht="18" customHeight="1">
      <c r="A1627" s="75"/>
      <c r="B1627" s="63" t="s">
        <v>947</v>
      </c>
      <c r="C1627" s="70">
        <v>1</v>
      </c>
      <c r="D1627" s="577">
        <v>12.573</v>
      </c>
      <c r="E1627" s="68"/>
      <c r="F1627" s="68">
        <v>2.7</v>
      </c>
      <c r="G1627" s="67">
        <f t="shared" si="53"/>
        <v>33.950000000000003</v>
      </c>
      <c r="H1627" s="930"/>
      <c r="I1627" s="1227"/>
    </row>
    <row r="1628" spans="1:15" s="78" customFormat="1" ht="18" customHeight="1">
      <c r="A1628" s="75"/>
      <c r="B1628" s="63" t="s">
        <v>948</v>
      </c>
      <c r="C1628" s="70">
        <v>-2</v>
      </c>
      <c r="D1628" s="68">
        <v>1</v>
      </c>
      <c r="E1628" s="68"/>
      <c r="F1628" s="68">
        <v>1.8</v>
      </c>
      <c r="G1628" s="67">
        <f t="shared" si="53"/>
        <v>-3.6</v>
      </c>
      <c r="H1628" s="930"/>
      <c r="I1628" s="1227"/>
    </row>
    <row r="1629" spans="1:15" s="78" customFormat="1" ht="18" customHeight="1">
      <c r="A1629" s="75"/>
      <c r="B1629" s="63" t="s">
        <v>949</v>
      </c>
      <c r="C1629" s="70">
        <v>-0.5</v>
      </c>
      <c r="D1629" s="68">
        <v>1</v>
      </c>
      <c r="E1629" s="68"/>
      <c r="F1629" s="68">
        <v>1.8</v>
      </c>
      <c r="G1629" s="67">
        <f t="shared" si="53"/>
        <v>-0.9</v>
      </c>
      <c r="H1629" s="930"/>
      <c r="I1629" s="1227"/>
    </row>
    <row r="1630" spans="1:15" s="78" customFormat="1" ht="18" customHeight="1">
      <c r="A1630" s="75"/>
      <c r="B1630" s="63" t="s">
        <v>1915</v>
      </c>
      <c r="C1630" s="568">
        <v>1</v>
      </c>
      <c r="D1630" s="68">
        <v>4.218</v>
      </c>
      <c r="E1630" s="68"/>
      <c r="F1630" s="68">
        <v>2.7</v>
      </c>
      <c r="G1630" s="67">
        <f t="shared" si="53"/>
        <v>11.39</v>
      </c>
      <c r="H1630" s="930"/>
      <c r="I1630" s="1227"/>
    </row>
    <row r="1631" spans="1:15" s="78" customFormat="1" ht="18" customHeight="1">
      <c r="A1631" s="75"/>
      <c r="B1631" s="63" t="s">
        <v>1916</v>
      </c>
      <c r="C1631" s="568">
        <v>1</v>
      </c>
      <c r="D1631" s="68">
        <f>3.25-0.1+0.1</f>
        <v>3.25</v>
      </c>
      <c r="E1631" s="68"/>
      <c r="F1631" s="68">
        <v>2.7</v>
      </c>
      <c r="G1631" s="67">
        <f t="shared" si="53"/>
        <v>8.7799999999999994</v>
      </c>
      <c r="H1631" s="930"/>
      <c r="I1631" s="1227"/>
    </row>
    <row r="1632" spans="1:15" s="78" customFormat="1" ht="18" customHeight="1">
      <c r="A1632" s="75"/>
      <c r="B1632" s="63" t="s">
        <v>1917</v>
      </c>
      <c r="C1632" s="568">
        <v>1</v>
      </c>
      <c r="D1632" s="68">
        <v>4.22</v>
      </c>
      <c r="E1632" s="68"/>
      <c r="F1632" s="68">
        <v>2.7</v>
      </c>
      <c r="G1632" s="67">
        <f t="shared" si="53"/>
        <v>11.39</v>
      </c>
      <c r="H1632" s="930"/>
      <c r="I1632" s="1227"/>
    </row>
    <row r="1633" spans="1:9" s="78" customFormat="1" ht="18" customHeight="1">
      <c r="A1633" s="75"/>
      <c r="B1633" s="63" t="s">
        <v>1918</v>
      </c>
      <c r="C1633" s="568">
        <v>1</v>
      </c>
      <c r="D1633" s="68">
        <v>2.91</v>
      </c>
      <c r="E1633" s="68"/>
      <c r="F1633" s="68">
        <v>2.7</v>
      </c>
      <c r="G1633" s="67">
        <f t="shared" si="53"/>
        <v>7.86</v>
      </c>
      <c r="H1633" s="930"/>
      <c r="I1633" s="1227"/>
    </row>
    <row r="1634" spans="1:9" s="78" customFormat="1" ht="18" customHeight="1">
      <c r="A1634" s="75"/>
      <c r="B1634" s="63" t="s">
        <v>1919</v>
      </c>
      <c r="C1634" s="568">
        <v>1</v>
      </c>
      <c r="D1634" s="68">
        <v>3.3</v>
      </c>
      <c r="E1634" s="68"/>
      <c r="F1634" s="68">
        <v>2.7</v>
      </c>
      <c r="G1634" s="67">
        <f t="shared" si="53"/>
        <v>8.91</v>
      </c>
      <c r="H1634" s="930"/>
      <c r="I1634" s="1227"/>
    </row>
    <row r="1635" spans="1:9" s="78" customFormat="1" ht="18" customHeight="1">
      <c r="A1635" s="75"/>
      <c r="B1635" s="63"/>
      <c r="C1635" s="568">
        <v>1</v>
      </c>
      <c r="D1635" s="68">
        <v>1.5</v>
      </c>
      <c r="E1635" s="68"/>
      <c r="F1635" s="68">
        <v>2.7</v>
      </c>
      <c r="G1635" s="67">
        <f t="shared" si="53"/>
        <v>4.05</v>
      </c>
      <c r="H1635" s="930"/>
      <c r="I1635" s="1227"/>
    </row>
    <row r="1636" spans="1:9" s="78" customFormat="1" ht="18" customHeight="1">
      <c r="A1636" s="75"/>
      <c r="B1636" s="63" t="s">
        <v>950</v>
      </c>
      <c r="C1636" s="70">
        <v>1</v>
      </c>
      <c r="D1636" s="68">
        <v>3.1</v>
      </c>
      <c r="E1636" s="68"/>
      <c r="F1636" s="68">
        <v>2.7</v>
      </c>
      <c r="G1636" s="67">
        <f t="shared" si="53"/>
        <v>8.3699999999999992</v>
      </c>
      <c r="H1636" s="930"/>
      <c r="I1636" s="1227"/>
    </row>
    <row r="1637" spans="1:9" s="78" customFormat="1" ht="18" customHeight="1">
      <c r="A1637" s="75"/>
      <c r="B1637" s="63" t="s">
        <v>951</v>
      </c>
      <c r="C1637" s="70">
        <v>-0.5</v>
      </c>
      <c r="D1637" s="68">
        <v>1</v>
      </c>
      <c r="E1637" s="68"/>
      <c r="F1637" s="68">
        <v>1.8</v>
      </c>
      <c r="G1637" s="67">
        <f t="shared" si="53"/>
        <v>-0.9</v>
      </c>
      <c r="H1637" s="930"/>
      <c r="I1637" s="1227"/>
    </row>
    <row r="1638" spans="1:9" s="78" customFormat="1" ht="18" customHeight="1">
      <c r="A1638" s="75"/>
      <c r="B1638" s="63" t="s">
        <v>2032</v>
      </c>
      <c r="C1638" s="70">
        <v>1</v>
      </c>
      <c r="D1638" s="68">
        <v>2.298</v>
      </c>
      <c r="E1638" s="68"/>
      <c r="F1638" s="68">
        <v>2.7</v>
      </c>
      <c r="G1638" s="67">
        <f t="shared" si="53"/>
        <v>6.2</v>
      </c>
      <c r="H1638" s="930"/>
      <c r="I1638" s="1227"/>
    </row>
    <row r="1639" spans="1:9" s="78" customFormat="1" ht="18" customHeight="1">
      <c r="A1639" s="75"/>
      <c r="B1639" s="63" t="s">
        <v>953</v>
      </c>
      <c r="C1639" s="70">
        <v>-0.5</v>
      </c>
      <c r="D1639" s="68">
        <v>1.2</v>
      </c>
      <c r="E1639" s="68"/>
      <c r="F1639" s="68">
        <v>2.1</v>
      </c>
      <c r="G1639" s="67">
        <f t="shared" si="53"/>
        <v>-1.26</v>
      </c>
      <c r="H1639" s="930"/>
      <c r="I1639" s="1227"/>
    </row>
    <row r="1640" spans="1:9" s="78" customFormat="1" ht="18" customHeight="1">
      <c r="A1640" s="75"/>
      <c r="B1640" s="63" t="s">
        <v>953</v>
      </c>
      <c r="C1640" s="70">
        <v>-0.5</v>
      </c>
      <c r="D1640" s="68">
        <v>1.2</v>
      </c>
      <c r="E1640" s="68"/>
      <c r="F1640" s="68">
        <v>2.1</v>
      </c>
      <c r="G1640" s="67">
        <f t="shared" si="53"/>
        <v>-1.26</v>
      </c>
      <c r="H1640" s="930"/>
      <c r="I1640" s="1227"/>
    </row>
    <row r="1641" spans="1:9" s="78" customFormat="1" ht="18" customHeight="1">
      <c r="A1641" s="75"/>
      <c r="B1641" s="63" t="s">
        <v>956</v>
      </c>
      <c r="C1641" s="70">
        <v>-0.5</v>
      </c>
      <c r="D1641" s="68">
        <v>0.9</v>
      </c>
      <c r="E1641" s="68"/>
      <c r="F1641" s="68">
        <v>2</v>
      </c>
      <c r="G1641" s="67">
        <f t="shared" si="53"/>
        <v>-0.9</v>
      </c>
      <c r="H1641" s="930"/>
      <c r="I1641" s="1227"/>
    </row>
    <row r="1642" spans="1:9" s="78" customFormat="1" ht="18" customHeight="1">
      <c r="A1642" s="75"/>
      <c r="B1642" s="387" t="s">
        <v>938</v>
      </c>
      <c r="C1642" s="70"/>
      <c r="D1642" s="68"/>
      <c r="E1642" s="68"/>
      <c r="F1642" s="68"/>
      <c r="G1642" s="67" t="str">
        <f t="shared" si="53"/>
        <v xml:space="preserve"> </v>
      </c>
      <c r="H1642" s="930"/>
      <c r="I1642" s="1227"/>
    </row>
    <row r="1643" spans="1:9" ht="18" customHeight="1">
      <c r="A1643" s="75"/>
      <c r="B1643" s="607" t="s">
        <v>1180</v>
      </c>
      <c r="C1643" s="70"/>
      <c r="D1643" s="68"/>
      <c r="E1643" s="68"/>
      <c r="F1643" s="68"/>
      <c r="G1643" s="67" t="str">
        <f t="shared" si="53"/>
        <v xml:space="preserve"> </v>
      </c>
      <c r="H1643" s="930"/>
    </row>
    <row r="1644" spans="1:9" ht="18" customHeight="1">
      <c r="A1644" s="75"/>
      <c r="B1644" s="406" t="s">
        <v>940</v>
      </c>
      <c r="C1644" s="70">
        <v>1</v>
      </c>
      <c r="D1644" s="68">
        <v>3.194</v>
      </c>
      <c r="E1644" s="68"/>
      <c r="F1644" s="68">
        <v>4.5</v>
      </c>
      <c r="G1644" s="67">
        <f t="shared" si="53"/>
        <v>14.37</v>
      </c>
      <c r="H1644" s="930"/>
    </row>
    <row r="1645" spans="1:9" ht="18" customHeight="1">
      <c r="A1645" s="75"/>
      <c r="B1645" s="406" t="s">
        <v>941</v>
      </c>
      <c r="C1645" s="70">
        <v>-0.5</v>
      </c>
      <c r="D1645" s="68">
        <v>1</v>
      </c>
      <c r="E1645" s="68"/>
      <c r="F1645" s="68">
        <v>1.8</v>
      </c>
      <c r="G1645" s="67">
        <f t="shared" si="53"/>
        <v>-0.9</v>
      </c>
      <c r="H1645" s="930"/>
    </row>
    <row r="1646" spans="1:9" ht="18" customHeight="1">
      <c r="A1646" s="75"/>
      <c r="B1646" s="406" t="s">
        <v>1596</v>
      </c>
      <c r="C1646" s="70">
        <v>1</v>
      </c>
      <c r="D1646" s="68">
        <v>4.4089999999999998</v>
      </c>
      <c r="E1646" s="68"/>
      <c r="F1646" s="68">
        <v>4.5</v>
      </c>
      <c r="G1646" s="67">
        <f t="shared" si="53"/>
        <v>19.84</v>
      </c>
      <c r="H1646" s="930"/>
    </row>
    <row r="1647" spans="1:9" ht="18" customHeight="1">
      <c r="A1647" s="75"/>
      <c r="B1647" s="63" t="s">
        <v>942</v>
      </c>
      <c r="C1647" s="70">
        <v>1</v>
      </c>
      <c r="D1647" s="68">
        <f>6.45+6.4+6.4+3.25+0.1-0.1</f>
        <v>22.5</v>
      </c>
      <c r="E1647" s="68"/>
      <c r="F1647" s="68">
        <v>4.5</v>
      </c>
      <c r="G1647" s="67">
        <f t="shared" si="53"/>
        <v>101.25</v>
      </c>
      <c r="H1647" s="930"/>
    </row>
    <row r="1648" spans="1:9" ht="18" customHeight="1">
      <c r="A1648" s="75"/>
      <c r="B1648" s="409" t="s">
        <v>943</v>
      </c>
      <c r="C1648" s="70">
        <v>-3.5</v>
      </c>
      <c r="D1648" s="68">
        <v>1</v>
      </c>
      <c r="E1648" s="68"/>
      <c r="F1648" s="68">
        <v>1.8</v>
      </c>
      <c r="G1648" s="67">
        <f t="shared" si="53"/>
        <v>-6.3</v>
      </c>
      <c r="H1648" s="930"/>
    </row>
    <row r="1649" spans="1:8" ht="18" customHeight="1">
      <c r="A1649" s="75"/>
      <c r="B1649" s="63" t="s">
        <v>1913</v>
      </c>
      <c r="C1649" s="70">
        <v>2</v>
      </c>
      <c r="D1649" s="68">
        <v>4.218</v>
      </c>
      <c r="E1649" s="68"/>
      <c r="F1649" s="68">
        <v>2.7</v>
      </c>
      <c r="G1649" s="67">
        <f t="shared" si="53"/>
        <v>22.78</v>
      </c>
      <c r="H1649" s="930"/>
    </row>
    <row r="1650" spans="1:8" ht="18" customHeight="1">
      <c r="A1650" s="75"/>
      <c r="B1650" s="63" t="s">
        <v>945</v>
      </c>
      <c r="C1650" s="70">
        <v>1</v>
      </c>
      <c r="D1650" s="68">
        <v>3.1840000000000002</v>
      </c>
      <c r="E1650" s="68"/>
      <c r="F1650" s="68">
        <v>3.2</v>
      </c>
      <c r="G1650" s="67">
        <f t="shared" si="53"/>
        <v>10.19</v>
      </c>
      <c r="H1650" s="930"/>
    </row>
    <row r="1651" spans="1:8" ht="18" customHeight="1">
      <c r="A1651" s="75"/>
      <c r="B1651" s="63" t="s">
        <v>946</v>
      </c>
      <c r="C1651" s="70">
        <v>-1</v>
      </c>
      <c r="D1651" s="68">
        <v>2.85</v>
      </c>
      <c r="E1651" s="68"/>
      <c r="F1651" s="68">
        <v>1.2</v>
      </c>
      <c r="G1651" s="67">
        <f t="shared" si="53"/>
        <v>-3.42</v>
      </c>
      <c r="H1651" s="930"/>
    </row>
    <row r="1652" spans="1:8" ht="18" customHeight="1">
      <c r="A1652" s="75"/>
      <c r="B1652" s="63" t="s">
        <v>947</v>
      </c>
      <c r="C1652" s="70">
        <v>1</v>
      </c>
      <c r="D1652" s="567">
        <v>12.573</v>
      </c>
      <c r="E1652" s="68"/>
      <c r="F1652" s="68">
        <v>3.2</v>
      </c>
      <c r="G1652" s="67">
        <f t="shared" si="53"/>
        <v>40.229999999999997</v>
      </c>
      <c r="H1652" s="930"/>
    </row>
    <row r="1653" spans="1:8" ht="18" customHeight="1">
      <c r="A1653" s="75"/>
      <c r="B1653" s="63" t="s">
        <v>948</v>
      </c>
      <c r="C1653" s="70">
        <v>-2</v>
      </c>
      <c r="D1653" s="68">
        <v>1</v>
      </c>
      <c r="E1653" s="68"/>
      <c r="F1653" s="68">
        <v>1.8</v>
      </c>
      <c r="G1653" s="67">
        <f t="shared" si="53"/>
        <v>-3.6</v>
      </c>
      <c r="H1653" s="930"/>
    </row>
    <row r="1654" spans="1:8" ht="18" customHeight="1">
      <c r="A1654" s="75"/>
      <c r="B1654" s="63" t="s">
        <v>949</v>
      </c>
      <c r="C1654" s="70">
        <v>-0.5</v>
      </c>
      <c r="D1654" s="68">
        <v>1</v>
      </c>
      <c r="E1654" s="68"/>
      <c r="F1654" s="68">
        <v>1.8</v>
      </c>
      <c r="G1654" s="67">
        <f t="shared" si="53"/>
        <v>-0.9</v>
      </c>
      <c r="H1654" s="930"/>
    </row>
    <row r="1655" spans="1:8" ht="18" customHeight="1">
      <c r="A1655" s="75"/>
      <c r="B1655" s="63" t="s">
        <v>1914</v>
      </c>
      <c r="C1655" s="70">
        <v>2</v>
      </c>
      <c r="D1655" s="68">
        <v>4.218</v>
      </c>
      <c r="E1655" s="68"/>
      <c r="F1655" s="68">
        <v>3.37</v>
      </c>
      <c r="G1655" s="67">
        <f t="shared" si="53"/>
        <v>28.43</v>
      </c>
      <c r="H1655" s="930"/>
    </row>
    <row r="1656" spans="1:8" ht="18" customHeight="1">
      <c r="A1656" s="75"/>
      <c r="B1656" s="63" t="s">
        <v>1915</v>
      </c>
      <c r="C1656" s="568">
        <v>1</v>
      </c>
      <c r="D1656" s="68">
        <v>4.218</v>
      </c>
      <c r="E1656" s="68"/>
      <c r="F1656" s="68">
        <v>3.37</v>
      </c>
      <c r="G1656" s="67">
        <f t="shared" si="53"/>
        <v>14.21</v>
      </c>
      <c r="H1656" s="930"/>
    </row>
    <row r="1657" spans="1:8" ht="18" customHeight="1">
      <c r="A1657" s="75"/>
      <c r="B1657" s="63" t="s">
        <v>1916</v>
      </c>
      <c r="C1657" s="568">
        <v>1</v>
      </c>
      <c r="D1657" s="68">
        <f>3.25-0.1+0.1</f>
        <v>3.25</v>
      </c>
      <c r="E1657" s="68"/>
      <c r="F1657" s="68">
        <v>3.5</v>
      </c>
      <c r="G1657" s="67">
        <f t="shared" si="53"/>
        <v>11.38</v>
      </c>
      <c r="H1657" s="930"/>
    </row>
    <row r="1658" spans="1:8" ht="18" customHeight="1">
      <c r="A1658" s="75"/>
      <c r="B1658" s="63" t="s">
        <v>1917</v>
      </c>
      <c r="C1658" s="568">
        <v>1</v>
      </c>
      <c r="D1658" s="68">
        <v>4.22</v>
      </c>
      <c r="E1658" s="68"/>
      <c r="F1658" s="68">
        <v>3.37</v>
      </c>
      <c r="G1658" s="67">
        <f t="shared" si="53"/>
        <v>14.22</v>
      </c>
      <c r="H1658" s="930"/>
    </row>
    <row r="1659" spans="1:8" ht="18" customHeight="1">
      <c r="A1659" s="75"/>
      <c r="B1659" s="63" t="s">
        <v>1918</v>
      </c>
      <c r="C1659" s="568">
        <v>1</v>
      </c>
      <c r="D1659" s="68">
        <v>2.91</v>
      </c>
      <c r="E1659" s="68"/>
      <c r="F1659" s="68">
        <v>3.37</v>
      </c>
      <c r="G1659" s="67">
        <f t="shared" si="53"/>
        <v>9.81</v>
      </c>
      <c r="H1659" s="930"/>
    </row>
    <row r="1660" spans="1:8" ht="18" customHeight="1">
      <c r="A1660" s="75"/>
      <c r="B1660" s="63" t="s">
        <v>1919</v>
      </c>
      <c r="C1660" s="568">
        <v>1</v>
      </c>
      <c r="D1660" s="68">
        <v>3.3</v>
      </c>
      <c r="E1660" s="68"/>
      <c r="F1660" s="68">
        <v>3.37</v>
      </c>
      <c r="G1660" s="67">
        <f t="shared" si="53"/>
        <v>11.12</v>
      </c>
      <c r="H1660" s="930"/>
    </row>
    <row r="1661" spans="1:8" ht="18" customHeight="1">
      <c r="A1661" s="75"/>
      <c r="B1661" s="63"/>
      <c r="C1661" s="70">
        <v>2</v>
      </c>
      <c r="D1661" s="68">
        <v>1.5</v>
      </c>
      <c r="E1661" s="68"/>
      <c r="F1661" s="68">
        <v>3.37</v>
      </c>
      <c r="G1661" s="67">
        <f t="shared" si="53"/>
        <v>10.11</v>
      </c>
      <c r="H1661" s="930"/>
    </row>
    <row r="1662" spans="1:8" ht="18" customHeight="1">
      <c r="A1662" s="75"/>
      <c r="B1662" s="63" t="s">
        <v>950</v>
      </c>
      <c r="C1662" s="70">
        <v>1</v>
      </c>
      <c r="D1662" s="68">
        <v>3.1</v>
      </c>
      <c r="E1662" s="68"/>
      <c r="F1662" s="68">
        <v>4.5</v>
      </c>
      <c r="G1662" s="67">
        <f t="shared" si="53"/>
        <v>13.95</v>
      </c>
      <c r="H1662" s="930"/>
    </row>
    <row r="1663" spans="1:8" ht="18" customHeight="1">
      <c r="A1663" s="75"/>
      <c r="B1663" s="63" t="s">
        <v>951</v>
      </c>
      <c r="C1663" s="70">
        <v>-0.5</v>
      </c>
      <c r="D1663" s="68">
        <v>1</v>
      </c>
      <c r="E1663" s="68"/>
      <c r="F1663" s="68">
        <v>1.8</v>
      </c>
      <c r="G1663" s="67">
        <f t="shared" si="53"/>
        <v>-0.9</v>
      </c>
      <c r="H1663" s="930"/>
    </row>
    <row r="1664" spans="1:8" ht="18" customHeight="1">
      <c r="A1664" s="75"/>
      <c r="B1664" s="63" t="s">
        <v>2032</v>
      </c>
      <c r="C1664" s="70">
        <v>1</v>
      </c>
      <c r="D1664" s="68">
        <v>2.298</v>
      </c>
      <c r="E1664" s="68"/>
      <c r="F1664" s="68">
        <v>3.2</v>
      </c>
      <c r="G1664" s="67">
        <f t="shared" si="53"/>
        <v>7.35</v>
      </c>
      <c r="H1664" s="930"/>
    </row>
    <row r="1665" spans="1:8" ht="18" customHeight="1">
      <c r="A1665" s="75"/>
      <c r="B1665" s="63" t="s">
        <v>2014</v>
      </c>
      <c r="C1665" s="70">
        <v>2</v>
      </c>
      <c r="D1665" s="68">
        <v>4.5999999999999996</v>
      </c>
      <c r="E1665" s="68"/>
      <c r="F1665" s="68">
        <v>3.2</v>
      </c>
      <c r="G1665" s="67">
        <f t="shared" si="53"/>
        <v>29.44</v>
      </c>
      <c r="H1665" s="930"/>
    </row>
    <row r="1666" spans="1:8" ht="18" customHeight="1">
      <c r="A1666" s="75"/>
      <c r="B1666" s="63" t="s">
        <v>954</v>
      </c>
      <c r="C1666" s="70"/>
      <c r="D1666" s="68"/>
      <c r="E1666" s="68"/>
      <c r="F1666" s="68"/>
      <c r="G1666" s="67" t="str">
        <f t="shared" si="53"/>
        <v xml:space="preserve"> </v>
      </c>
      <c r="H1666" s="930"/>
    </row>
    <row r="1667" spans="1:8" ht="18" customHeight="1">
      <c r="A1667" s="75"/>
      <c r="B1667" s="63" t="s">
        <v>955</v>
      </c>
      <c r="C1667" s="70">
        <v>2</v>
      </c>
      <c r="D1667" s="68">
        <f>3.175-0.2</f>
        <v>2.9749999999999996</v>
      </c>
      <c r="E1667" s="68"/>
      <c r="F1667" s="68">
        <v>3.37</v>
      </c>
      <c r="G1667" s="67">
        <f t="shared" si="53"/>
        <v>20.05</v>
      </c>
      <c r="H1667" s="930"/>
    </row>
    <row r="1668" spans="1:8" ht="18" customHeight="1">
      <c r="A1668" s="75"/>
      <c r="B1668" s="63" t="s">
        <v>953</v>
      </c>
      <c r="C1668" s="70">
        <v>-1</v>
      </c>
      <c r="D1668" s="68">
        <v>1.2</v>
      </c>
      <c r="E1668" s="68"/>
      <c r="F1668" s="68">
        <v>2.1</v>
      </c>
      <c r="G1668" s="67">
        <f t="shared" si="53"/>
        <v>-2.52</v>
      </c>
      <c r="H1668" s="930"/>
    </row>
    <row r="1669" spans="1:8" ht="18" customHeight="1">
      <c r="A1669" s="75"/>
      <c r="B1669" s="63" t="s">
        <v>956</v>
      </c>
      <c r="C1669" s="70">
        <v>-1</v>
      </c>
      <c r="D1669" s="68">
        <v>0.9</v>
      </c>
      <c r="E1669" s="68"/>
      <c r="F1669" s="68">
        <v>2</v>
      </c>
      <c r="G1669" s="67">
        <f t="shared" si="53"/>
        <v>-1.8</v>
      </c>
      <c r="H1669" s="930"/>
    </row>
    <row r="1670" spans="1:8" ht="18" customHeight="1">
      <c r="A1670" s="75"/>
      <c r="B1670" s="63" t="s">
        <v>957</v>
      </c>
      <c r="C1670" s="70">
        <v>2</v>
      </c>
      <c r="D1670" s="567">
        <v>1.1000000000000001</v>
      </c>
      <c r="E1670" s="68"/>
      <c r="F1670" s="68">
        <v>3.37</v>
      </c>
      <c r="G1670" s="67">
        <f t="shared" si="53"/>
        <v>7.41</v>
      </c>
      <c r="H1670" s="930"/>
    </row>
    <row r="1671" spans="1:8" ht="18" customHeight="1">
      <c r="A1671" s="75"/>
      <c r="B1671" s="63"/>
      <c r="C1671" s="70">
        <v>2</v>
      </c>
      <c r="D1671" s="567">
        <v>1.603</v>
      </c>
      <c r="E1671" s="68"/>
      <c r="F1671" s="68">
        <v>3.37</v>
      </c>
      <c r="G1671" s="67">
        <f t="shared" si="53"/>
        <v>10.8</v>
      </c>
      <c r="H1671" s="930"/>
    </row>
    <row r="1672" spans="1:8" ht="18" customHeight="1">
      <c r="A1672" s="75"/>
      <c r="B1672" s="64" t="s">
        <v>1106</v>
      </c>
      <c r="C1672" s="70"/>
      <c r="D1672" s="68"/>
      <c r="E1672" s="68"/>
      <c r="F1672" s="68"/>
      <c r="G1672" s="67" t="str">
        <f t="shared" si="53"/>
        <v xml:space="preserve"> </v>
      </c>
      <c r="H1672" s="930"/>
    </row>
    <row r="1673" spans="1:8" ht="18" customHeight="1">
      <c r="A1673" s="75"/>
      <c r="B1673" s="669" t="s">
        <v>1968</v>
      </c>
      <c r="C1673" s="70">
        <v>1</v>
      </c>
      <c r="D1673" s="567">
        <v>10.275</v>
      </c>
      <c r="E1673" s="68"/>
      <c r="F1673" s="68">
        <v>4.5</v>
      </c>
      <c r="G1673" s="67">
        <f t="shared" si="53"/>
        <v>46.24</v>
      </c>
      <c r="H1673" s="930"/>
    </row>
    <row r="1674" spans="1:8" ht="18" customHeight="1">
      <c r="A1674" s="75"/>
      <c r="B1674" s="406" t="s">
        <v>941</v>
      </c>
      <c r="C1674" s="70">
        <v>-1.5</v>
      </c>
      <c r="D1674" s="68">
        <v>1</v>
      </c>
      <c r="E1674" s="68"/>
      <c r="F1674" s="68">
        <v>1.8</v>
      </c>
      <c r="G1674" s="67">
        <f t="shared" si="53"/>
        <v>-2.7</v>
      </c>
      <c r="H1674" s="930"/>
    </row>
    <row r="1675" spans="1:8" ht="18" customHeight="1">
      <c r="A1675" s="75"/>
      <c r="B1675" s="406" t="s">
        <v>1050</v>
      </c>
      <c r="C1675" s="70">
        <v>1</v>
      </c>
      <c r="D1675" s="567">
        <v>13.4</v>
      </c>
      <c r="E1675" s="68"/>
      <c r="F1675" s="68">
        <v>3.2</v>
      </c>
      <c r="G1675" s="67">
        <f t="shared" si="53"/>
        <v>42.88</v>
      </c>
      <c r="H1675" s="930"/>
    </row>
    <row r="1676" spans="1:8" ht="18" customHeight="1">
      <c r="A1676" s="75"/>
      <c r="B1676" s="406" t="s">
        <v>1093</v>
      </c>
      <c r="C1676" s="70">
        <v>-1.5</v>
      </c>
      <c r="D1676" s="68">
        <v>1</v>
      </c>
      <c r="E1676" s="68"/>
      <c r="F1676" s="68">
        <v>1.8</v>
      </c>
      <c r="G1676" s="67">
        <f t="shared" si="53"/>
        <v>-2.7</v>
      </c>
      <c r="H1676" s="930"/>
    </row>
    <row r="1677" spans="1:8" ht="18" customHeight="1">
      <c r="A1677" s="75"/>
      <c r="B1677" s="406" t="s">
        <v>1094</v>
      </c>
      <c r="C1677" s="70">
        <v>-1</v>
      </c>
      <c r="D1677" s="68">
        <v>1.85</v>
      </c>
      <c r="E1677" s="68"/>
      <c r="F1677" s="68">
        <v>2.4</v>
      </c>
      <c r="G1677" s="67">
        <f t="shared" si="53"/>
        <v>-4.4400000000000004</v>
      </c>
      <c r="H1677" s="930"/>
    </row>
    <row r="1678" spans="1:8" ht="18" customHeight="1">
      <c r="A1678" s="75"/>
      <c r="B1678" s="63" t="s">
        <v>1969</v>
      </c>
      <c r="C1678" s="70">
        <v>2</v>
      </c>
      <c r="D1678" s="68">
        <f>1.425+3.175+0.275-0.2</f>
        <v>4.6749999999999998</v>
      </c>
      <c r="E1678" s="68"/>
      <c r="F1678" s="68">
        <v>3.37</v>
      </c>
      <c r="G1678" s="67">
        <f t="shared" si="53"/>
        <v>31.51</v>
      </c>
      <c r="H1678" s="930"/>
    </row>
    <row r="1679" spans="1:8" ht="18" customHeight="1">
      <c r="A1679" s="75"/>
      <c r="B1679" s="409" t="s">
        <v>2008</v>
      </c>
      <c r="C1679" s="70">
        <v>2</v>
      </c>
      <c r="D1679" s="68">
        <f>1.875+2.725+0.275-0.2</f>
        <v>4.6749999999999998</v>
      </c>
      <c r="E1679" s="68"/>
      <c r="F1679" s="68">
        <v>3.37</v>
      </c>
      <c r="G1679" s="67">
        <f t="shared" si="53"/>
        <v>31.51</v>
      </c>
      <c r="H1679" s="930"/>
    </row>
    <row r="1680" spans="1:8" ht="18" customHeight="1">
      <c r="A1680" s="75"/>
      <c r="B1680" s="411" t="s">
        <v>1095</v>
      </c>
      <c r="C1680" s="70"/>
      <c r="D1680" s="68"/>
      <c r="E1680" s="68"/>
      <c r="F1680" s="68"/>
      <c r="G1680" s="67" t="str">
        <f t="shared" si="53"/>
        <v xml:space="preserve"> </v>
      </c>
      <c r="H1680" s="930"/>
    </row>
    <row r="1681" spans="1:8" ht="18" customHeight="1">
      <c r="A1681" s="75"/>
      <c r="B1681" s="409" t="s">
        <v>1056</v>
      </c>
      <c r="C1681" s="70">
        <v>1</v>
      </c>
      <c r="D1681" s="567">
        <v>12.7</v>
      </c>
      <c r="E1681" s="68"/>
      <c r="F1681" s="68">
        <v>4.5</v>
      </c>
      <c r="G1681" s="67">
        <f t="shared" si="53"/>
        <v>57.15</v>
      </c>
      <c r="H1681" s="930"/>
    </row>
    <row r="1682" spans="1:8" ht="18" customHeight="1">
      <c r="A1682" s="75"/>
      <c r="B1682" s="409" t="s">
        <v>1051</v>
      </c>
      <c r="C1682" s="70">
        <v>-2</v>
      </c>
      <c r="D1682" s="68">
        <v>1</v>
      </c>
      <c r="E1682" s="68"/>
      <c r="F1682" s="68">
        <v>1.8</v>
      </c>
      <c r="G1682" s="67">
        <f t="shared" si="53"/>
        <v>-3.6</v>
      </c>
      <c r="H1682" s="930"/>
    </row>
    <row r="1683" spans="1:8" ht="18" customHeight="1">
      <c r="A1683" s="75"/>
      <c r="B1683" s="63" t="s">
        <v>1057</v>
      </c>
      <c r="C1683" s="70">
        <v>1</v>
      </c>
      <c r="D1683" s="567">
        <v>12.7</v>
      </c>
      <c r="E1683" s="68"/>
      <c r="F1683" s="68">
        <v>3.2</v>
      </c>
      <c r="G1683" s="67">
        <f t="shared" ref="G1683:G1746" si="54">IF(C1683&lt;&gt;0,ROUND(PRODUCT(D1683:F1683)*C1683,2)," ")</f>
        <v>40.64</v>
      </c>
      <c r="H1683" s="930"/>
    </row>
    <row r="1684" spans="1:8" ht="18" customHeight="1">
      <c r="A1684" s="75"/>
      <c r="B1684" s="63" t="s">
        <v>1051</v>
      </c>
      <c r="C1684" s="70">
        <v>-2</v>
      </c>
      <c r="D1684" s="68">
        <v>1</v>
      </c>
      <c r="E1684" s="68"/>
      <c r="F1684" s="68">
        <v>1.8</v>
      </c>
      <c r="G1684" s="67">
        <f t="shared" si="54"/>
        <v>-3.6</v>
      </c>
      <c r="H1684" s="930"/>
    </row>
    <row r="1685" spans="1:8" ht="18" customHeight="1">
      <c r="A1685" s="75"/>
      <c r="B1685" s="63" t="s">
        <v>2029</v>
      </c>
      <c r="C1685" s="70">
        <v>1</v>
      </c>
      <c r="D1685" s="68">
        <v>2.0249999999999999</v>
      </c>
      <c r="E1685" s="68"/>
      <c r="F1685" s="68">
        <v>3.2</v>
      </c>
      <c r="G1685" s="67">
        <f t="shared" si="54"/>
        <v>6.48</v>
      </c>
      <c r="H1685" s="930"/>
    </row>
    <row r="1686" spans="1:8" ht="18" customHeight="1">
      <c r="A1686" s="75"/>
      <c r="B1686" s="63" t="s">
        <v>2017</v>
      </c>
      <c r="C1686" s="70">
        <v>2</v>
      </c>
      <c r="D1686" s="68">
        <v>4.5999999999999996</v>
      </c>
      <c r="E1686" s="68"/>
      <c r="F1686" s="68">
        <v>3.2</v>
      </c>
      <c r="G1686" s="67">
        <f t="shared" si="54"/>
        <v>29.44</v>
      </c>
      <c r="H1686" s="930"/>
    </row>
    <row r="1687" spans="1:8" ht="18" customHeight="1">
      <c r="A1687" s="75"/>
      <c r="B1687" s="63" t="s">
        <v>2018</v>
      </c>
      <c r="C1687" s="70">
        <v>2</v>
      </c>
      <c r="D1687" s="68">
        <f>1.525+3.075</f>
        <v>4.5999999999999996</v>
      </c>
      <c r="E1687" s="68"/>
      <c r="F1687" s="68">
        <v>3.2</v>
      </c>
      <c r="G1687" s="67">
        <f t="shared" si="54"/>
        <v>29.44</v>
      </c>
      <c r="H1687" s="930"/>
    </row>
    <row r="1688" spans="1:8" ht="18" customHeight="1">
      <c r="A1688" s="75"/>
      <c r="B1688" s="63" t="s">
        <v>2019</v>
      </c>
      <c r="C1688" s="70">
        <v>1</v>
      </c>
      <c r="D1688" s="68">
        <v>1.6</v>
      </c>
      <c r="E1688" s="68"/>
      <c r="F1688" s="68">
        <v>3.2</v>
      </c>
      <c r="G1688" s="67">
        <f t="shared" si="54"/>
        <v>5.12</v>
      </c>
      <c r="H1688" s="930"/>
    </row>
    <row r="1689" spans="1:8" ht="18" customHeight="1">
      <c r="A1689" s="75"/>
      <c r="B1689" s="64" t="s">
        <v>1097</v>
      </c>
      <c r="C1689" s="70"/>
      <c r="D1689" s="68"/>
      <c r="E1689" s="68"/>
      <c r="F1689" s="68"/>
      <c r="G1689" s="67" t="str">
        <f t="shared" si="54"/>
        <v xml:space="preserve"> </v>
      </c>
      <c r="H1689" s="930"/>
    </row>
    <row r="1690" spans="1:8" ht="18" customHeight="1">
      <c r="A1690" s="75"/>
      <c r="B1690" s="63" t="s">
        <v>1063</v>
      </c>
      <c r="C1690" s="70">
        <v>1</v>
      </c>
      <c r="D1690" s="567">
        <v>18.273</v>
      </c>
      <c r="E1690" s="68"/>
      <c r="F1690" s="68">
        <v>3.2</v>
      </c>
      <c r="G1690" s="67">
        <f t="shared" si="54"/>
        <v>58.47</v>
      </c>
      <c r="H1690" s="930"/>
    </row>
    <row r="1691" spans="1:8" ht="18" customHeight="1">
      <c r="A1691" s="75"/>
      <c r="B1691" s="63" t="s">
        <v>1065</v>
      </c>
      <c r="C1691" s="70">
        <v>-1.5</v>
      </c>
      <c r="D1691" s="68">
        <v>1</v>
      </c>
      <c r="E1691" s="68"/>
      <c r="F1691" s="68">
        <v>1.8</v>
      </c>
      <c r="G1691" s="67">
        <f t="shared" si="54"/>
        <v>-2.7</v>
      </c>
      <c r="H1691" s="930"/>
    </row>
    <row r="1692" spans="1:8" ht="18" customHeight="1">
      <c r="A1692" s="75"/>
      <c r="B1692" s="63" t="s">
        <v>1098</v>
      </c>
      <c r="C1692" s="70">
        <v>-1</v>
      </c>
      <c r="D1692" s="68">
        <v>1.85</v>
      </c>
      <c r="E1692" s="68"/>
      <c r="F1692" s="68">
        <v>2.4</v>
      </c>
      <c r="G1692" s="67">
        <f t="shared" si="54"/>
        <v>-4.4400000000000004</v>
      </c>
      <c r="H1692" s="930"/>
    </row>
    <row r="1693" spans="1:8" ht="18" customHeight="1">
      <c r="A1693" s="75"/>
      <c r="B1693" s="63" t="s">
        <v>1069</v>
      </c>
      <c r="C1693" s="70">
        <v>-1</v>
      </c>
      <c r="D1693" s="68">
        <v>1.8</v>
      </c>
      <c r="E1693" s="68"/>
      <c r="F1693" s="68">
        <v>2.1</v>
      </c>
      <c r="G1693" s="67">
        <f t="shared" si="54"/>
        <v>-3.78</v>
      </c>
      <c r="H1693" s="930"/>
    </row>
    <row r="1694" spans="1:8" ht="18" customHeight="1">
      <c r="A1694" s="75"/>
      <c r="B1694" s="63" t="s">
        <v>1107</v>
      </c>
      <c r="C1694" s="70">
        <v>2</v>
      </c>
      <c r="D1694" s="68">
        <f>12.5+0.4</f>
        <v>12.9</v>
      </c>
      <c r="E1694" s="68"/>
      <c r="F1694" s="68">
        <v>3.5</v>
      </c>
      <c r="G1694" s="67">
        <f t="shared" si="54"/>
        <v>90.3</v>
      </c>
      <c r="H1694" s="930"/>
    </row>
    <row r="1695" spans="1:8" ht="18" customHeight="1">
      <c r="A1695" s="75"/>
      <c r="B1695" s="63" t="s">
        <v>1092</v>
      </c>
      <c r="C1695" s="70">
        <v>-2</v>
      </c>
      <c r="D1695" s="68">
        <v>1.85</v>
      </c>
      <c r="E1695" s="68"/>
      <c r="F1695" s="68">
        <v>2.4</v>
      </c>
      <c r="G1695" s="67">
        <f t="shared" si="54"/>
        <v>-8.8800000000000008</v>
      </c>
      <c r="H1695" s="930"/>
    </row>
    <row r="1696" spans="1:8" ht="18" customHeight="1">
      <c r="A1696" s="75"/>
      <c r="B1696" s="63" t="s">
        <v>1069</v>
      </c>
      <c r="C1696" s="70">
        <v>-1</v>
      </c>
      <c r="D1696" s="68">
        <v>1.8</v>
      </c>
      <c r="E1696" s="68"/>
      <c r="F1696" s="68">
        <v>2.1</v>
      </c>
      <c r="G1696" s="67">
        <f t="shared" si="54"/>
        <v>-3.78</v>
      </c>
      <c r="H1696" s="930"/>
    </row>
    <row r="1697" spans="1:8" ht="18" customHeight="1">
      <c r="A1697" s="75"/>
      <c r="B1697" s="63" t="s">
        <v>2009</v>
      </c>
      <c r="C1697" s="70">
        <v>1</v>
      </c>
      <c r="D1697" s="68">
        <f>12.5</f>
        <v>12.5</v>
      </c>
      <c r="E1697" s="68"/>
      <c r="F1697" s="68">
        <v>1.1000000000000001</v>
      </c>
      <c r="G1697" s="67">
        <f t="shared" si="54"/>
        <v>13.75</v>
      </c>
      <c r="H1697" s="930"/>
    </row>
    <row r="1698" spans="1:8" ht="18" customHeight="1">
      <c r="A1698" s="75"/>
      <c r="B1698" s="63" t="s">
        <v>1976</v>
      </c>
      <c r="C1698" s="70">
        <v>2</v>
      </c>
      <c r="D1698" s="68">
        <f>1.425+3.175-0.38</f>
        <v>4.22</v>
      </c>
      <c r="E1698" s="68"/>
      <c r="F1698" s="68">
        <v>3.37</v>
      </c>
      <c r="G1698" s="67">
        <f t="shared" si="54"/>
        <v>28.44</v>
      </c>
      <c r="H1698" s="930"/>
    </row>
    <row r="1699" spans="1:8" ht="18" customHeight="1">
      <c r="A1699" s="75"/>
      <c r="B1699" s="63" t="s">
        <v>1605</v>
      </c>
      <c r="C1699" s="70">
        <v>2</v>
      </c>
      <c r="D1699" s="68">
        <f>2.725+1.875-0.38</f>
        <v>4.22</v>
      </c>
      <c r="E1699" s="68"/>
      <c r="F1699" s="68">
        <v>3.37</v>
      </c>
      <c r="G1699" s="67">
        <f t="shared" si="54"/>
        <v>28.44</v>
      </c>
      <c r="H1699" s="930"/>
    </row>
    <row r="1700" spans="1:8" ht="18" customHeight="1">
      <c r="A1700" s="75"/>
      <c r="B1700" s="64" t="s">
        <v>1076</v>
      </c>
      <c r="C1700" s="70"/>
      <c r="D1700" s="68"/>
      <c r="E1700" s="68"/>
      <c r="F1700" s="68"/>
      <c r="G1700" s="67" t="str">
        <f t="shared" si="54"/>
        <v xml:space="preserve"> </v>
      </c>
      <c r="H1700" s="930"/>
    </row>
    <row r="1701" spans="1:8" ht="18" customHeight="1">
      <c r="A1701" s="75"/>
      <c r="B1701" s="63" t="s">
        <v>2059</v>
      </c>
      <c r="C1701" s="70">
        <v>1</v>
      </c>
      <c r="D1701" s="68">
        <v>2.0249999999999999</v>
      </c>
      <c r="E1701" s="68"/>
      <c r="F1701" s="68">
        <v>3.2</v>
      </c>
      <c r="G1701" s="67">
        <f t="shared" si="54"/>
        <v>6.48</v>
      </c>
      <c r="H1701" s="930"/>
    </row>
    <row r="1702" spans="1:8" ht="18" customHeight="1">
      <c r="A1702" s="75"/>
      <c r="B1702" s="63" t="s">
        <v>2030</v>
      </c>
      <c r="C1702" s="70">
        <v>2</v>
      </c>
      <c r="D1702" s="68">
        <v>4.5999999999999996</v>
      </c>
      <c r="E1702" s="68"/>
      <c r="F1702" s="68">
        <v>3.2</v>
      </c>
      <c r="G1702" s="67">
        <f t="shared" si="54"/>
        <v>29.44</v>
      </c>
      <c r="H1702" s="930"/>
    </row>
    <row r="1703" spans="1:8" ht="18" customHeight="1">
      <c r="A1703" s="75"/>
      <c r="B1703" s="63" t="s">
        <v>2021</v>
      </c>
      <c r="C1703" s="70">
        <v>2</v>
      </c>
      <c r="D1703" s="68">
        <f>1.525+3.075</f>
        <v>4.5999999999999996</v>
      </c>
      <c r="E1703" s="68"/>
      <c r="F1703" s="68">
        <v>3.2</v>
      </c>
      <c r="G1703" s="67">
        <f t="shared" si="54"/>
        <v>29.44</v>
      </c>
      <c r="H1703" s="930"/>
    </row>
    <row r="1704" spans="1:8" ht="18" customHeight="1">
      <c r="A1704" s="75"/>
      <c r="B1704" s="63" t="s">
        <v>2058</v>
      </c>
      <c r="C1704" s="70">
        <v>1</v>
      </c>
      <c r="D1704" s="68">
        <v>1.6</v>
      </c>
      <c r="E1704" s="68"/>
      <c r="F1704" s="68">
        <v>3.2</v>
      </c>
      <c r="G1704" s="67">
        <f t="shared" si="54"/>
        <v>5.12</v>
      </c>
      <c r="H1704" s="930"/>
    </row>
    <row r="1705" spans="1:8" ht="18" customHeight="1">
      <c r="A1705" s="75"/>
      <c r="B1705" s="63" t="s">
        <v>1982</v>
      </c>
      <c r="C1705" s="70">
        <v>2</v>
      </c>
      <c r="D1705" s="68">
        <f>1.525+3.075+0.275-0.2+0.275</f>
        <v>4.95</v>
      </c>
      <c r="E1705" s="68"/>
      <c r="F1705" s="68">
        <v>3.37</v>
      </c>
      <c r="G1705" s="67">
        <f t="shared" si="54"/>
        <v>33.36</v>
      </c>
      <c r="H1705" s="930"/>
    </row>
    <row r="1706" spans="1:8" ht="18" customHeight="1">
      <c r="A1706" s="75"/>
      <c r="B1706" s="63" t="s">
        <v>1077</v>
      </c>
      <c r="C1706" s="70">
        <v>2</v>
      </c>
      <c r="D1706" s="68">
        <f>0.8+0.275+0.2</f>
        <v>1.2750000000000001</v>
      </c>
      <c r="E1706" s="68"/>
      <c r="F1706" s="68">
        <v>3.2</v>
      </c>
      <c r="G1706" s="67">
        <f t="shared" si="54"/>
        <v>8.16</v>
      </c>
      <c r="H1706" s="930"/>
    </row>
    <row r="1707" spans="1:8" ht="18" customHeight="1">
      <c r="A1707" s="75"/>
      <c r="B1707" s="63" t="s">
        <v>1100</v>
      </c>
      <c r="C1707" s="70">
        <v>1</v>
      </c>
      <c r="D1707" s="68">
        <f>6.3</f>
        <v>6.3</v>
      </c>
      <c r="E1707" s="68"/>
      <c r="F1707" s="68">
        <v>3.2</v>
      </c>
      <c r="G1707" s="67">
        <f t="shared" si="54"/>
        <v>20.16</v>
      </c>
      <c r="H1707" s="930"/>
    </row>
    <row r="1708" spans="1:8" ht="18" customHeight="1">
      <c r="A1708" s="75"/>
      <c r="B1708" s="63" t="s">
        <v>1101</v>
      </c>
      <c r="C1708" s="70">
        <v>-1</v>
      </c>
      <c r="D1708" s="68">
        <v>4.9000000000000004</v>
      </c>
      <c r="E1708" s="68"/>
      <c r="F1708" s="68">
        <v>1.8</v>
      </c>
      <c r="G1708" s="67">
        <f t="shared" si="54"/>
        <v>-8.82</v>
      </c>
      <c r="H1708" s="930"/>
    </row>
    <row r="1709" spans="1:8" ht="18" customHeight="1">
      <c r="A1709" s="75"/>
      <c r="B1709" s="63" t="s">
        <v>1081</v>
      </c>
      <c r="C1709" s="70">
        <v>1</v>
      </c>
      <c r="D1709" s="567">
        <v>12.75</v>
      </c>
      <c r="E1709" s="68"/>
      <c r="F1709" s="68">
        <v>4.5</v>
      </c>
      <c r="G1709" s="67">
        <f t="shared" si="54"/>
        <v>57.38</v>
      </c>
      <c r="H1709" s="930"/>
    </row>
    <row r="1710" spans="1:8" ht="18" customHeight="1">
      <c r="A1710" s="75"/>
      <c r="B1710" s="63" t="s">
        <v>1051</v>
      </c>
      <c r="C1710" s="70">
        <v>-2</v>
      </c>
      <c r="D1710" s="68">
        <v>1</v>
      </c>
      <c r="E1710" s="68"/>
      <c r="F1710" s="68">
        <v>1.8</v>
      </c>
      <c r="G1710" s="67">
        <f t="shared" si="54"/>
        <v>-3.6</v>
      </c>
      <c r="H1710" s="930"/>
    </row>
    <row r="1711" spans="1:8" ht="18" customHeight="1">
      <c r="A1711" s="75"/>
      <c r="B1711" s="63" t="s">
        <v>1082</v>
      </c>
      <c r="C1711" s="70">
        <v>1</v>
      </c>
      <c r="D1711" s="567">
        <v>12.75</v>
      </c>
      <c r="E1711" s="68"/>
      <c r="F1711" s="68">
        <v>3.2</v>
      </c>
      <c r="G1711" s="67">
        <f t="shared" si="54"/>
        <v>40.799999999999997</v>
      </c>
      <c r="H1711" s="930"/>
    </row>
    <row r="1712" spans="1:8" ht="18" customHeight="1">
      <c r="A1712" s="75"/>
      <c r="B1712" s="63" t="s">
        <v>1051</v>
      </c>
      <c r="C1712" s="70">
        <v>-1.5</v>
      </c>
      <c r="D1712" s="68">
        <v>1</v>
      </c>
      <c r="E1712" s="68"/>
      <c r="F1712" s="68">
        <v>1.8</v>
      </c>
      <c r="G1712" s="67">
        <f t="shared" si="54"/>
        <v>-2.7</v>
      </c>
      <c r="H1712" s="930"/>
    </row>
    <row r="1713" spans="1:8" ht="18" customHeight="1">
      <c r="A1713" s="75"/>
      <c r="B1713" s="63" t="s">
        <v>1083</v>
      </c>
      <c r="C1713" s="70">
        <v>-0.5</v>
      </c>
      <c r="D1713" s="68">
        <v>1</v>
      </c>
      <c r="E1713" s="68"/>
      <c r="F1713" s="68">
        <v>1.8</v>
      </c>
      <c r="G1713" s="67">
        <f t="shared" si="54"/>
        <v>-0.9</v>
      </c>
      <c r="H1713" s="930"/>
    </row>
    <row r="1714" spans="1:8" ht="18" customHeight="1">
      <c r="A1714" s="75"/>
      <c r="B1714" s="64" t="s">
        <v>1102</v>
      </c>
      <c r="C1714" s="70"/>
      <c r="D1714" s="68"/>
      <c r="E1714" s="68"/>
      <c r="F1714" s="68"/>
      <c r="G1714" s="67" t="str">
        <f t="shared" si="54"/>
        <v xml:space="preserve"> </v>
      </c>
      <c r="H1714" s="930"/>
    </row>
    <row r="1715" spans="1:8" ht="18" customHeight="1">
      <c r="A1715" s="75"/>
      <c r="B1715" s="607" t="s">
        <v>2060</v>
      </c>
      <c r="C1715" s="70"/>
      <c r="D1715" s="68"/>
      <c r="E1715" s="68"/>
      <c r="F1715" s="68"/>
      <c r="G1715" s="67" t="str">
        <f t="shared" si="54"/>
        <v xml:space="preserve"> </v>
      </c>
      <c r="H1715" s="930"/>
    </row>
    <row r="1716" spans="1:8" ht="18" customHeight="1">
      <c r="A1716" s="75"/>
      <c r="B1716" s="406" t="s">
        <v>940</v>
      </c>
      <c r="C1716" s="70">
        <v>1</v>
      </c>
      <c r="D1716" s="68">
        <v>3.194</v>
      </c>
      <c r="E1716" s="68"/>
      <c r="F1716" s="68">
        <v>4.5</v>
      </c>
      <c r="G1716" s="67">
        <f t="shared" si="54"/>
        <v>14.37</v>
      </c>
      <c r="H1716" s="930"/>
    </row>
    <row r="1717" spans="1:8" ht="18" customHeight="1">
      <c r="A1717" s="75"/>
      <c r="B1717" s="406" t="s">
        <v>941</v>
      </c>
      <c r="C1717" s="70">
        <v>-0.5</v>
      </c>
      <c r="D1717" s="68">
        <v>1</v>
      </c>
      <c r="E1717" s="68"/>
      <c r="F1717" s="68">
        <v>1.8</v>
      </c>
      <c r="G1717" s="67">
        <f t="shared" si="54"/>
        <v>-0.9</v>
      </c>
      <c r="H1717" s="930"/>
    </row>
    <row r="1718" spans="1:8" ht="18" customHeight="1">
      <c r="A1718" s="75"/>
      <c r="B1718" s="406" t="s">
        <v>1596</v>
      </c>
      <c r="C1718" s="70">
        <v>1</v>
      </c>
      <c r="D1718" s="68">
        <v>4.4089999999999998</v>
      </c>
      <c r="E1718" s="68"/>
      <c r="F1718" s="68">
        <v>4.5</v>
      </c>
      <c r="G1718" s="67">
        <f t="shared" si="54"/>
        <v>19.84</v>
      </c>
      <c r="H1718" s="930"/>
    </row>
    <row r="1719" spans="1:8" ht="18" customHeight="1">
      <c r="A1719" s="75"/>
      <c r="B1719" s="63" t="s">
        <v>942</v>
      </c>
      <c r="C1719" s="70">
        <v>1</v>
      </c>
      <c r="D1719" s="68">
        <f>6.45+6.4+6.4+3.25+0.1-0.1</f>
        <v>22.5</v>
      </c>
      <c r="E1719" s="68"/>
      <c r="F1719" s="68">
        <v>4.5</v>
      </c>
      <c r="G1719" s="67">
        <f t="shared" si="54"/>
        <v>101.25</v>
      </c>
      <c r="H1719" s="930"/>
    </row>
    <row r="1720" spans="1:8" ht="18" customHeight="1">
      <c r="A1720" s="75"/>
      <c r="B1720" s="409" t="s">
        <v>943</v>
      </c>
      <c r="C1720" s="70">
        <v>-3.5</v>
      </c>
      <c r="D1720" s="68">
        <v>1</v>
      </c>
      <c r="E1720" s="68"/>
      <c r="F1720" s="68">
        <v>1.8</v>
      </c>
      <c r="G1720" s="67">
        <f t="shared" si="54"/>
        <v>-6.3</v>
      </c>
      <c r="H1720" s="930"/>
    </row>
    <row r="1721" spans="1:8" ht="18" customHeight="1">
      <c r="A1721" s="75"/>
      <c r="B1721" s="63" t="s">
        <v>1913</v>
      </c>
      <c r="C1721" s="70">
        <v>2</v>
      </c>
      <c r="D1721" s="68">
        <v>4.218</v>
      </c>
      <c r="E1721" s="68"/>
      <c r="F1721" s="68">
        <v>2.7</v>
      </c>
      <c r="G1721" s="67">
        <f t="shared" si="54"/>
        <v>22.78</v>
      </c>
      <c r="H1721" s="930"/>
    </row>
    <row r="1722" spans="1:8" ht="18" customHeight="1">
      <c r="A1722" s="75"/>
      <c r="B1722" s="63" t="s">
        <v>945</v>
      </c>
      <c r="C1722" s="70">
        <v>1</v>
      </c>
      <c r="D1722" s="68">
        <v>3.1840000000000002</v>
      </c>
      <c r="E1722" s="68"/>
      <c r="F1722" s="68">
        <v>3.2</v>
      </c>
      <c r="G1722" s="67">
        <f t="shared" si="54"/>
        <v>10.19</v>
      </c>
      <c r="H1722" s="930"/>
    </row>
    <row r="1723" spans="1:8" ht="18" customHeight="1">
      <c r="A1723" s="75"/>
      <c r="B1723" s="63" t="s">
        <v>946</v>
      </c>
      <c r="C1723" s="70">
        <v>-1</v>
      </c>
      <c r="D1723" s="68">
        <v>2.85</v>
      </c>
      <c r="E1723" s="68"/>
      <c r="F1723" s="68">
        <v>1.2</v>
      </c>
      <c r="G1723" s="67">
        <f t="shared" si="54"/>
        <v>-3.42</v>
      </c>
      <c r="H1723" s="930"/>
    </row>
    <row r="1724" spans="1:8" ht="18" customHeight="1">
      <c r="A1724" s="75"/>
      <c r="B1724" s="63" t="s">
        <v>947</v>
      </c>
      <c r="C1724" s="70">
        <v>1</v>
      </c>
      <c r="D1724" s="567">
        <v>12.573</v>
      </c>
      <c r="E1724" s="68"/>
      <c r="F1724" s="68">
        <v>3.2</v>
      </c>
      <c r="G1724" s="67">
        <f t="shared" si="54"/>
        <v>40.229999999999997</v>
      </c>
      <c r="H1724" s="930"/>
    </row>
    <row r="1725" spans="1:8" ht="18" customHeight="1">
      <c r="A1725" s="75"/>
      <c r="B1725" s="63" t="s">
        <v>948</v>
      </c>
      <c r="C1725" s="70">
        <v>-2</v>
      </c>
      <c r="D1725" s="68">
        <v>1</v>
      </c>
      <c r="E1725" s="68"/>
      <c r="F1725" s="68">
        <v>1.8</v>
      </c>
      <c r="G1725" s="67">
        <f t="shared" si="54"/>
        <v>-3.6</v>
      </c>
      <c r="H1725" s="930"/>
    </row>
    <row r="1726" spans="1:8" ht="18" customHeight="1">
      <c r="A1726" s="75"/>
      <c r="B1726" s="63" t="s">
        <v>949</v>
      </c>
      <c r="C1726" s="70">
        <v>-0.5</v>
      </c>
      <c r="D1726" s="68">
        <v>1</v>
      </c>
      <c r="E1726" s="68"/>
      <c r="F1726" s="68">
        <v>1.8</v>
      </c>
      <c r="G1726" s="67">
        <f t="shared" si="54"/>
        <v>-0.9</v>
      </c>
      <c r="H1726" s="930"/>
    </row>
    <row r="1727" spans="1:8" ht="18" customHeight="1">
      <c r="A1727" s="75"/>
      <c r="B1727" s="63" t="s">
        <v>1915</v>
      </c>
      <c r="C1727" s="568">
        <v>1</v>
      </c>
      <c r="D1727" s="68">
        <v>4.218</v>
      </c>
      <c r="E1727" s="68"/>
      <c r="F1727" s="68">
        <v>3.37</v>
      </c>
      <c r="G1727" s="67">
        <f t="shared" si="54"/>
        <v>14.21</v>
      </c>
      <c r="H1727" s="930"/>
    </row>
    <row r="1728" spans="1:8" ht="18" customHeight="1">
      <c r="A1728" s="75"/>
      <c r="B1728" s="63" t="s">
        <v>1916</v>
      </c>
      <c r="C1728" s="568">
        <v>1</v>
      </c>
      <c r="D1728" s="68">
        <f>3.25-0.1+0.1</f>
        <v>3.25</v>
      </c>
      <c r="E1728" s="68"/>
      <c r="F1728" s="68">
        <v>3.5</v>
      </c>
      <c r="G1728" s="67">
        <f t="shared" si="54"/>
        <v>11.38</v>
      </c>
      <c r="H1728" s="930"/>
    </row>
    <row r="1729" spans="1:8" ht="18" customHeight="1">
      <c r="A1729" s="75"/>
      <c r="B1729" s="63" t="s">
        <v>1917</v>
      </c>
      <c r="C1729" s="568">
        <v>1</v>
      </c>
      <c r="D1729" s="68">
        <v>4.22</v>
      </c>
      <c r="E1729" s="68"/>
      <c r="F1729" s="68">
        <v>3.37</v>
      </c>
      <c r="G1729" s="67">
        <f t="shared" si="54"/>
        <v>14.22</v>
      </c>
      <c r="H1729" s="930"/>
    </row>
    <row r="1730" spans="1:8" ht="18" customHeight="1">
      <c r="A1730" s="75"/>
      <c r="B1730" s="63" t="s">
        <v>1918</v>
      </c>
      <c r="C1730" s="568">
        <v>1</v>
      </c>
      <c r="D1730" s="68">
        <v>2.91</v>
      </c>
      <c r="E1730" s="68"/>
      <c r="F1730" s="68">
        <v>3.37</v>
      </c>
      <c r="G1730" s="67">
        <f t="shared" si="54"/>
        <v>9.81</v>
      </c>
      <c r="H1730" s="930"/>
    </row>
    <row r="1731" spans="1:8" ht="18" customHeight="1">
      <c r="A1731" s="75"/>
      <c r="B1731" s="63" t="s">
        <v>1919</v>
      </c>
      <c r="C1731" s="568">
        <v>1</v>
      </c>
      <c r="D1731" s="68">
        <v>3.3</v>
      </c>
      <c r="E1731" s="68"/>
      <c r="F1731" s="68">
        <v>3.37</v>
      </c>
      <c r="G1731" s="67">
        <f t="shared" si="54"/>
        <v>11.12</v>
      </c>
      <c r="H1731" s="930"/>
    </row>
    <row r="1732" spans="1:8" ht="18" customHeight="1">
      <c r="A1732" s="75"/>
      <c r="B1732" s="63"/>
      <c r="C1732" s="568">
        <v>1</v>
      </c>
      <c r="D1732" s="68">
        <v>1.5</v>
      </c>
      <c r="E1732" s="68"/>
      <c r="F1732" s="68">
        <v>3.37</v>
      </c>
      <c r="G1732" s="67">
        <f t="shared" si="54"/>
        <v>5.0599999999999996</v>
      </c>
      <c r="H1732" s="930"/>
    </row>
    <row r="1733" spans="1:8" ht="18" customHeight="1">
      <c r="A1733" s="75"/>
      <c r="B1733" s="63" t="s">
        <v>950</v>
      </c>
      <c r="C1733" s="70">
        <v>1</v>
      </c>
      <c r="D1733" s="68">
        <v>3.1</v>
      </c>
      <c r="E1733" s="68"/>
      <c r="F1733" s="68">
        <v>4.5</v>
      </c>
      <c r="G1733" s="67">
        <f t="shared" si="54"/>
        <v>13.95</v>
      </c>
      <c r="H1733" s="930"/>
    </row>
    <row r="1734" spans="1:8" ht="18" customHeight="1">
      <c r="A1734" s="75"/>
      <c r="B1734" s="63" t="s">
        <v>951</v>
      </c>
      <c r="C1734" s="70">
        <v>-0.5</v>
      </c>
      <c r="D1734" s="68">
        <v>1</v>
      </c>
      <c r="E1734" s="68"/>
      <c r="F1734" s="68">
        <v>1.8</v>
      </c>
      <c r="G1734" s="67">
        <f t="shared" si="54"/>
        <v>-0.9</v>
      </c>
      <c r="H1734" s="930"/>
    </row>
    <row r="1735" spans="1:8" ht="18" customHeight="1">
      <c r="A1735" s="75"/>
      <c r="B1735" s="63" t="s">
        <v>2032</v>
      </c>
      <c r="C1735" s="70">
        <v>1</v>
      </c>
      <c r="D1735" s="68">
        <v>2.298</v>
      </c>
      <c r="E1735" s="68"/>
      <c r="F1735" s="68">
        <v>3.2</v>
      </c>
      <c r="G1735" s="67">
        <f t="shared" si="54"/>
        <v>7.35</v>
      </c>
      <c r="H1735" s="930"/>
    </row>
    <row r="1736" spans="1:8" ht="18" customHeight="1">
      <c r="A1736" s="75"/>
      <c r="B1736" s="63" t="s">
        <v>2014</v>
      </c>
      <c r="C1736" s="70">
        <v>2</v>
      </c>
      <c r="D1736" s="68">
        <v>4.5999999999999996</v>
      </c>
      <c r="E1736" s="68"/>
      <c r="F1736" s="68">
        <v>3.2</v>
      </c>
      <c r="G1736" s="67">
        <f t="shared" si="54"/>
        <v>29.44</v>
      </c>
      <c r="H1736" s="930"/>
    </row>
    <row r="1737" spans="1:8" ht="18" customHeight="1">
      <c r="A1737" s="75"/>
      <c r="B1737" s="63" t="s">
        <v>954</v>
      </c>
      <c r="C1737" s="70"/>
      <c r="D1737" s="68"/>
      <c r="E1737" s="68"/>
      <c r="F1737" s="68"/>
      <c r="G1737" s="67" t="str">
        <f t="shared" si="54"/>
        <v xml:space="preserve"> </v>
      </c>
      <c r="H1737" s="930"/>
    </row>
    <row r="1738" spans="1:8" ht="18" customHeight="1">
      <c r="A1738" s="75"/>
      <c r="B1738" s="63" t="s">
        <v>955</v>
      </c>
      <c r="C1738" s="70">
        <v>2</v>
      </c>
      <c r="D1738" s="68">
        <f>3.175-0.2</f>
        <v>2.9749999999999996</v>
      </c>
      <c r="E1738" s="68"/>
      <c r="F1738" s="68">
        <v>3.37</v>
      </c>
      <c r="G1738" s="67">
        <f t="shared" si="54"/>
        <v>20.05</v>
      </c>
      <c r="H1738" s="930"/>
    </row>
    <row r="1739" spans="1:8" ht="18" customHeight="1">
      <c r="A1739" s="75"/>
      <c r="B1739" s="63" t="s">
        <v>953</v>
      </c>
      <c r="C1739" s="70">
        <v>-1</v>
      </c>
      <c r="D1739" s="68">
        <v>1.2</v>
      </c>
      <c r="E1739" s="68"/>
      <c r="F1739" s="68">
        <v>2.1</v>
      </c>
      <c r="G1739" s="67">
        <f t="shared" si="54"/>
        <v>-2.52</v>
      </c>
      <c r="H1739" s="930"/>
    </row>
    <row r="1740" spans="1:8" ht="18" customHeight="1">
      <c r="A1740" s="75"/>
      <c r="B1740" s="63" t="s">
        <v>956</v>
      </c>
      <c r="C1740" s="70">
        <v>-1</v>
      </c>
      <c r="D1740" s="68">
        <v>0.9</v>
      </c>
      <c r="E1740" s="68"/>
      <c r="F1740" s="68">
        <v>2</v>
      </c>
      <c r="G1740" s="67">
        <f t="shared" si="54"/>
        <v>-1.8</v>
      </c>
      <c r="H1740" s="930"/>
    </row>
    <row r="1741" spans="1:8" ht="18" customHeight="1">
      <c r="A1741" s="75"/>
      <c r="B1741" s="63" t="s">
        <v>957</v>
      </c>
      <c r="C1741" s="70">
        <v>2</v>
      </c>
      <c r="D1741" s="567">
        <v>1.1000000000000001</v>
      </c>
      <c r="E1741" s="68"/>
      <c r="F1741" s="68">
        <v>3.37</v>
      </c>
      <c r="G1741" s="67">
        <f t="shared" si="54"/>
        <v>7.41</v>
      </c>
      <c r="H1741" s="930"/>
    </row>
    <row r="1742" spans="1:8" ht="18" customHeight="1">
      <c r="A1742" s="75"/>
      <c r="B1742" s="63"/>
      <c r="C1742" s="70">
        <v>2</v>
      </c>
      <c r="D1742" s="567">
        <v>1.603</v>
      </c>
      <c r="E1742" s="68"/>
      <c r="F1742" s="68">
        <v>3.37</v>
      </c>
      <c r="G1742" s="67">
        <f t="shared" si="54"/>
        <v>10.8</v>
      </c>
      <c r="H1742" s="930"/>
    </row>
    <row r="1743" spans="1:8" ht="18" customHeight="1">
      <c r="A1743" s="75"/>
      <c r="B1743" s="63"/>
      <c r="C1743" s="70"/>
      <c r="D1743" s="68"/>
      <c r="E1743" s="68"/>
      <c r="F1743" s="68"/>
      <c r="G1743" s="67" t="str">
        <f t="shared" si="54"/>
        <v xml:space="preserve"> </v>
      </c>
      <c r="H1743" s="930"/>
    </row>
    <row r="1744" spans="1:8" ht="18" customHeight="1">
      <c r="A1744" s="75"/>
      <c r="B1744" s="668" t="s">
        <v>2061</v>
      </c>
      <c r="C1744" s="70"/>
      <c r="D1744" s="68"/>
      <c r="E1744" s="68"/>
      <c r="F1744" s="68"/>
      <c r="G1744" s="67" t="str">
        <f t="shared" si="54"/>
        <v xml:space="preserve"> </v>
      </c>
      <c r="H1744" s="930"/>
    </row>
    <row r="1745" spans="1:9" s="78" customFormat="1" ht="18" customHeight="1">
      <c r="A1745" s="75"/>
      <c r="B1745" s="362" t="s">
        <v>939</v>
      </c>
      <c r="C1745" s="76"/>
      <c r="D1745" s="77"/>
      <c r="E1745" s="68"/>
      <c r="F1745" s="68"/>
      <c r="G1745" s="67" t="str">
        <f t="shared" si="54"/>
        <v xml:space="preserve"> </v>
      </c>
      <c r="H1745" s="930"/>
      <c r="I1745" s="1227"/>
    </row>
    <row r="1746" spans="1:9" s="78" customFormat="1" ht="18" customHeight="1">
      <c r="A1746" s="75"/>
      <c r="B1746" s="63" t="s">
        <v>2062</v>
      </c>
      <c r="C1746" s="70">
        <v>4</v>
      </c>
      <c r="D1746" s="68">
        <v>0.9</v>
      </c>
      <c r="E1746" s="68"/>
      <c r="F1746" s="68">
        <v>2.7</v>
      </c>
      <c r="G1746" s="67">
        <f t="shared" si="54"/>
        <v>9.7200000000000006</v>
      </c>
      <c r="H1746" s="930"/>
      <c r="I1746" s="1227"/>
    </row>
    <row r="1747" spans="1:9" s="78" customFormat="1" ht="18" customHeight="1">
      <c r="A1747" s="75"/>
      <c r="B1747" s="63"/>
      <c r="C1747" s="70">
        <v>2</v>
      </c>
      <c r="D1747" s="68">
        <v>0.1</v>
      </c>
      <c r="E1747" s="68"/>
      <c r="F1747" s="68">
        <v>2.7</v>
      </c>
      <c r="G1747" s="67">
        <f t="shared" ref="G1747:G1810" si="55">IF(C1747&lt;&gt;0,ROUND(PRODUCT(D1747:F1747)*C1747,2)," ")</f>
        <v>0.54</v>
      </c>
      <c r="H1747" s="930"/>
      <c r="I1747" s="1227"/>
    </row>
    <row r="1748" spans="1:9" s="78" customFormat="1" ht="18" customHeight="1">
      <c r="A1748" s="75"/>
      <c r="B1748" s="362" t="s">
        <v>937</v>
      </c>
      <c r="C1748" s="76"/>
      <c r="D1748" s="77"/>
      <c r="E1748" s="68"/>
      <c r="F1748" s="68"/>
      <c r="G1748" s="67" t="str">
        <f t="shared" si="55"/>
        <v xml:space="preserve"> </v>
      </c>
      <c r="H1748" s="930"/>
      <c r="I1748" s="1227"/>
    </row>
    <row r="1749" spans="1:9" s="78" customFormat="1" ht="18" customHeight="1">
      <c r="A1749" s="75"/>
      <c r="B1749" s="63" t="s">
        <v>2062</v>
      </c>
      <c r="C1749" s="70">
        <v>4</v>
      </c>
      <c r="D1749" s="68">
        <v>0.9</v>
      </c>
      <c r="E1749" s="68"/>
      <c r="F1749" s="68">
        <v>2.7</v>
      </c>
      <c r="G1749" s="67">
        <f t="shared" si="55"/>
        <v>9.7200000000000006</v>
      </c>
      <c r="H1749" s="930"/>
      <c r="I1749" s="1227"/>
    </row>
    <row r="1750" spans="1:9" s="78" customFormat="1" ht="18" customHeight="1">
      <c r="A1750" s="75"/>
      <c r="B1750" s="63"/>
      <c r="C1750" s="70">
        <v>2</v>
      </c>
      <c r="D1750" s="68">
        <v>0.1</v>
      </c>
      <c r="E1750" s="68"/>
      <c r="F1750" s="68">
        <v>2.7</v>
      </c>
      <c r="G1750" s="67">
        <f t="shared" si="55"/>
        <v>0.54</v>
      </c>
      <c r="H1750" s="930"/>
      <c r="I1750" s="1227"/>
    </row>
    <row r="1751" spans="1:9" s="78" customFormat="1" ht="18" customHeight="1">
      <c r="A1751" s="75"/>
      <c r="B1751" s="362" t="s">
        <v>938</v>
      </c>
      <c r="C1751" s="76"/>
      <c r="D1751" s="77"/>
      <c r="E1751" s="68"/>
      <c r="F1751" s="68"/>
      <c r="G1751" s="67" t="str">
        <f t="shared" si="55"/>
        <v xml:space="preserve"> </v>
      </c>
      <c r="H1751" s="930"/>
      <c r="I1751" s="1227"/>
    </row>
    <row r="1752" spans="1:9" s="78" customFormat="1" ht="18" customHeight="1">
      <c r="A1752" s="75"/>
      <c r="B1752" s="63" t="s">
        <v>2062</v>
      </c>
      <c r="C1752" s="70">
        <v>4</v>
      </c>
      <c r="D1752" s="68">
        <v>0.9</v>
      </c>
      <c r="E1752" s="68"/>
      <c r="F1752" s="68">
        <v>3.37</v>
      </c>
      <c r="G1752" s="67">
        <f t="shared" si="55"/>
        <v>12.13</v>
      </c>
      <c r="H1752" s="930"/>
      <c r="I1752" s="1227"/>
    </row>
    <row r="1753" spans="1:9" s="78" customFormat="1" ht="18" customHeight="1">
      <c r="A1753" s="75"/>
      <c r="B1753" s="63"/>
      <c r="C1753" s="70">
        <v>2</v>
      </c>
      <c r="D1753" s="68">
        <v>0.1</v>
      </c>
      <c r="E1753" s="68"/>
      <c r="F1753" s="68">
        <v>2.7</v>
      </c>
      <c r="G1753" s="67">
        <f t="shared" si="55"/>
        <v>0.54</v>
      </c>
      <c r="H1753" s="930"/>
      <c r="I1753" s="1227"/>
    </row>
    <row r="1754" spans="1:9" s="78" customFormat="1" ht="18" customHeight="1">
      <c r="A1754" s="75"/>
      <c r="B1754" s="63"/>
      <c r="C1754" s="70"/>
      <c r="D1754" s="68"/>
      <c r="E1754" s="68"/>
      <c r="F1754" s="68"/>
      <c r="G1754" s="67" t="str">
        <f t="shared" si="55"/>
        <v xml:space="preserve"> </v>
      </c>
      <c r="H1754" s="930"/>
      <c r="I1754" s="1227"/>
    </row>
    <row r="1755" spans="1:9" s="456" customFormat="1" ht="18" customHeight="1">
      <c r="A1755" s="454"/>
      <c r="B1755" s="582" t="s">
        <v>1115</v>
      </c>
      <c r="C1755" s="455"/>
      <c r="D1755" s="452"/>
      <c r="E1755" s="452"/>
      <c r="F1755" s="452"/>
      <c r="G1755" s="67" t="str">
        <f t="shared" si="55"/>
        <v xml:space="preserve"> </v>
      </c>
      <c r="H1755" s="943"/>
      <c r="I1755" s="1240"/>
    </row>
    <row r="1756" spans="1:9" s="456" customFormat="1" ht="18" customHeight="1">
      <c r="A1756" s="454"/>
      <c r="B1756" s="625" t="s">
        <v>1116</v>
      </c>
      <c r="C1756" s="455">
        <v>2</v>
      </c>
      <c r="D1756" s="452">
        <f>3.2+6.3-0.7-2.245</f>
        <v>6.5550000000000006</v>
      </c>
      <c r="E1756" s="452"/>
      <c r="F1756" s="452">
        <v>2.7</v>
      </c>
      <c r="G1756" s="67">
        <f t="shared" si="55"/>
        <v>35.4</v>
      </c>
      <c r="H1756" s="943"/>
      <c r="I1756" s="1240"/>
    </row>
    <row r="1757" spans="1:9" s="456" customFormat="1" ht="18" customHeight="1">
      <c r="A1757" s="454"/>
      <c r="B1757" s="625" t="s">
        <v>1117</v>
      </c>
      <c r="C1757" s="455">
        <v>-1</v>
      </c>
      <c r="D1757" s="452">
        <v>1</v>
      </c>
      <c r="E1757" s="452"/>
      <c r="F1757" s="452">
        <v>2.1</v>
      </c>
      <c r="G1757" s="67">
        <f t="shared" si="55"/>
        <v>-2.1</v>
      </c>
      <c r="H1757" s="943"/>
      <c r="I1757" s="1240"/>
    </row>
    <row r="1758" spans="1:9" s="456" customFormat="1" ht="18" customHeight="1">
      <c r="A1758" s="454"/>
      <c r="B1758" s="625" t="s">
        <v>2135</v>
      </c>
      <c r="C1758" s="455">
        <v>2</v>
      </c>
      <c r="D1758" s="452">
        <v>0.85</v>
      </c>
      <c r="E1758" s="452"/>
      <c r="F1758" s="452">
        <v>2.7</v>
      </c>
      <c r="G1758" s="67">
        <f t="shared" si="55"/>
        <v>4.59</v>
      </c>
      <c r="H1758" s="943"/>
      <c r="I1758" s="1240"/>
    </row>
    <row r="1759" spans="1:9" s="456" customFormat="1" ht="18" customHeight="1">
      <c r="A1759" s="454"/>
      <c r="B1759" s="625"/>
      <c r="C1759" s="455">
        <v>2</v>
      </c>
      <c r="D1759" s="452">
        <f>1.485+0.115</f>
        <v>1.6</v>
      </c>
      <c r="E1759" s="452"/>
      <c r="F1759" s="452">
        <v>2.7</v>
      </c>
      <c r="G1759" s="67">
        <f t="shared" si="55"/>
        <v>8.64</v>
      </c>
      <c r="H1759" s="943"/>
      <c r="I1759" s="1240"/>
    </row>
    <row r="1760" spans="1:9" s="456" customFormat="1" ht="18" customHeight="1">
      <c r="A1760" s="454"/>
      <c r="B1760" s="625" t="s">
        <v>1096</v>
      </c>
      <c r="C1760" s="455">
        <v>1</v>
      </c>
      <c r="D1760" s="452">
        <f>3.2+6.3+3.2+0.23</f>
        <v>12.93</v>
      </c>
      <c r="E1760" s="452"/>
      <c r="F1760" s="452">
        <v>2.7</v>
      </c>
      <c r="G1760" s="67">
        <f t="shared" si="55"/>
        <v>34.909999999999997</v>
      </c>
      <c r="H1760" s="943"/>
      <c r="I1760" s="1240"/>
    </row>
    <row r="1761" spans="1:9" s="456" customFormat="1" ht="18" customHeight="1">
      <c r="A1761" s="454"/>
      <c r="B1761" s="625" t="s">
        <v>1118</v>
      </c>
      <c r="C1761" s="455">
        <v>-1.5</v>
      </c>
      <c r="D1761" s="452">
        <v>1.5</v>
      </c>
      <c r="E1761" s="452"/>
      <c r="F1761" s="452">
        <v>1.1000000000000001</v>
      </c>
      <c r="G1761" s="67">
        <f t="shared" si="55"/>
        <v>-2.48</v>
      </c>
      <c r="H1761" s="943"/>
      <c r="I1761" s="1240"/>
    </row>
    <row r="1762" spans="1:9" s="456" customFormat="1" ht="18" customHeight="1">
      <c r="A1762" s="454"/>
      <c r="B1762" s="625" t="s">
        <v>1119</v>
      </c>
      <c r="C1762" s="455">
        <v>-0.5</v>
      </c>
      <c r="D1762" s="452">
        <v>0.6</v>
      </c>
      <c r="E1762" s="452"/>
      <c r="F1762" s="452">
        <v>0.6</v>
      </c>
      <c r="G1762" s="67">
        <f t="shared" si="55"/>
        <v>-0.18</v>
      </c>
      <c r="H1762" s="943"/>
      <c r="I1762" s="1240"/>
    </row>
    <row r="1763" spans="1:9" s="456" customFormat="1" ht="18" customHeight="1">
      <c r="A1763" s="454"/>
      <c r="B1763" s="625" t="s">
        <v>1120</v>
      </c>
      <c r="C1763" s="455">
        <v>-0.5</v>
      </c>
      <c r="D1763" s="452">
        <v>1.2</v>
      </c>
      <c r="E1763" s="452"/>
      <c r="F1763" s="452">
        <v>2.1</v>
      </c>
      <c r="G1763" s="67">
        <f t="shared" si="55"/>
        <v>-1.26</v>
      </c>
      <c r="H1763" s="943"/>
      <c r="I1763" s="1240"/>
    </row>
    <row r="1764" spans="1:9" s="456" customFormat="1" ht="18" customHeight="1">
      <c r="A1764" s="454"/>
      <c r="B1764" s="625" t="s">
        <v>1121</v>
      </c>
      <c r="C1764" s="455">
        <v>-0.5</v>
      </c>
      <c r="D1764" s="452">
        <v>1</v>
      </c>
      <c r="E1764" s="452"/>
      <c r="F1764" s="452">
        <v>2.1</v>
      </c>
      <c r="G1764" s="67">
        <f t="shared" si="55"/>
        <v>-1.05</v>
      </c>
      <c r="H1764" s="943"/>
      <c r="I1764" s="1240"/>
    </row>
    <row r="1765" spans="1:9" s="456" customFormat="1" ht="18" customHeight="1">
      <c r="A1765" s="454"/>
      <c r="B1765" s="625"/>
      <c r="C1765" s="455"/>
      <c r="D1765" s="452"/>
      <c r="E1765" s="452"/>
      <c r="F1765" s="452"/>
      <c r="G1765" s="67" t="str">
        <f t="shared" si="55"/>
        <v xml:space="preserve"> </v>
      </c>
      <c r="H1765" s="943"/>
      <c r="I1765" s="1240"/>
    </row>
    <row r="1766" spans="1:9" s="456" customFormat="1" ht="18" customHeight="1">
      <c r="A1766" s="454"/>
      <c r="B1766" s="625" t="s">
        <v>1144</v>
      </c>
      <c r="C1766" s="455">
        <v>1</v>
      </c>
      <c r="D1766" s="452">
        <f>2.462+6.622-0.19-0.19</f>
        <v>8.7040000000000006</v>
      </c>
      <c r="E1766" s="452"/>
      <c r="F1766" s="452">
        <v>2.7</v>
      </c>
      <c r="G1766" s="67">
        <f t="shared" si="55"/>
        <v>23.5</v>
      </c>
      <c r="H1766" s="943"/>
      <c r="I1766" s="1240"/>
    </row>
    <row r="1767" spans="1:9" s="456" customFormat="1" ht="18" customHeight="1">
      <c r="A1767" s="454"/>
      <c r="B1767" s="625" t="s">
        <v>1123</v>
      </c>
      <c r="C1767" s="455">
        <v>-1</v>
      </c>
      <c r="D1767" s="452">
        <v>1.5</v>
      </c>
      <c r="E1767" s="452"/>
      <c r="F1767" s="452">
        <v>1.1000000000000001</v>
      </c>
      <c r="G1767" s="67">
        <f t="shared" si="55"/>
        <v>-1.65</v>
      </c>
      <c r="H1767" s="943"/>
      <c r="I1767" s="1240"/>
    </row>
    <row r="1768" spans="1:9" s="456" customFormat="1" ht="18" customHeight="1">
      <c r="A1768" s="454"/>
      <c r="B1768" s="625" t="s">
        <v>1120</v>
      </c>
      <c r="C1768" s="455">
        <v>-1</v>
      </c>
      <c r="D1768" s="452">
        <v>1.2</v>
      </c>
      <c r="E1768" s="452"/>
      <c r="F1768" s="452">
        <v>2.1</v>
      </c>
      <c r="G1768" s="67">
        <f t="shared" si="55"/>
        <v>-2.52</v>
      </c>
      <c r="H1768" s="943"/>
      <c r="I1768" s="1240"/>
    </row>
    <row r="1769" spans="1:9" s="456" customFormat="1" ht="18" customHeight="1">
      <c r="A1769" s="454"/>
      <c r="B1769" s="625" t="s">
        <v>1144</v>
      </c>
      <c r="C1769" s="455">
        <v>1</v>
      </c>
      <c r="D1769" s="452">
        <f>2.462+6.622-0.19-0.19</f>
        <v>8.7040000000000006</v>
      </c>
      <c r="E1769" s="452"/>
      <c r="F1769" s="452">
        <v>2.7</v>
      </c>
      <c r="G1769" s="67">
        <f t="shared" si="55"/>
        <v>23.5</v>
      </c>
      <c r="H1769" s="943"/>
      <c r="I1769" s="1240"/>
    </row>
    <row r="1770" spans="1:9" s="456" customFormat="1" ht="18" customHeight="1">
      <c r="A1770" s="454"/>
      <c r="B1770" s="625" t="s">
        <v>1123</v>
      </c>
      <c r="C1770" s="455">
        <v>-1</v>
      </c>
      <c r="D1770" s="452">
        <v>1.5</v>
      </c>
      <c r="E1770" s="452"/>
      <c r="F1770" s="452">
        <v>1.1000000000000001</v>
      </c>
      <c r="G1770" s="67">
        <f t="shared" si="55"/>
        <v>-1.65</v>
      </c>
      <c r="H1770" s="943"/>
      <c r="I1770" s="1240"/>
    </row>
    <row r="1771" spans="1:9" s="456" customFormat="1" ht="18" customHeight="1">
      <c r="A1771" s="454"/>
      <c r="B1771" s="625" t="s">
        <v>1120</v>
      </c>
      <c r="C1771" s="455">
        <v>-0.5</v>
      </c>
      <c r="D1771" s="452">
        <v>1.2</v>
      </c>
      <c r="E1771" s="452"/>
      <c r="F1771" s="452">
        <v>2.1</v>
      </c>
      <c r="G1771" s="67">
        <f t="shared" si="55"/>
        <v>-1.26</v>
      </c>
      <c r="H1771" s="943"/>
      <c r="I1771" s="1240"/>
    </row>
    <row r="1772" spans="1:9" s="456" customFormat="1" ht="18" customHeight="1">
      <c r="A1772" s="454"/>
      <c r="B1772" s="625"/>
      <c r="C1772" s="455"/>
      <c r="D1772" s="452"/>
      <c r="E1772" s="452"/>
      <c r="F1772" s="452"/>
      <c r="G1772" s="67" t="str">
        <f t="shared" si="55"/>
        <v xml:space="preserve"> </v>
      </c>
      <c r="H1772" s="943"/>
      <c r="I1772" s="1240"/>
    </row>
    <row r="1773" spans="1:9" s="456" customFormat="1" ht="18" customHeight="1">
      <c r="A1773" s="454"/>
      <c r="B1773" s="582" t="s">
        <v>1124</v>
      </c>
      <c r="C1773" s="568">
        <v>1</v>
      </c>
      <c r="D1773" s="452">
        <v>3.7</v>
      </c>
      <c r="E1773" s="452"/>
      <c r="F1773" s="452">
        <v>2.7</v>
      </c>
      <c r="G1773" s="67">
        <f t="shared" si="55"/>
        <v>9.99</v>
      </c>
      <c r="H1773" s="943"/>
      <c r="I1773" s="1240"/>
    </row>
    <row r="1774" spans="1:9" s="456" customFormat="1" ht="18" customHeight="1">
      <c r="A1774" s="454"/>
      <c r="B1774" s="582" t="s">
        <v>1125</v>
      </c>
      <c r="C1774" s="455"/>
      <c r="D1774" s="452"/>
      <c r="E1774" s="452"/>
      <c r="F1774" s="452"/>
      <c r="G1774" s="67" t="str">
        <f t="shared" si="55"/>
        <v xml:space="preserve"> </v>
      </c>
      <c r="H1774" s="943"/>
      <c r="I1774" s="1240"/>
    </row>
    <row r="1775" spans="1:9" s="456" customFormat="1" ht="18" customHeight="1">
      <c r="A1775" s="454"/>
      <c r="B1775" s="644" t="s">
        <v>2136</v>
      </c>
      <c r="C1775" s="568">
        <v>1</v>
      </c>
      <c r="D1775" s="567">
        <v>4.8</v>
      </c>
      <c r="E1775" s="452"/>
      <c r="F1775" s="452">
        <v>2.7</v>
      </c>
      <c r="G1775" s="67">
        <f t="shared" si="55"/>
        <v>12.96</v>
      </c>
      <c r="H1775" s="943"/>
      <c r="I1775" s="1240"/>
    </row>
    <row r="1776" spans="1:9" s="456" customFormat="1" ht="18" customHeight="1">
      <c r="A1776" s="454"/>
      <c r="B1776" s="644" t="s">
        <v>2137</v>
      </c>
      <c r="C1776" s="455">
        <f>2</f>
        <v>2</v>
      </c>
      <c r="D1776" s="567">
        <v>2.0499999999999998</v>
      </c>
      <c r="E1776" s="452"/>
      <c r="F1776" s="452">
        <v>2.7</v>
      </c>
      <c r="G1776" s="67">
        <f t="shared" si="55"/>
        <v>11.07</v>
      </c>
      <c r="H1776" s="943"/>
      <c r="I1776" s="1240"/>
    </row>
    <row r="1777" spans="1:9" s="456" customFormat="1" ht="18" customHeight="1">
      <c r="A1777" s="454"/>
      <c r="B1777" s="625" t="s">
        <v>1129</v>
      </c>
      <c r="C1777" s="455">
        <v>-1</v>
      </c>
      <c r="D1777" s="452">
        <v>0.8</v>
      </c>
      <c r="E1777" s="452"/>
      <c r="F1777" s="452">
        <v>2.1</v>
      </c>
      <c r="G1777" s="67">
        <f t="shared" si="55"/>
        <v>-1.68</v>
      </c>
      <c r="H1777" s="943"/>
      <c r="I1777" s="1240"/>
    </row>
    <row r="1778" spans="1:9" s="456" customFormat="1" ht="18" customHeight="1">
      <c r="A1778" s="454"/>
      <c r="B1778" s="625" t="s">
        <v>1100</v>
      </c>
      <c r="C1778" s="568">
        <v>1</v>
      </c>
      <c r="D1778" s="567">
        <f>6.3-3.5</f>
        <v>2.8</v>
      </c>
      <c r="E1778" s="452"/>
      <c r="F1778" s="452">
        <v>2.7</v>
      </c>
      <c r="G1778" s="67">
        <f t="shared" si="55"/>
        <v>7.56</v>
      </c>
      <c r="H1778" s="943"/>
      <c r="I1778" s="1240"/>
    </row>
    <row r="1779" spans="1:9" s="456" customFormat="1" ht="18" customHeight="1">
      <c r="A1779" s="454"/>
      <c r="B1779" s="625" t="s">
        <v>1130</v>
      </c>
      <c r="C1779" s="455">
        <v>-1</v>
      </c>
      <c r="D1779" s="452">
        <v>1.85</v>
      </c>
      <c r="E1779" s="452"/>
      <c r="F1779" s="452">
        <v>2.4</v>
      </c>
      <c r="G1779" s="67">
        <f t="shared" si="55"/>
        <v>-4.4400000000000004</v>
      </c>
      <c r="H1779" s="943"/>
      <c r="I1779" s="1240"/>
    </row>
    <row r="1780" spans="1:9" s="456" customFormat="1" ht="18" customHeight="1">
      <c r="A1780" s="454"/>
      <c r="B1780" s="625" t="s">
        <v>1131</v>
      </c>
      <c r="C1780" s="455">
        <v>-1</v>
      </c>
      <c r="D1780" s="452">
        <v>1.8</v>
      </c>
      <c r="E1780" s="452"/>
      <c r="F1780" s="452">
        <v>2.7</v>
      </c>
      <c r="G1780" s="67">
        <f t="shared" si="55"/>
        <v>-4.8600000000000003</v>
      </c>
      <c r="H1780" s="943"/>
      <c r="I1780" s="1240"/>
    </row>
    <row r="1781" spans="1:9" s="456" customFormat="1" ht="18" customHeight="1">
      <c r="A1781" s="454"/>
      <c r="B1781" s="625"/>
      <c r="C1781" s="455"/>
      <c r="D1781" s="452"/>
      <c r="E1781" s="452"/>
      <c r="F1781" s="452"/>
      <c r="G1781" s="67" t="str">
        <f t="shared" si="55"/>
        <v xml:space="preserve"> </v>
      </c>
      <c r="H1781" s="943"/>
      <c r="I1781" s="1240"/>
    </row>
    <row r="1782" spans="1:9" s="456" customFormat="1" ht="18" customHeight="1">
      <c r="A1782" s="454"/>
      <c r="B1782" s="670" t="s">
        <v>2138</v>
      </c>
      <c r="C1782" s="671"/>
      <c r="D1782" s="672"/>
      <c r="E1782" s="452"/>
      <c r="F1782" s="452"/>
      <c r="G1782" s="67" t="str">
        <f t="shared" si="55"/>
        <v xml:space="preserve"> </v>
      </c>
      <c r="H1782" s="943"/>
      <c r="I1782" s="1240"/>
    </row>
    <row r="1783" spans="1:9" s="456" customFormat="1" ht="18" customHeight="1">
      <c r="A1783" s="454"/>
      <c r="B1783" s="673" t="s">
        <v>939</v>
      </c>
      <c r="C1783" s="671"/>
      <c r="D1783" s="672"/>
      <c r="E1783" s="452"/>
      <c r="F1783" s="452"/>
      <c r="G1783" s="67" t="str">
        <f t="shared" si="55"/>
        <v xml:space="preserve"> </v>
      </c>
      <c r="H1783" s="943"/>
      <c r="I1783" s="1240"/>
    </row>
    <row r="1784" spans="1:9" s="456" customFormat="1" ht="18" customHeight="1">
      <c r="A1784" s="454"/>
      <c r="B1784" s="625" t="s">
        <v>1923</v>
      </c>
      <c r="C1784" s="568">
        <v>4</v>
      </c>
      <c r="D1784" s="452">
        <v>0.9</v>
      </c>
      <c r="E1784" s="452"/>
      <c r="F1784" s="452">
        <v>2.7</v>
      </c>
      <c r="G1784" s="67">
        <f t="shared" si="55"/>
        <v>9.7200000000000006</v>
      </c>
      <c r="H1784" s="943"/>
      <c r="I1784" s="1240"/>
    </row>
    <row r="1785" spans="1:9" s="456" customFormat="1" ht="18" customHeight="1">
      <c r="A1785" s="454"/>
      <c r="B1785" s="625" t="s">
        <v>2062</v>
      </c>
      <c r="C1785" s="568">
        <v>4</v>
      </c>
      <c r="D1785" s="452">
        <v>0.9</v>
      </c>
      <c r="E1785" s="452"/>
      <c r="F1785" s="452">
        <v>2.7</v>
      </c>
      <c r="G1785" s="67">
        <f t="shared" si="55"/>
        <v>9.7200000000000006</v>
      </c>
      <c r="H1785" s="943"/>
      <c r="I1785" s="1240"/>
    </row>
    <row r="1786" spans="1:9" s="78" customFormat="1" ht="14.25">
      <c r="A1786" s="75"/>
      <c r="B1786" s="63"/>
      <c r="C1786" s="70"/>
      <c r="D1786" s="68"/>
      <c r="E1786" s="68"/>
      <c r="F1786" s="68"/>
      <c r="G1786" s="67" t="str">
        <f t="shared" si="55"/>
        <v xml:space="preserve"> </v>
      </c>
      <c r="H1786" s="930"/>
      <c r="I1786" s="1226"/>
    </row>
    <row r="1787" spans="1:9" s="606" customFormat="1" ht="18" customHeight="1">
      <c r="A1787" s="675"/>
      <c r="B1787" s="81" t="s">
        <v>1311</v>
      </c>
      <c r="C1787" s="404">
        <v>6</v>
      </c>
      <c r="D1787" s="405">
        <v>4.9870000000000001</v>
      </c>
      <c r="E1787" s="405"/>
      <c r="F1787" s="405">
        <v>0.3</v>
      </c>
      <c r="G1787" s="67">
        <f t="shared" si="55"/>
        <v>8.98</v>
      </c>
      <c r="H1787" s="946" t="s">
        <v>1442</v>
      </c>
      <c r="I1787" s="1242"/>
    </row>
    <row r="1788" spans="1:9" s="606" customFormat="1" ht="18" customHeight="1">
      <c r="A1788" s="675"/>
      <c r="B1788" s="81" t="s">
        <v>1312</v>
      </c>
      <c r="C1788" s="404">
        <v>6</v>
      </c>
      <c r="D1788" s="405">
        <v>4.9870000000000001</v>
      </c>
      <c r="E1788" s="405"/>
      <c r="F1788" s="405">
        <v>0.3</v>
      </c>
      <c r="G1788" s="67">
        <f t="shared" si="55"/>
        <v>8.98</v>
      </c>
      <c r="H1788" s="946" t="s">
        <v>1442</v>
      </c>
      <c r="I1788" s="1242"/>
    </row>
    <row r="1789" spans="1:9" s="606" customFormat="1" ht="18" customHeight="1">
      <c r="A1789" s="675"/>
      <c r="B1789" s="81" t="s">
        <v>1313</v>
      </c>
      <c r="C1789" s="404">
        <v>6</v>
      </c>
      <c r="D1789" s="405">
        <v>4.9870000000000001</v>
      </c>
      <c r="E1789" s="405"/>
      <c r="F1789" s="405">
        <v>0.3</v>
      </c>
      <c r="G1789" s="67">
        <f t="shared" si="55"/>
        <v>8.98</v>
      </c>
      <c r="H1789" s="946" t="s">
        <v>1442</v>
      </c>
      <c r="I1789" s="1242"/>
    </row>
    <row r="1790" spans="1:9" s="606" customFormat="1" ht="18" customHeight="1">
      <c r="A1790" s="675"/>
      <c r="B1790" s="81" t="s">
        <v>1314</v>
      </c>
      <c r="C1790" s="404">
        <v>6</v>
      </c>
      <c r="D1790" s="405">
        <v>4.9870000000000001</v>
      </c>
      <c r="E1790" s="405"/>
      <c r="F1790" s="405">
        <v>0.3</v>
      </c>
      <c r="G1790" s="67">
        <f t="shared" si="55"/>
        <v>8.98</v>
      </c>
      <c r="H1790" s="946" t="s">
        <v>1442</v>
      </c>
      <c r="I1790" s="1242"/>
    </row>
    <row r="1791" spans="1:9" s="606" customFormat="1" ht="18" customHeight="1">
      <c r="A1791" s="675"/>
      <c r="B1791" s="81" t="s">
        <v>1315</v>
      </c>
      <c r="C1791" s="404">
        <v>6</v>
      </c>
      <c r="D1791" s="405">
        <v>4.66</v>
      </c>
      <c r="E1791" s="405"/>
      <c r="F1791" s="405">
        <v>0.3</v>
      </c>
      <c r="G1791" s="67">
        <f t="shared" si="55"/>
        <v>8.39</v>
      </c>
      <c r="H1791" s="946" t="s">
        <v>1442</v>
      </c>
      <c r="I1791" s="1242"/>
    </row>
    <row r="1792" spans="1:9" s="606" customFormat="1" ht="18" customHeight="1">
      <c r="A1792" s="675"/>
      <c r="B1792" s="81" t="s">
        <v>1316</v>
      </c>
      <c r="C1792" s="404">
        <v>6</v>
      </c>
      <c r="D1792" s="405">
        <v>4.66</v>
      </c>
      <c r="E1792" s="405"/>
      <c r="F1792" s="405">
        <v>0.3</v>
      </c>
      <c r="G1792" s="67">
        <f t="shared" si="55"/>
        <v>8.39</v>
      </c>
      <c r="H1792" s="946" t="s">
        <v>1442</v>
      </c>
      <c r="I1792" s="1242"/>
    </row>
    <row r="1793" spans="1:9" s="606" customFormat="1" ht="18" customHeight="1">
      <c r="A1793" s="675"/>
      <c r="B1793" s="81" t="s">
        <v>1317</v>
      </c>
      <c r="C1793" s="404">
        <v>6</v>
      </c>
      <c r="D1793" s="405">
        <v>1.8</v>
      </c>
      <c r="E1793" s="405"/>
      <c r="F1793" s="405">
        <v>0.3</v>
      </c>
      <c r="G1793" s="67">
        <f t="shared" si="55"/>
        <v>3.24</v>
      </c>
      <c r="H1793" s="946" t="s">
        <v>1442</v>
      </c>
      <c r="I1793" s="1242"/>
    </row>
    <row r="1794" spans="1:9" s="606" customFormat="1" ht="18" customHeight="1">
      <c r="A1794" s="675"/>
      <c r="B1794" s="81" t="s">
        <v>1318</v>
      </c>
      <c r="C1794" s="404">
        <v>6</v>
      </c>
      <c r="D1794" s="405">
        <v>5.05</v>
      </c>
      <c r="E1794" s="405"/>
      <c r="F1794" s="405">
        <v>0.3</v>
      </c>
      <c r="G1794" s="67">
        <f t="shared" si="55"/>
        <v>9.09</v>
      </c>
      <c r="H1794" s="946" t="s">
        <v>1442</v>
      </c>
      <c r="I1794" s="1242"/>
    </row>
    <row r="1795" spans="1:9" s="606" customFormat="1" ht="18" customHeight="1">
      <c r="A1795" s="675"/>
      <c r="B1795" s="81" t="s">
        <v>1319</v>
      </c>
      <c r="C1795" s="404">
        <v>6</v>
      </c>
      <c r="D1795" s="405">
        <v>7.0250000000000004</v>
      </c>
      <c r="E1795" s="405"/>
      <c r="F1795" s="405">
        <v>0.3</v>
      </c>
      <c r="G1795" s="67">
        <f t="shared" si="55"/>
        <v>12.65</v>
      </c>
      <c r="H1795" s="946" t="s">
        <v>1442</v>
      </c>
      <c r="I1795" s="1242"/>
    </row>
    <row r="1796" spans="1:9" s="606" customFormat="1" ht="18" customHeight="1">
      <c r="A1796" s="675"/>
      <c r="B1796" s="81" t="s">
        <v>1320</v>
      </c>
      <c r="C1796" s="404">
        <v>6</v>
      </c>
      <c r="D1796" s="405">
        <f>4.125-0.1-0.1</f>
        <v>3.9250000000000003</v>
      </c>
      <c r="E1796" s="405"/>
      <c r="F1796" s="405">
        <v>0.3</v>
      </c>
      <c r="G1796" s="67">
        <f t="shared" si="55"/>
        <v>7.07</v>
      </c>
      <c r="H1796" s="946" t="s">
        <v>1442</v>
      </c>
      <c r="I1796" s="1242"/>
    </row>
    <row r="1797" spans="1:9" s="606" customFormat="1" ht="18" customHeight="1">
      <c r="A1797" s="641"/>
      <c r="B1797" s="548" t="s">
        <v>1373</v>
      </c>
      <c r="C1797" s="404">
        <f>2*2*3</f>
        <v>12</v>
      </c>
      <c r="D1797" s="405">
        <v>3.1</v>
      </c>
      <c r="E1797" s="405"/>
      <c r="F1797" s="405">
        <v>0.3</v>
      </c>
      <c r="G1797" s="67">
        <f t="shared" si="55"/>
        <v>11.16</v>
      </c>
      <c r="H1797" s="946" t="s">
        <v>1442</v>
      </c>
      <c r="I1797" s="1242"/>
    </row>
    <row r="1798" spans="1:9" s="606" customFormat="1" ht="18" customHeight="1">
      <c r="A1798" s="675"/>
      <c r="B1798" s="548"/>
      <c r="C1798" s="404">
        <f>2*2*3</f>
        <v>12</v>
      </c>
      <c r="D1798" s="405">
        <v>3.1</v>
      </c>
      <c r="E1798" s="405"/>
      <c r="F1798" s="405">
        <v>0.3</v>
      </c>
      <c r="G1798" s="67">
        <f t="shared" si="55"/>
        <v>11.16</v>
      </c>
      <c r="H1798" s="946" t="s">
        <v>1442</v>
      </c>
      <c r="I1798" s="1242"/>
    </row>
    <row r="1799" spans="1:9" s="606" customFormat="1" ht="18" customHeight="1">
      <c r="A1799" s="675"/>
      <c r="B1799" s="548" t="s">
        <v>1374</v>
      </c>
      <c r="C1799" s="404">
        <v>12</v>
      </c>
      <c r="D1799" s="405">
        <v>4.7</v>
      </c>
      <c r="E1799" s="405"/>
      <c r="F1799" s="405">
        <v>0.3</v>
      </c>
      <c r="G1799" s="67">
        <f t="shared" si="55"/>
        <v>16.920000000000002</v>
      </c>
      <c r="H1799" s="946" t="s">
        <v>1442</v>
      </c>
      <c r="I1799" s="1242"/>
    </row>
    <row r="1800" spans="1:9" s="606" customFormat="1" ht="18" customHeight="1">
      <c r="A1800" s="675"/>
      <c r="B1800" s="81"/>
      <c r="C1800" s="404">
        <v>12</v>
      </c>
      <c r="D1800" s="405">
        <v>3.05</v>
      </c>
      <c r="E1800" s="405"/>
      <c r="F1800" s="405">
        <v>0.3</v>
      </c>
      <c r="G1800" s="67">
        <f t="shared" si="55"/>
        <v>10.98</v>
      </c>
      <c r="H1800" s="946" t="s">
        <v>1442</v>
      </c>
      <c r="I1800" s="1242"/>
    </row>
    <row r="1801" spans="1:9" s="606" customFormat="1" ht="18" customHeight="1">
      <c r="A1801" s="675"/>
      <c r="B1801" s="548" t="s">
        <v>1375</v>
      </c>
      <c r="C1801" s="404">
        <v>4</v>
      </c>
      <c r="D1801" s="405">
        <v>3</v>
      </c>
      <c r="E1801" s="405"/>
      <c r="F1801" s="405">
        <v>0.3</v>
      </c>
      <c r="G1801" s="67">
        <f t="shared" si="55"/>
        <v>3.6</v>
      </c>
      <c r="H1801" s="946" t="s">
        <v>1442</v>
      </c>
      <c r="I1801" s="1242"/>
    </row>
    <row r="1802" spans="1:9" s="606" customFormat="1" ht="18" customHeight="1">
      <c r="A1802" s="675"/>
      <c r="B1802" s="81"/>
      <c r="C1802" s="404">
        <v>4</v>
      </c>
      <c r="D1802" s="405">
        <v>4.7</v>
      </c>
      <c r="E1802" s="405"/>
      <c r="F1802" s="405">
        <v>0.3</v>
      </c>
      <c r="G1802" s="67">
        <f t="shared" si="55"/>
        <v>5.64</v>
      </c>
      <c r="H1802" s="946" t="s">
        <v>1442</v>
      </c>
      <c r="I1802" s="1242"/>
    </row>
    <row r="1803" spans="1:9" s="606" customFormat="1" ht="18" customHeight="1">
      <c r="A1803" s="675"/>
      <c r="B1803" s="548" t="s">
        <v>1381</v>
      </c>
      <c r="C1803" s="404">
        <v>2</v>
      </c>
      <c r="D1803" s="405">
        <v>4.7</v>
      </c>
      <c r="E1803" s="405"/>
      <c r="F1803" s="405">
        <v>0.3</v>
      </c>
      <c r="G1803" s="67">
        <f t="shared" si="55"/>
        <v>2.82</v>
      </c>
      <c r="H1803" s="946" t="s">
        <v>1442</v>
      </c>
      <c r="I1803" s="1242"/>
    </row>
    <row r="1804" spans="1:9" s="606" customFormat="1" ht="18" customHeight="1">
      <c r="A1804" s="675"/>
      <c r="B1804" s="81"/>
      <c r="C1804" s="404">
        <v>2</v>
      </c>
      <c r="D1804" s="405">
        <v>3.1</v>
      </c>
      <c r="E1804" s="405"/>
      <c r="F1804" s="405">
        <v>0.3</v>
      </c>
      <c r="G1804" s="67">
        <f t="shared" si="55"/>
        <v>1.86</v>
      </c>
      <c r="H1804" s="946" t="s">
        <v>1442</v>
      </c>
      <c r="I1804" s="1242"/>
    </row>
    <row r="1805" spans="1:9" s="606" customFormat="1" ht="18" customHeight="1">
      <c r="A1805" s="675"/>
      <c r="B1805" s="548" t="s">
        <v>1376</v>
      </c>
      <c r="C1805" s="404"/>
      <c r="D1805" s="405"/>
      <c r="E1805" s="405"/>
      <c r="F1805" s="405"/>
      <c r="G1805" s="67" t="str">
        <f t="shared" si="55"/>
        <v xml:space="preserve"> </v>
      </c>
      <c r="H1805" s="946" t="s">
        <v>1442</v>
      </c>
      <c r="I1805" s="1242"/>
    </row>
    <row r="1806" spans="1:9" s="606" customFormat="1" ht="18" customHeight="1">
      <c r="A1806" s="675"/>
      <c r="B1806" s="548" t="s">
        <v>1382</v>
      </c>
      <c r="C1806" s="404">
        <v>2</v>
      </c>
      <c r="D1806" s="405">
        <v>3.95</v>
      </c>
      <c r="E1806" s="405"/>
      <c r="F1806" s="405">
        <v>0.3</v>
      </c>
      <c r="G1806" s="67">
        <f t="shared" si="55"/>
        <v>2.37</v>
      </c>
      <c r="H1806" s="946" t="s">
        <v>1442</v>
      </c>
      <c r="I1806" s="1242"/>
    </row>
    <row r="1807" spans="1:9" s="606" customFormat="1" ht="18" customHeight="1">
      <c r="A1807" s="675"/>
      <c r="B1807" s="81"/>
      <c r="C1807" s="404">
        <v>2</v>
      </c>
      <c r="D1807" s="405">
        <f>1.469+3.2-0.1</f>
        <v>4.5690000000000008</v>
      </c>
      <c r="E1807" s="405"/>
      <c r="F1807" s="405">
        <v>0.3</v>
      </c>
      <c r="G1807" s="67">
        <f t="shared" si="55"/>
        <v>2.74</v>
      </c>
      <c r="H1807" s="946" t="s">
        <v>1442</v>
      </c>
      <c r="I1807" s="1242"/>
    </row>
    <row r="1808" spans="1:9" s="606" customFormat="1" ht="18" customHeight="1">
      <c r="A1808" s="675"/>
      <c r="B1808" s="548" t="s">
        <v>1383</v>
      </c>
      <c r="C1808" s="404">
        <v>2</v>
      </c>
      <c r="D1808" s="405">
        <v>2.7650000000000001</v>
      </c>
      <c r="E1808" s="405"/>
      <c r="F1808" s="405">
        <v>0.3</v>
      </c>
      <c r="G1808" s="67">
        <f t="shared" si="55"/>
        <v>1.66</v>
      </c>
      <c r="H1808" s="946" t="s">
        <v>1442</v>
      </c>
      <c r="I1808" s="1242"/>
    </row>
    <row r="1809" spans="1:9" s="606" customFormat="1" ht="18" customHeight="1">
      <c r="A1809" s="675"/>
      <c r="B1809" s="81"/>
      <c r="C1809" s="404">
        <v>2</v>
      </c>
      <c r="D1809" s="405">
        <v>3.085</v>
      </c>
      <c r="E1809" s="405"/>
      <c r="F1809" s="405">
        <v>0.3</v>
      </c>
      <c r="G1809" s="67">
        <f t="shared" si="55"/>
        <v>1.85</v>
      </c>
      <c r="H1809" s="946" t="s">
        <v>1442</v>
      </c>
      <c r="I1809" s="1242"/>
    </row>
    <row r="1810" spans="1:9" s="606" customFormat="1" ht="18" customHeight="1">
      <c r="A1810" s="675"/>
      <c r="B1810" s="548" t="s">
        <v>1384</v>
      </c>
      <c r="C1810" s="404">
        <v>2</v>
      </c>
      <c r="D1810" s="405">
        <v>3.1</v>
      </c>
      <c r="E1810" s="405"/>
      <c r="F1810" s="405">
        <v>0.3</v>
      </c>
      <c r="G1810" s="67">
        <f t="shared" si="55"/>
        <v>1.86</v>
      </c>
      <c r="H1810" s="946" t="s">
        <v>1442</v>
      </c>
      <c r="I1810" s="1242"/>
    </row>
    <row r="1811" spans="1:9" s="606" customFormat="1" ht="18" customHeight="1">
      <c r="A1811" s="675"/>
      <c r="B1811" s="81"/>
      <c r="C1811" s="404">
        <v>2</v>
      </c>
      <c r="D1811" s="405">
        <f>2.01+1.135</f>
        <v>3.1449999999999996</v>
      </c>
      <c r="E1811" s="405"/>
      <c r="F1811" s="405">
        <v>0.3</v>
      </c>
      <c r="G1811" s="67">
        <f t="shared" ref="G1811:G1831" si="56">IF(C1811&lt;&gt;0,ROUND(PRODUCT(D1811:F1811)*C1811,2)," ")</f>
        <v>1.89</v>
      </c>
      <c r="H1811" s="946" t="s">
        <v>1442</v>
      </c>
      <c r="I1811" s="1242"/>
    </row>
    <row r="1812" spans="1:9" s="606" customFormat="1" ht="18" customHeight="1">
      <c r="A1812" s="675"/>
      <c r="B1812" s="548" t="s">
        <v>1385</v>
      </c>
      <c r="C1812" s="404">
        <v>1</v>
      </c>
      <c r="D1812" s="405">
        <f>1.3+1.08</f>
        <v>2.38</v>
      </c>
      <c r="E1812" s="405"/>
      <c r="F1812" s="405">
        <v>0.3</v>
      </c>
      <c r="G1812" s="67">
        <f t="shared" si="56"/>
        <v>0.71</v>
      </c>
      <c r="H1812" s="946" t="s">
        <v>1442</v>
      </c>
      <c r="I1812" s="1242"/>
    </row>
    <row r="1813" spans="1:9" s="606" customFormat="1" ht="18" customHeight="1">
      <c r="A1813" s="675"/>
      <c r="B1813" s="81"/>
      <c r="C1813" s="404">
        <v>1</v>
      </c>
      <c r="D1813" s="405">
        <v>3.1</v>
      </c>
      <c r="E1813" s="405"/>
      <c r="F1813" s="405">
        <v>0.3</v>
      </c>
      <c r="G1813" s="67">
        <f t="shared" si="56"/>
        <v>0.93</v>
      </c>
      <c r="H1813" s="946" t="s">
        <v>1442</v>
      </c>
      <c r="I1813" s="1242"/>
    </row>
    <row r="1814" spans="1:9" s="606" customFormat="1" ht="18" customHeight="1">
      <c r="A1814" s="675"/>
      <c r="B1814" s="81" t="s">
        <v>1386</v>
      </c>
      <c r="C1814" s="404">
        <v>2</v>
      </c>
      <c r="D1814" s="405">
        <v>1.3</v>
      </c>
      <c r="E1814" s="405"/>
      <c r="F1814" s="405">
        <v>0.3</v>
      </c>
      <c r="G1814" s="67">
        <f t="shared" si="56"/>
        <v>0.78</v>
      </c>
      <c r="H1814" s="946" t="s">
        <v>1442</v>
      </c>
      <c r="I1814" s="1242"/>
    </row>
    <row r="1815" spans="1:9" s="606" customFormat="1" ht="18" customHeight="1">
      <c r="A1815" s="675"/>
      <c r="B1815" s="81"/>
      <c r="C1815" s="404">
        <v>2</v>
      </c>
      <c r="D1815" s="405">
        <v>1.5</v>
      </c>
      <c r="E1815" s="405"/>
      <c r="F1815" s="405">
        <v>0.3</v>
      </c>
      <c r="G1815" s="67">
        <f t="shared" si="56"/>
        <v>0.9</v>
      </c>
      <c r="H1815" s="946" t="s">
        <v>1442</v>
      </c>
      <c r="I1815" s="1242"/>
    </row>
    <row r="1816" spans="1:9" s="606" customFormat="1" ht="18" customHeight="1">
      <c r="A1816" s="675"/>
      <c r="B1816" s="548" t="s">
        <v>1387</v>
      </c>
      <c r="C1816" s="404">
        <v>2</v>
      </c>
      <c r="D1816" s="405">
        <v>1.7849999999999999</v>
      </c>
      <c r="E1816" s="405"/>
      <c r="F1816" s="405">
        <v>0.3</v>
      </c>
      <c r="G1816" s="67">
        <f t="shared" si="56"/>
        <v>1.07</v>
      </c>
      <c r="H1816" s="946" t="s">
        <v>1442</v>
      </c>
      <c r="I1816" s="1242"/>
    </row>
    <row r="1817" spans="1:9" s="606" customFormat="1" ht="18" customHeight="1">
      <c r="A1817" s="675"/>
      <c r="B1817" s="81"/>
      <c r="C1817" s="404">
        <v>2</v>
      </c>
      <c r="D1817" s="405">
        <v>3.1</v>
      </c>
      <c r="E1817" s="405"/>
      <c r="F1817" s="405">
        <v>0.3</v>
      </c>
      <c r="G1817" s="67">
        <f t="shared" si="56"/>
        <v>1.86</v>
      </c>
      <c r="H1817" s="946" t="s">
        <v>1442</v>
      </c>
      <c r="I1817" s="1242"/>
    </row>
    <row r="1818" spans="1:9" s="606" customFormat="1" ht="18" customHeight="1">
      <c r="A1818" s="675"/>
      <c r="B1818" s="81" t="s">
        <v>1388</v>
      </c>
      <c r="C1818" s="404">
        <f>1</f>
        <v>1</v>
      </c>
      <c r="D1818" s="405">
        <v>2.9350000000000001</v>
      </c>
      <c r="E1818" s="405"/>
      <c r="F1818" s="405">
        <v>0.3</v>
      </c>
      <c r="G1818" s="67">
        <f t="shared" si="56"/>
        <v>0.88</v>
      </c>
      <c r="H1818" s="946" t="s">
        <v>1442</v>
      </c>
      <c r="I1818" s="1242"/>
    </row>
    <row r="1819" spans="1:9" s="606" customFormat="1" ht="18" customHeight="1">
      <c r="A1819" s="675"/>
      <c r="B1819" s="81"/>
      <c r="C1819" s="404">
        <f>1</f>
        <v>1</v>
      </c>
      <c r="D1819" s="405">
        <v>6.1639999999999997</v>
      </c>
      <c r="E1819" s="405"/>
      <c r="F1819" s="405">
        <v>0.3</v>
      </c>
      <c r="G1819" s="67">
        <f t="shared" si="56"/>
        <v>1.85</v>
      </c>
      <c r="H1819" s="946" t="s">
        <v>1442</v>
      </c>
      <c r="I1819" s="1242"/>
    </row>
    <row r="1820" spans="1:9" s="606" customFormat="1" ht="18" customHeight="1">
      <c r="A1820" s="675"/>
      <c r="B1820" s="81"/>
      <c r="C1820" s="404">
        <v>1</v>
      </c>
      <c r="D1820" s="405">
        <v>7.6459999999999999</v>
      </c>
      <c r="E1820" s="405"/>
      <c r="F1820" s="405">
        <v>0.3</v>
      </c>
      <c r="G1820" s="67">
        <f t="shared" si="56"/>
        <v>2.29</v>
      </c>
      <c r="H1820" s="946" t="s">
        <v>1442</v>
      </c>
      <c r="I1820" s="1242"/>
    </row>
    <row r="1821" spans="1:9" s="606" customFormat="1" ht="18" customHeight="1">
      <c r="A1821" s="675"/>
      <c r="B1821" s="81" t="s">
        <v>1389</v>
      </c>
      <c r="C1821" s="404">
        <v>1</v>
      </c>
      <c r="D1821" s="405">
        <v>3.95</v>
      </c>
      <c r="E1821" s="405"/>
      <c r="F1821" s="405">
        <v>0.3</v>
      </c>
      <c r="G1821" s="67">
        <f t="shared" si="56"/>
        <v>1.19</v>
      </c>
      <c r="H1821" s="946" t="s">
        <v>1442</v>
      </c>
      <c r="I1821" s="1242"/>
    </row>
    <row r="1822" spans="1:9" s="606" customFormat="1" ht="18" customHeight="1">
      <c r="A1822" s="675"/>
      <c r="B1822" s="81" t="s">
        <v>1390</v>
      </c>
      <c r="C1822" s="404">
        <v>1</v>
      </c>
      <c r="D1822" s="405">
        <v>2.27</v>
      </c>
      <c r="E1822" s="405"/>
      <c r="F1822" s="405">
        <v>0.3</v>
      </c>
      <c r="G1822" s="67">
        <f t="shared" si="56"/>
        <v>0.68</v>
      </c>
      <c r="H1822" s="946" t="s">
        <v>1442</v>
      </c>
      <c r="I1822" s="1242"/>
    </row>
    <row r="1823" spans="1:9" s="606" customFormat="1" ht="18" customHeight="1">
      <c r="A1823" s="675"/>
      <c r="B1823" s="81" t="s">
        <v>1391</v>
      </c>
      <c r="C1823" s="404">
        <v>1</v>
      </c>
      <c r="D1823" s="405">
        <v>2.7650000000000001</v>
      </c>
      <c r="E1823" s="405"/>
      <c r="F1823" s="405">
        <v>0.3</v>
      </c>
      <c r="G1823" s="67">
        <f t="shared" si="56"/>
        <v>0.83</v>
      </c>
      <c r="H1823" s="946" t="s">
        <v>1442</v>
      </c>
      <c r="I1823" s="1242"/>
    </row>
    <row r="1824" spans="1:9" s="606" customFormat="1" ht="18" customHeight="1">
      <c r="A1824" s="675"/>
      <c r="B1824" s="81" t="s">
        <v>1392</v>
      </c>
      <c r="C1824" s="404">
        <v>1</v>
      </c>
      <c r="D1824" s="405">
        <v>3.1</v>
      </c>
      <c r="E1824" s="405"/>
      <c r="F1824" s="405">
        <v>0.3</v>
      </c>
      <c r="G1824" s="67">
        <f t="shared" si="56"/>
        <v>0.93</v>
      </c>
      <c r="H1824" s="946" t="s">
        <v>1442</v>
      </c>
      <c r="I1824" s="1242"/>
    </row>
    <row r="1825" spans="1:10" s="606" customFormat="1" ht="18" customHeight="1">
      <c r="A1825" s="675"/>
      <c r="B1825" s="81" t="s">
        <v>1393</v>
      </c>
      <c r="C1825" s="404">
        <v>1</v>
      </c>
      <c r="D1825" s="405">
        <v>1.63</v>
      </c>
      <c r="E1825" s="405"/>
      <c r="F1825" s="405">
        <v>0.3</v>
      </c>
      <c r="G1825" s="67">
        <f t="shared" si="56"/>
        <v>0.49</v>
      </c>
      <c r="H1825" s="946" t="s">
        <v>1442</v>
      </c>
      <c r="I1825" s="1242"/>
    </row>
    <row r="1826" spans="1:10" s="79" customFormat="1" ht="18" customHeight="1">
      <c r="A1826" s="641"/>
      <c r="B1826" s="548" t="s">
        <v>1146</v>
      </c>
      <c r="C1826" s="404"/>
      <c r="D1826" s="405"/>
      <c r="E1826" s="405"/>
      <c r="F1826" s="405"/>
      <c r="G1826" s="67" t="str">
        <f t="shared" si="56"/>
        <v xml:space="preserve"> </v>
      </c>
      <c r="H1826" s="947"/>
      <c r="I1826" s="1231"/>
    </row>
    <row r="1827" spans="1:10" s="606" customFormat="1" ht="18" customHeight="1">
      <c r="A1827" s="675"/>
      <c r="B1827" s="676" t="s">
        <v>1395</v>
      </c>
      <c r="C1827" s="573">
        <v>2</v>
      </c>
      <c r="D1827" s="574">
        <v>1.7</v>
      </c>
      <c r="E1827" s="405"/>
      <c r="F1827" s="405">
        <v>0.3</v>
      </c>
      <c r="G1827" s="67">
        <f t="shared" si="56"/>
        <v>1.02</v>
      </c>
      <c r="H1827" s="946" t="s">
        <v>1442</v>
      </c>
      <c r="I1827" s="1242"/>
    </row>
    <row r="1828" spans="1:10" s="606" customFormat="1" ht="18" customHeight="1">
      <c r="A1828" s="675"/>
      <c r="B1828" s="676"/>
      <c r="C1828" s="573">
        <v>2</v>
      </c>
      <c r="D1828" s="574">
        <v>1.85</v>
      </c>
      <c r="E1828" s="405"/>
      <c r="F1828" s="405">
        <v>0.3</v>
      </c>
      <c r="G1828" s="67">
        <f t="shared" si="56"/>
        <v>1.1100000000000001</v>
      </c>
      <c r="H1828" s="946" t="s">
        <v>1442</v>
      </c>
      <c r="I1828" s="1242"/>
    </row>
    <row r="1829" spans="1:10" s="79" customFormat="1" ht="18" customHeight="1">
      <c r="A1829" s="479"/>
      <c r="B1829" s="548" t="s">
        <v>1147</v>
      </c>
      <c r="C1829" s="404"/>
      <c r="D1829" s="405"/>
      <c r="E1829" s="405"/>
      <c r="F1829" s="405"/>
      <c r="G1829" s="67" t="str">
        <f t="shared" si="56"/>
        <v xml:space="preserve"> </v>
      </c>
      <c r="H1829" s="946" t="s">
        <v>1442</v>
      </c>
      <c r="I1829" s="1231"/>
    </row>
    <row r="1830" spans="1:10" s="606" customFormat="1" ht="18" customHeight="1">
      <c r="A1830" s="675"/>
      <c r="B1830" s="676" t="s">
        <v>1394</v>
      </c>
      <c r="C1830" s="573">
        <v>2</v>
      </c>
      <c r="D1830" s="574">
        <v>1.7</v>
      </c>
      <c r="E1830" s="405"/>
      <c r="F1830" s="405">
        <v>0.3</v>
      </c>
      <c r="G1830" s="67">
        <f t="shared" si="56"/>
        <v>1.02</v>
      </c>
      <c r="H1830" s="946" t="s">
        <v>1442</v>
      </c>
      <c r="I1830" s="1242"/>
    </row>
    <row r="1831" spans="1:10" s="606" customFormat="1" ht="18" customHeight="1">
      <c r="A1831" s="675"/>
      <c r="B1831" s="81"/>
      <c r="C1831" s="404">
        <v>2</v>
      </c>
      <c r="D1831" s="405">
        <v>2.7</v>
      </c>
      <c r="E1831" s="405"/>
      <c r="F1831" s="405">
        <v>0.3</v>
      </c>
      <c r="G1831" s="67">
        <f t="shared" si="56"/>
        <v>1.62</v>
      </c>
      <c r="H1831" s="946" t="s">
        <v>1442</v>
      </c>
      <c r="I1831" s="1242"/>
    </row>
    <row r="1832" spans="1:10" s="873" customFormat="1" ht="18" customHeight="1">
      <c r="A1832" s="380"/>
      <c r="B1832" s="80" t="s">
        <v>2188</v>
      </c>
      <c r="C1832" s="712"/>
      <c r="D1832" s="713"/>
      <c r="E1832" s="713"/>
      <c r="F1832" s="713"/>
      <c r="G1832" s="842">
        <f>SUM(G1424:G1831)</f>
        <v>3983.8499999999963</v>
      </c>
      <c r="H1832" s="945" t="s">
        <v>10</v>
      </c>
      <c r="I1832" s="1243" t="s">
        <v>446</v>
      </c>
    </row>
    <row r="1833" spans="1:10" ht="18" customHeight="1">
      <c r="A1833" s="934"/>
      <c r="B1833" s="566"/>
      <c r="C1833" s="565"/>
      <c r="D1833" s="254"/>
      <c r="E1833" s="254"/>
      <c r="F1833" s="254"/>
      <c r="G1833" s="566"/>
      <c r="H1833" s="935"/>
      <c r="J1833" s="640"/>
    </row>
    <row r="1834" spans="1:10" ht="18" customHeight="1">
      <c r="A1834" s="380" t="s">
        <v>449</v>
      </c>
      <c r="B1834" s="387" t="s">
        <v>1626</v>
      </c>
      <c r="C1834" s="70"/>
      <c r="D1834" s="67"/>
      <c r="E1834" s="67"/>
      <c r="F1834" s="67"/>
      <c r="G1834" s="67"/>
      <c r="H1834" s="929"/>
    </row>
    <row r="1835" spans="1:10" ht="18" customHeight="1">
      <c r="A1835" s="75"/>
      <c r="B1835" s="607" t="s">
        <v>1541</v>
      </c>
      <c r="C1835" s="70"/>
      <c r="D1835" s="68"/>
      <c r="E1835" s="68"/>
      <c r="F1835" s="68"/>
      <c r="G1835" s="68"/>
      <c r="H1835" s="929"/>
    </row>
    <row r="1836" spans="1:10" ht="18" customHeight="1">
      <c r="A1836" s="75"/>
      <c r="B1836" s="406" t="s">
        <v>1542</v>
      </c>
      <c r="C1836" s="70">
        <v>1</v>
      </c>
      <c r="D1836" s="68">
        <f>3.2+6.45+6.45+6.3+6.45+6.45+3.2+3.925+3.925</f>
        <v>46.35</v>
      </c>
      <c r="E1836" s="68">
        <v>11.65</v>
      </c>
      <c r="F1836" s="68"/>
      <c r="G1836" s="67">
        <f t="shared" ref="G1836:G1899" si="57">IF(C1836&lt;&gt;0,ROUND(PRODUCT(D1836:F1836)*C1836,2)," ")</f>
        <v>539.98</v>
      </c>
      <c r="H1836" s="929"/>
    </row>
    <row r="1837" spans="1:10" ht="18" customHeight="1">
      <c r="A1837" s="75"/>
      <c r="B1837" s="406" t="s">
        <v>1543</v>
      </c>
      <c r="C1837" s="70">
        <v>-15</v>
      </c>
      <c r="D1837" s="68">
        <v>1</v>
      </c>
      <c r="E1837" s="68">
        <v>1.8</v>
      </c>
      <c r="F1837" s="68"/>
      <c r="G1837" s="67">
        <f t="shared" si="57"/>
        <v>-27</v>
      </c>
      <c r="H1837" s="929"/>
    </row>
    <row r="1838" spans="1:10" ht="18" customHeight="1">
      <c r="A1838" s="75"/>
      <c r="B1838" s="406" t="s">
        <v>1544</v>
      </c>
      <c r="C1838" s="70">
        <v>-2</v>
      </c>
      <c r="D1838" s="68">
        <v>1.7</v>
      </c>
      <c r="E1838" s="68">
        <v>2.4</v>
      </c>
      <c r="F1838" s="68"/>
      <c r="G1838" s="67">
        <f t="shared" si="57"/>
        <v>-8.16</v>
      </c>
      <c r="H1838" s="929"/>
    </row>
    <row r="1839" spans="1:10" ht="18" customHeight="1">
      <c r="A1839" s="75"/>
      <c r="B1839" s="406" t="s">
        <v>1545</v>
      </c>
      <c r="C1839" s="70">
        <v>2</v>
      </c>
      <c r="D1839" s="68">
        <f>1.7+1.7+2.4+2.4</f>
        <v>8.1999999999999993</v>
      </c>
      <c r="E1839" s="68">
        <v>0.1</v>
      </c>
      <c r="F1839" s="68"/>
      <c r="G1839" s="67">
        <f t="shared" si="57"/>
        <v>1.64</v>
      </c>
      <c r="H1839" s="929"/>
    </row>
    <row r="1840" spans="1:10" ht="18" customHeight="1">
      <c r="A1840" s="75"/>
      <c r="B1840" s="63" t="s">
        <v>1546</v>
      </c>
      <c r="C1840" s="70">
        <v>-1</v>
      </c>
      <c r="D1840" s="68">
        <v>1.8</v>
      </c>
      <c r="E1840" s="68">
        <v>2.7</v>
      </c>
      <c r="F1840" s="68"/>
      <c r="G1840" s="67">
        <f t="shared" si="57"/>
        <v>-4.8600000000000003</v>
      </c>
      <c r="H1840" s="929"/>
    </row>
    <row r="1841" spans="1:8" ht="18" customHeight="1">
      <c r="A1841" s="75"/>
      <c r="B1841" s="406" t="s">
        <v>1545</v>
      </c>
      <c r="C1841" s="70">
        <v>1</v>
      </c>
      <c r="D1841" s="68">
        <f>1.8+1.8+2.7+2.7</f>
        <v>9</v>
      </c>
      <c r="E1841" s="68">
        <v>0.1</v>
      </c>
      <c r="F1841" s="68"/>
      <c r="G1841" s="67">
        <f t="shared" si="57"/>
        <v>0.9</v>
      </c>
      <c r="H1841" s="929"/>
    </row>
    <row r="1842" spans="1:8" ht="18" customHeight="1">
      <c r="A1842" s="75"/>
      <c r="B1842" s="63" t="s">
        <v>1547</v>
      </c>
      <c r="C1842" s="70">
        <v>-1</v>
      </c>
      <c r="D1842" s="68">
        <v>4.9000000000000004</v>
      </c>
      <c r="E1842" s="68">
        <v>1.8</v>
      </c>
      <c r="F1842" s="68"/>
      <c r="G1842" s="67">
        <f t="shared" si="57"/>
        <v>-8.82</v>
      </c>
      <c r="H1842" s="929"/>
    </row>
    <row r="1843" spans="1:8" ht="18" customHeight="1">
      <c r="A1843" s="75"/>
      <c r="B1843" s="406" t="s">
        <v>1545</v>
      </c>
      <c r="C1843" s="70">
        <v>1</v>
      </c>
      <c r="D1843" s="68">
        <f>4.9+4.9+1.8+1.8</f>
        <v>13.400000000000002</v>
      </c>
      <c r="E1843" s="68">
        <v>0.1</v>
      </c>
      <c r="F1843" s="68"/>
      <c r="G1843" s="67">
        <f t="shared" si="57"/>
        <v>1.34</v>
      </c>
      <c r="H1843" s="929"/>
    </row>
    <row r="1844" spans="1:8" ht="18" customHeight="1">
      <c r="A1844" s="75"/>
      <c r="B1844" s="406" t="s">
        <v>1548</v>
      </c>
      <c r="C1844" s="70">
        <v>-1</v>
      </c>
      <c r="D1844" s="68">
        <v>3.0249999999999999</v>
      </c>
      <c r="E1844" s="68">
        <v>11.65</v>
      </c>
      <c r="F1844" s="68"/>
      <c r="G1844" s="67">
        <f t="shared" si="57"/>
        <v>-35.24</v>
      </c>
      <c r="H1844" s="929"/>
    </row>
    <row r="1845" spans="1:8" ht="18" customHeight="1">
      <c r="A1845" s="75"/>
      <c r="B1845" s="406" t="s">
        <v>1549</v>
      </c>
      <c r="C1845" s="70">
        <v>2</v>
      </c>
      <c r="D1845" s="68">
        <f>3.025+11.65+11.65</f>
        <v>26.325000000000003</v>
      </c>
      <c r="E1845" s="68">
        <v>0.1</v>
      </c>
      <c r="F1845" s="68"/>
      <c r="G1845" s="67">
        <f t="shared" si="57"/>
        <v>5.27</v>
      </c>
      <c r="H1845" s="929"/>
    </row>
    <row r="1846" spans="1:8" ht="18" customHeight="1">
      <c r="A1846" s="75"/>
      <c r="B1846" s="607" t="s">
        <v>1550</v>
      </c>
      <c r="C1846" s="70"/>
      <c r="D1846" s="68"/>
      <c r="E1846" s="68"/>
      <c r="F1846" s="68"/>
      <c r="G1846" s="67" t="str">
        <f t="shared" si="57"/>
        <v xml:space="preserve"> </v>
      </c>
      <c r="H1846" s="929"/>
    </row>
    <row r="1847" spans="1:8" ht="18" customHeight="1">
      <c r="A1847" s="75"/>
      <c r="B1847" s="406" t="s">
        <v>1193</v>
      </c>
      <c r="C1847" s="70">
        <v>1</v>
      </c>
      <c r="D1847" s="68">
        <f>2.298+4.6+3.825+3.2+6.45+6.45+6.3+6.45+6.45+3.2+3.825+4.6+2.298</f>
        <v>59.946000000000012</v>
      </c>
      <c r="E1847" s="68">
        <v>11.65</v>
      </c>
      <c r="F1847" s="68"/>
      <c r="G1847" s="67">
        <f t="shared" si="57"/>
        <v>698.37</v>
      </c>
      <c r="H1847" s="929"/>
    </row>
    <row r="1848" spans="1:8" ht="18" customHeight="1">
      <c r="A1848" s="75"/>
      <c r="B1848" s="406" t="s">
        <v>1551</v>
      </c>
      <c r="C1848" s="70">
        <v>-11</v>
      </c>
      <c r="D1848" s="68">
        <v>1</v>
      </c>
      <c r="E1848" s="68">
        <v>1.8</v>
      </c>
      <c r="F1848" s="68"/>
      <c r="G1848" s="67">
        <f t="shared" si="57"/>
        <v>-19.8</v>
      </c>
      <c r="H1848" s="929"/>
    </row>
    <row r="1849" spans="1:8" ht="18" customHeight="1">
      <c r="A1849" s="75"/>
      <c r="B1849" s="406" t="s">
        <v>1552</v>
      </c>
      <c r="C1849" s="70">
        <v>-6</v>
      </c>
      <c r="D1849" s="68">
        <v>1</v>
      </c>
      <c r="E1849" s="68">
        <v>1.8</v>
      </c>
      <c r="F1849" s="68"/>
      <c r="G1849" s="67">
        <f t="shared" si="57"/>
        <v>-10.8</v>
      </c>
      <c r="H1849" s="929"/>
    </row>
    <row r="1850" spans="1:8" ht="18" customHeight="1">
      <c r="A1850" s="75"/>
      <c r="B1850" s="406" t="s">
        <v>1553</v>
      </c>
      <c r="C1850" s="70">
        <v>-1.5</v>
      </c>
      <c r="D1850" s="68">
        <v>1.5</v>
      </c>
      <c r="E1850" s="68">
        <v>1.1000000000000001</v>
      </c>
      <c r="F1850" s="68"/>
      <c r="G1850" s="67">
        <f t="shared" si="57"/>
        <v>-2.48</v>
      </c>
      <c r="H1850" s="929"/>
    </row>
    <row r="1851" spans="1:8" ht="18" customHeight="1">
      <c r="A1851" s="75"/>
      <c r="B1851" s="406" t="s">
        <v>1554</v>
      </c>
      <c r="C1851" s="70">
        <v>-0.5</v>
      </c>
      <c r="D1851" s="68">
        <v>0.6</v>
      </c>
      <c r="E1851" s="68">
        <v>0.6</v>
      </c>
      <c r="F1851" s="68"/>
      <c r="G1851" s="67">
        <f t="shared" si="57"/>
        <v>-0.18</v>
      </c>
      <c r="H1851" s="929"/>
    </row>
    <row r="1852" spans="1:8" ht="18" customHeight="1">
      <c r="A1852" s="75"/>
      <c r="B1852" s="406" t="s">
        <v>1555</v>
      </c>
      <c r="C1852" s="70">
        <v>-0.5</v>
      </c>
      <c r="D1852" s="68">
        <v>1</v>
      </c>
      <c r="E1852" s="68">
        <v>2.1</v>
      </c>
      <c r="F1852" s="68"/>
      <c r="G1852" s="67">
        <f t="shared" si="57"/>
        <v>-1.05</v>
      </c>
      <c r="H1852" s="929"/>
    </row>
    <row r="1853" spans="1:8" ht="18" customHeight="1">
      <c r="A1853" s="75"/>
      <c r="B1853" s="406" t="s">
        <v>1556</v>
      </c>
      <c r="C1853" s="70">
        <v>-0.5</v>
      </c>
      <c r="D1853" s="68">
        <v>1.2</v>
      </c>
      <c r="E1853" s="68">
        <v>2.1</v>
      </c>
      <c r="F1853" s="68"/>
      <c r="G1853" s="67">
        <f t="shared" si="57"/>
        <v>-1.26</v>
      </c>
      <c r="H1853" s="929"/>
    </row>
    <row r="1854" spans="1:8" ht="18" customHeight="1">
      <c r="A1854" s="75"/>
      <c r="B1854" s="406" t="s">
        <v>1544</v>
      </c>
      <c r="C1854" s="70">
        <v>-1</v>
      </c>
      <c r="D1854" s="68">
        <v>1.7</v>
      </c>
      <c r="E1854" s="68">
        <v>2.4</v>
      </c>
      <c r="F1854" s="68"/>
      <c r="G1854" s="67">
        <f t="shared" si="57"/>
        <v>-4.08</v>
      </c>
      <c r="H1854" s="929"/>
    </row>
    <row r="1855" spans="1:8" ht="18" customHeight="1">
      <c r="A1855" s="75"/>
      <c r="B1855" s="406" t="s">
        <v>1545</v>
      </c>
      <c r="C1855" s="70">
        <v>1</v>
      </c>
      <c r="D1855" s="68">
        <f>1.7+1.7+2.4+2.4</f>
        <v>8.1999999999999993</v>
      </c>
      <c r="E1855" s="68">
        <v>0.1</v>
      </c>
      <c r="F1855" s="68"/>
      <c r="G1855" s="67">
        <f t="shared" si="57"/>
        <v>0.82</v>
      </c>
      <c r="H1855" s="929"/>
    </row>
    <row r="1856" spans="1:8" ht="18" customHeight="1">
      <c r="A1856" s="75"/>
      <c r="B1856" s="406" t="s">
        <v>1557</v>
      </c>
      <c r="C1856" s="70">
        <v>-1</v>
      </c>
      <c r="D1856" s="68">
        <v>1.8</v>
      </c>
      <c r="E1856" s="68">
        <v>2.1</v>
      </c>
      <c r="F1856" s="68"/>
      <c r="G1856" s="67">
        <f t="shared" si="57"/>
        <v>-3.78</v>
      </c>
      <c r="H1856" s="929"/>
    </row>
    <row r="1857" spans="1:8" ht="18" customHeight="1">
      <c r="A1857" s="75"/>
      <c r="B1857" s="406" t="s">
        <v>1545</v>
      </c>
      <c r="C1857" s="70">
        <v>1</v>
      </c>
      <c r="D1857" s="68">
        <f>2.1+2.1+1.8</f>
        <v>6</v>
      </c>
      <c r="E1857" s="68">
        <v>0.1</v>
      </c>
      <c r="F1857" s="68"/>
      <c r="G1857" s="67">
        <f t="shared" si="57"/>
        <v>0.6</v>
      </c>
      <c r="H1857" s="929"/>
    </row>
    <row r="1858" spans="1:8" ht="18" customHeight="1">
      <c r="A1858" s="75"/>
      <c r="B1858" s="607" t="s">
        <v>1558</v>
      </c>
      <c r="C1858" s="70"/>
      <c r="D1858" s="68"/>
      <c r="E1858" s="68"/>
      <c r="F1858" s="68"/>
      <c r="G1858" s="67" t="str">
        <f t="shared" si="57"/>
        <v xml:space="preserve"> </v>
      </c>
      <c r="H1858" s="929"/>
    </row>
    <row r="1859" spans="1:8" ht="18" customHeight="1">
      <c r="A1859" s="75"/>
      <c r="B1859" s="406" t="s">
        <v>1559</v>
      </c>
      <c r="C1859" s="70">
        <v>1</v>
      </c>
      <c r="D1859" s="68">
        <v>45.677999999999997</v>
      </c>
      <c r="E1859" s="68">
        <v>11.65</v>
      </c>
      <c r="F1859" s="68"/>
      <c r="G1859" s="67">
        <f t="shared" si="57"/>
        <v>532.15</v>
      </c>
      <c r="H1859" s="929"/>
    </row>
    <row r="1860" spans="1:8" ht="18" customHeight="1">
      <c r="A1860" s="75"/>
      <c r="B1860" s="406" t="s">
        <v>1560</v>
      </c>
      <c r="C1860" s="70">
        <v>1</v>
      </c>
      <c r="D1860" s="68">
        <v>9.36</v>
      </c>
      <c r="E1860" s="68">
        <v>3.9</v>
      </c>
      <c r="F1860" s="68"/>
      <c r="G1860" s="67">
        <f t="shared" si="57"/>
        <v>36.5</v>
      </c>
      <c r="H1860" s="929"/>
    </row>
    <row r="1861" spans="1:8" ht="18" customHeight="1">
      <c r="A1861" s="75"/>
      <c r="B1861" s="406" t="s">
        <v>1561</v>
      </c>
      <c r="C1861" s="70">
        <v>-10.5</v>
      </c>
      <c r="D1861" s="68">
        <v>1</v>
      </c>
      <c r="E1861" s="68">
        <v>1.8</v>
      </c>
      <c r="F1861" s="68"/>
      <c r="G1861" s="67">
        <f t="shared" si="57"/>
        <v>-18.899999999999999</v>
      </c>
      <c r="H1861" s="929"/>
    </row>
    <row r="1862" spans="1:8" ht="18" customHeight="1">
      <c r="A1862" s="75"/>
      <c r="B1862" s="406" t="s">
        <v>1556</v>
      </c>
      <c r="C1862" s="70">
        <v>-0.5</v>
      </c>
      <c r="D1862" s="68">
        <v>1.2</v>
      </c>
      <c r="E1862" s="68">
        <v>2.1</v>
      </c>
      <c r="F1862" s="68"/>
      <c r="G1862" s="67">
        <f t="shared" si="57"/>
        <v>-1.26</v>
      </c>
      <c r="H1862" s="929"/>
    </row>
    <row r="1863" spans="1:8" ht="18" customHeight="1">
      <c r="A1863" s="75"/>
      <c r="B1863" s="406" t="s">
        <v>1548</v>
      </c>
      <c r="C1863" s="70">
        <v>-1</v>
      </c>
      <c r="D1863" s="68">
        <v>2.7949999999999999</v>
      </c>
      <c r="E1863" s="68">
        <v>11.65</v>
      </c>
      <c r="F1863" s="68"/>
      <c r="G1863" s="67">
        <f t="shared" si="57"/>
        <v>-32.56</v>
      </c>
      <c r="H1863" s="929"/>
    </row>
    <row r="1864" spans="1:8" ht="18" customHeight="1">
      <c r="A1864" s="75"/>
      <c r="B1864" s="406" t="s">
        <v>1549</v>
      </c>
      <c r="C1864" s="70">
        <v>1</v>
      </c>
      <c r="D1864" s="68">
        <f>3.175+11.65+11.65</f>
        <v>26.475000000000001</v>
      </c>
      <c r="E1864" s="68">
        <v>0.1</v>
      </c>
      <c r="F1864" s="68"/>
      <c r="G1864" s="67">
        <f t="shared" si="57"/>
        <v>2.65</v>
      </c>
      <c r="H1864" s="929"/>
    </row>
    <row r="1865" spans="1:8" ht="18" customHeight="1">
      <c r="A1865" s="75"/>
      <c r="B1865" s="406" t="s">
        <v>1548</v>
      </c>
      <c r="C1865" s="70">
        <v>-1</v>
      </c>
      <c r="D1865" s="68">
        <v>3.55</v>
      </c>
      <c r="E1865" s="68">
        <v>11.65</v>
      </c>
      <c r="F1865" s="68"/>
      <c r="G1865" s="67">
        <f t="shared" si="57"/>
        <v>-41.36</v>
      </c>
      <c r="H1865" s="929"/>
    </row>
    <row r="1866" spans="1:8" ht="18" customHeight="1">
      <c r="A1866" s="75"/>
      <c r="B1866" s="406" t="s">
        <v>1549</v>
      </c>
      <c r="C1866" s="70">
        <v>1</v>
      </c>
      <c r="D1866" s="68">
        <f>3.55+11.65+11.65</f>
        <v>26.85</v>
      </c>
      <c r="E1866" s="68">
        <v>0.1</v>
      </c>
      <c r="F1866" s="68"/>
      <c r="G1866" s="67">
        <f t="shared" si="57"/>
        <v>2.69</v>
      </c>
      <c r="H1866" s="929"/>
    </row>
    <row r="1867" spans="1:8" ht="18" customHeight="1">
      <c r="A1867" s="75"/>
      <c r="B1867" s="607" t="s">
        <v>1558</v>
      </c>
      <c r="C1867" s="70"/>
      <c r="D1867" s="68"/>
      <c r="E1867" s="68"/>
      <c r="F1867" s="68"/>
      <c r="G1867" s="67" t="str">
        <f t="shared" si="57"/>
        <v xml:space="preserve"> </v>
      </c>
      <c r="H1867" s="929"/>
    </row>
    <row r="1868" spans="1:8" ht="18" customHeight="1">
      <c r="A1868" s="75"/>
      <c r="B1868" s="406" t="s">
        <v>1559</v>
      </c>
      <c r="C1868" s="70">
        <v>1</v>
      </c>
      <c r="D1868" s="68">
        <v>45.677999999999997</v>
      </c>
      <c r="E1868" s="68">
        <v>11.65</v>
      </c>
      <c r="F1868" s="68"/>
      <c r="G1868" s="67">
        <f t="shared" si="57"/>
        <v>532.15</v>
      </c>
      <c r="H1868" s="929"/>
    </row>
    <row r="1869" spans="1:8" ht="18" customHeight="1">
      <c r="A1869" s="75"/>
      <c r="B1869" s="406" t="s">
        <v>1560</v>
      </c>
      <c r="C1869" s="70">
        <v>1</v>
      </c>
      <c r="D1869" s="68">
        <v>9.36</v>
      </c>
      <c r="E1869" s="68">
        <v>3.9</v>
      </c>
      <c r="F1869" s="68"/>
      <c r="G1869" s="67">
        <f t="shared" si="57"/>
        <v>36.5</v>
      </c>
      <c r="H1869" s="929"/>
    </row>
    <row r="1870" spans="1:8" ht="18" customHeight="1">
      <c r="A1870" s="75"/>
      <c r="B1870" s="406" t="s">
        <v>1561</v>
      </c>
      <c r="C1870" s="70">
        <v>-10.5</v>
      </c>
      <c r="D1870" s="68">
        <v>1</v>
      </c>
      <c r="E1870" s="68">
        <v>1.8</v>
      </c>
      <c r="F1870" s="68"/>
      <c r="G1870" s="67">
        <f t="shared" si="57"/>
        <v>-18.899999999999999</v>
      </c>
      <c r="H1870" s="929"/>
    </row>
    <row r="1871" spans="1:8" ht="18" customHeight="1">
      <c r="A1871" s="75"/>
      <c r="B1871" s="406" t="s">
        <v>1556</v>
      </c>
      <c r="C1871" s="70">
        <v>-0.5</v>
      </c>
      <c r="D1871" s="68">
        <v>1.2</v>
      </c>
      <c r="E1871" s="68">
        <v>2.1</v>
      </c>
      <c r="F1871" s="68"/>
      <c r="G1871" s="67">
        <f t="shared" si="57"/>
        <v>-1.26</v>
      </c>
      <c r="H1871" s="929"/>
    </row>
    <row r="1872" spans="1:8" ht="18" customHeight="1">
      <c r="A1872" s="75"/>
      <c r="B1872" s="406" t="s">
        <v>1548</v>
      </c>
      <c r="C1872" s="70">
        <v>-1</v>
      </c>
      <c r="D1872" s="68">
        <v>2.7949999999999999</v>
      </c>
      <c r="E1872" s="68">
        <v>11.65</v>
      </c>
      <c r="F1872" s="68"/>
      <c r="G1872" s="67">
        <f t="shared" si="57"/>
        <v>-32.56</v>
      </c>
      <c r="H1872" s="929"/>
    </row>
    <row r="1873" spans="1:8" ht="18" customHeight="1">
      <c r="A1873" s="75"/>
      <c r="B1873" s="406" t="s">
        <v>1549</v>
      </c>
      <c r="C1873" s="70">
        <v>1</v>
      </c>
      <c r="D1873" s="68">
        <f>3.175+11.65+11.65</f>
        <v>26.475000000000001</v>
      </c>
      <c r="E1873" s="68">
        <v>0.1</v>
      </c>
      <c r="F1873" s="68"/>
      <c r="G1873" s="67">
        <f t="shared" si="57"/>
        <v>2.65</v>
      </c>
      <c r="H1873" s="929"/>
    </row>
    <row r="1874" spans="1:8" ht="18" customHeight="1">
      <c r="A1874" s="75"/>
      <c r="B1874" s="406" t="s">
        <v>1548</v>
      </c>
      <c r="C1874" s="70">
        <v>-1</v>
      </c>
      <c r="D1874" s="68">
        <v>3.55</v>
      </c>
      <c r="E1874" s="68">
        <v>11.65</v>
      </c>
      <c r="F1874" s="68"/>
      <c r="G1874" s="67">
        <f t="shared" si="57"/>
        <v>-41.36</v>
      </c>
      <c r="H1874" s="929"/>
    </row>
    <row r="1875" spans="1:8" ht="18" customHeight="1">
      <c r="A1875" s="75"/>
      <c r="B1875" s="406" t="s">
        <v>1549</v>
      </c>
      <c r="C1875" s="70">
        <v>1</v>
      </c>
      <c r="D1875" s="68">
        <v>26.85</v>
      </c>
      <c r="E1875" s="68">
        <v>0.1</v>
      </c>
      <c r="F1875" s="68"/>
      <c r="G1875" s="67">
        <f t="shared" si="57"/>
        <v>2.69</v>
      </c>
      <c r="H1875" s="929"/>
    </row>
    <row r="1876" spans="1:8" ht="18" customHeight="1">
      <c r="A1876" s="75"/>
      <c r="B1876" s="639" t="s">
        <v>1195</v>
      </c>
      <c r="C1876" s="70"/>
      <c r="D1876" s="68"/>
      <c r="E1876" s="68"/>
      <c r="F1876" s="68"/>
      <c r="G1876" s="67" t="str">
        <f t="shared" si="57"/>
        <v xml:space="preserve"> </v>
      </c>
      <c r="H1876" s="929"/>
    </row>
    <row r="1877" spans="1:8" ht="18" customHeight="1">
      <c r="A1877" s="75"/>
      <c r="B1877" s="607" t="s">
        <v>1562</v>
      </c>
      <c r="C1877" s="70"/>
      <c r="D1877" s="68"/>
      <c r="E1877" s="68"/>
      <c r="F1877" s="68"/>
      <c r="G1877" s="67" t="str">
        <f t="shared" si="57"/>
        <v xml:space="preserve"> </v>
      </c>
      <c r="H1877" s="929"/>
    </row>
    <row r="1878" spans="1:8" ht="18" customHeight="1">
      <c r="A1878" s="75"/>
      <c r="B1878" s="406" t="s">
        <v>1196</v>
      </c>
      <c r="C1878" s="70">
        <v>1</v>
      </c>
      <c r="D1878" s="567">
        <v>31.898</v>
      </c>
      <c r="E1878" s="68">
        <f>11.65-1.2</f>
        <v>10.450000000000001</v>
      </c>
      <c r="F1878" s="68"/>
      <c r="G1878" s="67">
        <f t="shared" si="57"/>
        <v>333.33</v>
      </c>
      <c r="H1878" s="929"/>
    </row>
    <row r="1879" spans="1:8" ht="18" customHeight="1">
      <c r="A1879" s="75"/>
      <c r="B1879" s="406" t="s">
        <v>1563</v>
      </c>
      <c r="C1879" s="70">
        <v>-10</v>
      </c>
      <c r="D1879" s="68">
        <v>1</v>
      </c>
      <c r="E1879" s="68">
        <v>1.8</v>
      </c>
      <c r="F1879" s="68"/>
      <c r="G1879" s="67">
        <f t="shared" si="57"/>
        <v>-18</v>
      </c>
      <c r="H1879" s="929"/>
    </row>
    <row r="1880" spans="1:8" ht="18" customHeight="1">
      <c r="A1880" s="75"/>
      <c r="B1880" s="406" t="s">
        <v>1564</v>
      </c>
      <c r="C1880" s="70">
        <v>-1</v>
      </c>
      <c r="D1880" s="68">
        <v>0.8</v>
      </c>
      <c r="E1880" s="68">
        <v>1.8</v>
      </c>
      <c r="F1880" s="68"/>
      <c r="G1880" s="67">
        <f t="shared" si="57"/>
        <v>-1.44</v>
      </c>
      <c r="H1880" s="929"/>
    </row>
    <row r="1881" spans="1:8" ht="18" customHeight="1">
      <c r="A1881" s="75"/>
      <c r="B1881" s="406" t="s">
        <v>1565</v>
      </c>
      <c r="C1881" s="70">
        <v>-1.5</v>
      </c>
      <c r="D1881" s="68">
        <v>0.6</v>
      </c>
      <c r="E1881" s="68">
        <v>0.6</v>
      </c>
      <c r="F1881" s="68"/>
      <c r="G1881" s="67">
        <f t="shared" si="57"/>
        <v>-0.54</v>
      </c>
      <c r="H1881" s="929"/>
    </row>
    <row r="1882" spans="1:8" ht="18" customHeight="1">
      <c r="A1882" s="75"/>
      <c r="B1882" s="406" t="s">
        <v>1566</v>
      </c>
      <c r="C1882" s="70">
        <v>-1.5</v>
      </c>
      <c r="D1882" s="68">
        <v>1</v>
      </c>
      <c r="E1882" s="68">
        <v>1.8</v>
      </c>
      <c r="F1882" s="68"/>
      <c r="G1882" s="67">
        <f t="shared" si="57"/>
        <v>-2.7</v>
      </c>
      <c r="H1882" s="929"/>
    </row>
    <row r="1883" spans="1:8" ht="18" customHeight="1">
      <c r="A1883" s="75"/>
      <c r="B1883" s="63" t="s">
        <v>1567</v>
      </c>
      <c r="C1883" s="70">
        <v>-1</v>
      </c>
      <c r="D1883" s="68">
        <v>5.5</v>
      </c>
      <c r="E1883" s="68">
        <v>10.9</v>
      </c>
      <c r="F1883" s="68"/>
      <c r="G1883" s="67">
        <f t="shared" si="57"/>
        <v>-59.95</v>
      </c>
      <c r="H1883" s="929"/>
    </row>
    <row r="1884" spans="1:8" ht="18" customHeight="1">
      <c r="A1884" s="75"/>
      <c r="B1884" s="63" t="s">
        <v>1568</v>
      </c>
      <c r="C1884" s="70">
        <v>2</v>
      </c>
      <c r="D1884" s="68">
        <v>0.45</v>
      </c>
      <c r="E1884" s="68">
        <v>13.45</v>
      </c>
      <c r="F1884" s="68"/>
      <c r="G1884" s="67">
        <f t="shared" si="57"/>
        <v>12.11</v>
      </c>
      <c r="H1884" s="929"/>
    </row>
    <row r="1885" spans="1:8" ht="18" customHeight="1">
      <c r="A1885" s="75"/>
      <c r="B1885" s="607" t="s">
        <v>1569</v>
      </c>
      <c r="C1885" s="70"/>
      <c r="D1885" s="68"/>
      <c r="E1885" s="68"/>
      <c r="F1885" s="68"/>
      <c r="G1885" s="67" t="str">
        <f t="shared" si="57"/>
        <v xml:space="preserve"> </v>
      </c>
      <c r="H1885" s="929"/>
    </row>
    <row r="1886" spans="1:8" ht="18" customHeight="1">
      <c r="A1886" s="75"/>
      <c r="B1886" s="406" t="s">
        <v>1197</v>
      </c>
      <c r="C1886" s="70">
        <v>1</v>
      </c>
      <c r="D1886" s="567">
        <v>31.898</v>
      </c>
      <c r="E1886" s="68">
        <f>11.65-1.2</f>
        <v>10.450000000000001</v>
      </c>
      <c r="F1886" s="68"/>
      <c r="G1886" s="67">
        <f t="shared" si="57"/>
        <v>333.33</v>
      </c>
      <c r="H1886" s="929"/>
    </row>
    <row r="1887" spans="1:8" ht="18" customHeight="1">
      <c r="A1887" s="75"/>
      <c r="B1887" s="406" t="s">
        <v>1512</v>
      </c>
      <c r="C1887" s="70">
        <v>2</v>
      </c>
      <c r="D1887" s="68">
        <f>1.475+1.825</f>
        <v>3.3</v>
      </c>
      <c r="E1887" s="68">
        <v>3.9</v>
      </c>
      <c r="F1887" s="68"/>
      <c r="G1887" s="67">
        <f t="shared" si="57"/>
        <v>25.74</v>
      </c>
      <c r="H1887" s="929"/>
    </row>
    <row r="1888" spans="1:8" ht="18" customHeight="1">
      <c r="A1888" s="75"/>
      <c r="B1888" s="406" t="s">
        <v>1570</v>
      </c>
      <c r="C1888" s="70">
        <v>-0.5</v>
      </c>
      <c r="D1888" s="68">
        <v>1.2</v>
      </c>
      <c r="E1888" s="68">
        <v>2.1</v>
      </c>
      <c r="F1888" s="68"/>
      <c r="G1888" s="67">
        <f t="shared" si="57"/>
        <v>-1.26</v>
      </c>
      <c r="H1888" s="929"/>
    </row>
    <row r="1889" spans="1:8" ht="18" customHeight="1">
      <c r="A1889" s="75"/>
      <c r="B1889" s="406" t="s">
        <v>1571</v>
      </c>
      <c r="C1889" s="70">
        <v>-0.5</v>
      </c>
      <c r="D1889" s="68">
        <v>1.5</v>
      </c>
      <c r="E1889" s="68">
        <v>1.1000000000000001</v>
      </c>
      <c r="F1889" s="68"/>
      <c r="G1889" s="67">
        <f t="shared" si="57"/>
        <v>-0.83</v>
      </c>
      <c r="H1889" s="929"/>
    </row>
    <row r="1890" spans="1:8" ht="18" customHeight="1">
      <c r="A1890" s="75"/>
      <c r="B1890" s="406" t="s">
        <v>1572</v>
      </c>
      <c r="C1890" s="70">
        <v>-9</v>
      </c>
      <c r="D1890" s="68">
        <v>1</v>
      </c>
      <c r="E1890" s="68">
        <v>1.8</v>
      </c>
      <c r="F1890" s="68"/>
      <c r="G1890" s="67">
        <f t="shared" si="57"/>
        <v>-16.2</v>
      </c>
      <c r="H1890" s="929"/>
    </row>
    <row r="1891" spans="1:8" ht="18" customHeight="1">
      <c r="A1891" s="75"/>
      <c r="B1891" s="406" t="s">
        <v>1573</v>
      </c>
      <c r="C1891" s="70">
        <v>-2</v>
      </c>
      <c r="D1891" s="68">
        <v>3</v>
      </c>
      <c r="E1891" s="68">
        <v>1.8</v>
      </c>
      <c r="F1891" s="68"/>
      <c r="G1891" s="67">
        <f t="shared" si="57"/>
        <v>-10.8</v>
      </c>
      <c r="H1891" s="929"/>
    </row>
    <row r="1892" spans="1:8" ht="18" customHeight="1">
      <c r="A1892" s="75"/>
      <c r="B1892" s="406" t="s">
        <v>1574</v>
      </c>
      <c r="C1892" s="70">
        <v>2</v>
      </c>
      <c r="D1892" s="68">
        <f>3+3+1.8+1.8</f>
        <v>9.6</v>
      </c>
      <c r="E1892" s="68">
        <v>0.1</v>
      </c>
      <c r="F1892" s="68"/>
      <c r="G1892" s="67">
        <f t="shared" si="57"/>
        <v>1.92</v>
      </c>
      <c r="H1892" s="929"/>
    </row>
    <row r="1893" spans="1:8" ht="18" customHeight="1">
      <c r="A1893" s="75"/>
      <c r="B1893" s="406" t="s">
        <v>964</v>
      </c>
      <c r="C1893" s="70">
        <v>-2</v>
      </c>
      <c r="D1893" s="68">
        <v>1</v>
      </c>
      <c r="E1893" s="68">
        <v>2.1</v>
      </c>
      <c r="F1893" s="68"/>
      <c r="G1893" s="67">
        <f t="shared" si="57"/>
        <v>-4.2</v>
      </c>
      <c r="H1893" s="929"/>
    </row>
    <row r="1894" spans="1:8" ht="18" customHeight="1">
      <c r="A1894" s="75"/>
      <c r="B1894" s="406" t="s">
        <v>1575</v>
      </c>
      <c r="C1894" s="70">
        <v>-2</v>
      </c>
      <c r="D1894" s="68">
        <v>1.7</v>
      </c>
      <c r="E1894" s="68">
        <v>2.4</v>
      </c>
      <c r="F1894" s="68"/>
      <c r="G1894" s="67">
        <f t="shared" si="57"/>
        <v>-8.16</v>
      </c>
      <c r="H1894" s="929"/>
    </row>
    <row r="1895" spans="1:8" ht="18" customHeight="1">
      <c r="A1895" s="75"/>
      <c r="B1895" s="406" t="s">
        <v>1574</v>
      </c>
      <c r="C1895" s="70">
        <v>2</v>
      </c>
      <c r="D1895" s="68">
        <f>1.7+1.7+2.4+2.4</f>
        <v>8.1999999999999993</v>
      </c>
      <c r="E1895" s="68">
        <v>0.1</v>
      </c>
      <c r="F1895" s="68"/>
      <c r="G1895" s="67">
        <f t="shared" si="57"/>
        <v>1.64</v>
      </c>
      <c r="H1895" s="929"/>
    </row>
    <row r="1896" spans="1:8" ht="18" customHeight="1">
      <c r="A1896" s="75"/>
      <c r="B1896" s="406" t="s">
        <v>1576</v>
      </c>
      <c r="C1896" s="70">
        <v>-1</v>
      </c>
      <c r="D1896" s="68">
        <v>1.8</v>
      </c>
      <c r="E1896" s="68">
        <v>2.1</v>
      </c>
      <c r="F1896" s="68"/>
      <c r="G1896" s="67">
        <f t="shared" si="57"/>
        <v>-3.78</v>
      </c>
      <c r="H1896" s="929"/>
    </row>
    <row r="1897" spans="1:8" ht="18" customHeight="1">
      <c r="A1897" s="75"/>
      <c r="B1897" s="406" t="s">
        <v>1574</v>
      </c>
      <c r="C1897" s="70">
        <v>1</v>
      </c>
      <c r="D1897" s="68">
        <f>1.8+2.1+2.1</f>
        <v>6</v>
      </c>
      <c r="E1897" s="68">
        <v>0.1</v>
      </c>
      <c r="F1897" s="68"/>
      <c r="G1897" s="67">
        <f t="shared" si="57"/>
        <v>0.6</v>
      </c>
      <c r="H1897" s="929"/>
    </row>
    <row r="1898" spans="1:8" ht="18" customHeight="1">
      <c r="A1898" s="75"/>
      <c r="B1898" s="406" t="s">
        <v>1577</v>
      </c>
      <c r="C1898" s="70">
        <v>-1</v>
      </c>
      <c r="D1898" s="68">
        <v>2.5</v>
      </c>
      <c r="E1898" s="68">
        <v>1.8</v>
      </c>
      <c r="F1898" s="68"/>
      <c r="G1898" s="67">
        <f t="shared" si="57"/>
        <v>-4.5</v>
      </c>
      <c r="H1898" s="929"/>
    </row>
    <row r="1899" spans="1:8" ht="18" customHeight="1">
      <c r="A1899" s="75"/>
      <c r="B1899" s="406" t="s">
        <v>1574</v>
      </c>
      <c r="C1899" s="70">
        <v>1</v>
      </c>
      <c r="D1899" s="68">
        <f>2.5+2.5+1.8+1.8</f>
        <v>8.6</v>
      </c>
      <c r="E1899" s="68">
        <v>0.1</v>
      </c>
      <c r="F1899" s="68"/>
      <c r="G1899" s="67">
        <f t="shared" si="57"/>
        <v>0.86</v>
      </c>
      <c r="H1899" s="929"/>
    </row>
    <row r="1900" spans="1:8" ht="18" customHeight="1">
      <c r="A1900" s="75"/>
      <c r="B1900" s="64" t="s">
        <v>1578</v>
      </c>
      <c r="C1900" s="70"/>
      <c r="D1900" s="68"/>
      <c r="E1900" s="68"/>
      <c r="F1900" s="68"/>
      <c r="G1900" s="67" t="str">
        <f t="shared" ref="G1900:G1963" si="58">IF(C1900&lt;&gt;0,ROUND(PRODUCT(D1900:F1900)*C1900,2)," ")</f>
        <v xml:space="preserve"> </v>
      </c>
      <c r="H1900" s="929"/>
    </row>
    <row r="1901" spans="1:8" ht="18" customHeight="1">
      <c r="A1901" s="75"/>
      <c r="B1901" s="63" t="s">
        <v>1198</v>
      </c>
      <c r="C1901" s="70">
        <v>1</v>
      </c>
      <c r="D1901" s="567">
        <v>17.45</v>
      </c>
      <c r="E1901" s="68">
        <v>10.45</v>
      </c>
      <c r="F1901" s="68"/>
      <c r="G1901" s="67">
        <f t="shared" si="58"/>
        <v>182.35</v>
      </c>
      <c r="H1901" s="929"/>
    </row>
    <row r="1902" spans="1:8" ht="18" customHeight="1">
      <c r="A1902" s="75"/>
      <c r="B1902" s="406" t="s">
        <v>1579</v>
      </c>
      <c r="C1902" s="70">
        <v>-6</v>
      </c>
      <c r="D1902" s="68">
        <v>1</v>
      </c>
      <c r="E1902" s="68">
        <v>1.8</v>
      </c>
      <c r="F1902" s="68"/>
      <c r="G1902" s="67">
        <f t="shared" si="58"/>
        <v>-10.8</v>
      </c>
      <c r="H1902" s="929"/>
    </row>
    <row r="1903" spans="1:8" ht="18" customHeight="1">
      <c r="A1903" s="75"/>
      <c r="B1903" s="406" t="s">
        <v>1566</v>
      </c>
      <c r="C1903" s="70">
        <v>-1.5</v>
      </c>
      <c r="D1903" s="68">
        <v>1</v>
      </c>
      <c r="E1903" s="68">
        <v>1.8</v>
      </c>
      <c r="F1903" s="68"/>
      <c r="G1903" s="67">
        <f t="shared" si="58"/>
        <v>-2.7</v>
      </c>
      <c r="H1903" s="929"/>
    </row>
    <row r="1904" spans="1:8" ht="18" customHeight="1">
      <c r="A1904" s="75"/>
      <c r="B1904" s="406" t="s">
        <v>1580</v>
      </c>
      <c r="C1904" s="70">
        <v>-1.5</v>
      </c>
      <c r="D1904" s="68">
        <v>2.4</v>
      </c>
      <c r="E1904" s="68">
        <v>1.2</v>
      </c>
      <c r="F1904" s="68"/>
      <c r="G1904" s="67">
        <f t="shared" si="58"/>
        <v>-4.32</v>
      </c>
      <c r="H1904" s="929"/>
    </row>
    <row r="1905" spans="1:8" ht="18" customHeight="1">
      <c r="A1905" s="75"/>
      <c r="B1905" s="63"/>
      <c r="C1905" s="70"/>
      <c r="D1905" s="68"/>
      <c r="E1905" s="68"/>
      <c r="F1905" s="68"/>
      <c r="G1905" s="67" t="str">
        <f t="shared" si="58"/>
        <v xml:space="preserve"> </v>
      </c>
      <c r="H1905" s="929"/>
    </row>
    <row r="1906" spans="1:8" ht="18" customHeight="1">
      <c r="A1906" s="75"/>
      <c r="B1906" s="64" t="s">
        <v>1581</v>
      </c>
      <c r="C1906" s="70"/>
      <c r="D1906" s="68"/>
      <c r="E1906" s="68"/>
      <c r="F1906" s="68"/>
      <c r="G1906" s="67" t="str">
        <f t="shared" si="58"/>
        <v xml:space="preserve"> </v>
      </c>
      <c r="H1906" s="929"/>
    </row>
    <row r="1907" spans="1:8" ht="18" customHeight="1">
      <c r="A1907" s="75"/>
      <c r="B1907" s="63" t="s">
        <v>1199</v>
      </c>
      <c r="C1907" s="70">
        <v>1</v>
      </c>
      <c r="D1907" s="567">
        <v>17.45</v>
      </c>
      <c r="E1907" s="68">
        <v>10.45</v>
      </c>
      <c r="F1907" s="68"/>
      <c r="G1907" s="67">
        <f t="shared" si="58"/>
        <v>182.35</v>
      </c>
      <c r="H1907" s="929"/>
    </row>
    <row r="1908" spans="1:8" ht="18" customHeight="1">
      <c r="A1908" s="75"/>
      <c r="B1908" s="406" t="s">
        <v>1579</v>
      </c>
      <c r="C1908" s="70">
        <v>-6</v>
      </c>
      <c r="D1908" s="68">
        <v>1</v>
      </c>
      <c r="E1908" s="68">
        <v>1.8</v>
      </c>
      <c r="F1908" s="68"/>
      <c r="G1908" s="67">
        <f t="shared" si="58"/>
        <v>-10.8</v>
      </c>
      <c r="H1908" s="929"/>
    </row>
    <row r="1909" spans="1:8" ht="18" customHeight="1">
      <c r="A1909" s="75"/>
      <c r="B1909" s="406" t="s">
        <v>1566</v>
      </c>
      <c r="C1909" s="70">
        <v>-1.5</v>
      </c>
      <c r="D1909" s="68">
        <v>1</v>
      </c>
      <c r="E1909" s="68">
        <v>1.8</v>
      </c>
      <c r="F1909" s="68"/>
      <c r="G1909" s="67">
        <f t="shared" si="58"/>
        <v>-2.7</v>
      </c>
      <c r="H1909" s="929"/>
    </row>
    <row r="1910" spans="1:8" ht="18" customHeight="1">
      <c r="A1910" s="75"/>
      <c r="B1910" s="406" t="s">
        <v>1580</v>
      </c>
      <c r="C1910" s="70">
        <v>-1.5</v>
      </c>
      <c r="D1910" s="68">
        <v>2.4</v>
      </c>
      <c r="E1910" s="68">
        <v>1.2</v>
      </c>
      <c r="F1910" s="68"/>
      <c r="G1910" s="67">
        <f t="shared" si="58"/>
        <v>-4.32</v>
      </c>
      <c r="H1910" s="929"/>
    </row>
    <row r="1911" spans="1:8" ht="18" customHeight="1">
      <c r="A1911" s="75"/>
      <c r="B1911" s="63"/>
      <c r="C1911" s="70"/>
      <c r="D1911" s="68"/>
      <c r="E1911" s="68"/>
      <c r="F1911" s="68"/>
      <c r="G1911" s="67" t="str">
        <f t="shared" si="58"/>
        <v xml:space="preserve"> </v>
      </c>
      <c r="H1911" s="929"/>
    </row>
    <row r="1912" spans="1:8" ht="18" customHeight="1">
      <c r="A1912" s="75"/>
      <c r="B1912" s="64" t="s">
        <v>1582</v>
      </c>
      <c r="C1912" s="70"/>
      <c r="D1912" s="68"/>
      <c r="E1912" s="68"/>
      <c r="F1912" s="68"/>
      <c r="G1912" s="67" t="str">
        <f t="shared" si="58"/>
        <v xml:space="preserve"> </v>
      </c>
      <c r="H1912" s="929"/>
    </row>
    <row r="1913" spans="1:8" ht="18" customHeight="1">
      <c r="A1913" s="75"/>
      <c r="B1913" s="64" t="s">
        <v>1583</v>
      </c>
      <c r="C1913" s="70"/>
      <c r="D1913" s="68"/>
      <c r="E1913" s="68"/>
      <c r="F1913" s="68"/>
      <c r="G1913" s="67" t="str">
        <f t="shared" si="58"/>
        <v xml:space="preserve"> </v>
      </c>
      <c r="H1913" s="929"/>
    </row>
    <row r="1914" spans="1:8" ht="18" customHeight="1">
      <c r="A1914" s="75"/>
      <c r="B1914" s="63" t="s">
        <v>967</v>
      </c>
      <c r="C1914" s="70">
        <v>2</v>
      </c>
      <c r="D1914" s="567">
        <v>9.1120000000000001</v>
      </c>
      <c r="E1914" s="68"/>
      <c r="F1914" s="68">
        <v>2.0249999999999999</v>
      </c>
      <c r="G1914" s="67">
        <f t="shared" si="58"/>
        <v>36.9</v>
      </c>
      <c r="H1914" s="929"/>
    </row>
    <row r="1915" spans="1:8" ht="18" customHeight="1">
      <c r="A1915" s="75"/>
      <c r="B1915" s="63" t="s">
        <v>965</v>
      </c>
      <c r="C1915" s="70">
        <v>2</v>
      </c>
      <c r="D1915" s="68">
        <f>2.298+4.6+3.825-0.38</f>
        <v>10.342999999999998</v>
      </c>
      <c r="E1915" s="68"/>
      <c r="F1915" s="68">
        <v>2.0249999999999999</v>
      </c>
      <c r="G1915" s="67">
        <f t="shared" si="58"/>
        <v>41.89</v>
      </c>
      <c r="H1915" s="929"/>
    </row>
    <row r="1916" spans="1:8" ht="18" customHeight="1">
      <c r="A1916" s="75"/>
      <c r="B1916" s="63" t="s">
        <v>1108</v>
      </c>
      <c r="C1916" s="70">
        <v>2</v>
      </c>
      <c r="D1916" s="68">
        <f>5.187+4.125</f>
        <v>9.3120000000000012</v>
      </c>
      <c r="E1916" s="68"/>
      <c r="F1916" s="68">
        <v>2.0249999999999999</v>
      </c>
      <c r="G1916" s="67">
        <f t="shared" si="58"/>
        <v>37.71</v>
      </c>
      <c r="H1916" s="929"/>
    </row>
    <row r="1917" spans="1:8" ht="18" customHeight="1">
      <c r="A1917" s="75"/>
      <c r="B1917" s="63" t="s">
        <v>960</v>
      </c>
      <c r="C1917" s="70">
        <v>2</v>
      </c>
      <c r="D1917" s="68">
        <f>2.298+4.6</f>
        <v>6.8979999999999997</v>
      </c>
      <c r="E1917" s="68"/>
      <c r="F1917" s="68">
        <v>2.0249999999999999</v>
      </c>
      <c r="G1917" s="67">
        <f t="shared" si="58"/>
        <v>27.94</v>
      </c>
      <c r="H1917" s="929"/>
    </row>
    <row r="1918" spans="1:8" ht="18" customHeight="1">
      <c r="A1918" s="75"/>
      <c r="B1918" s="63" t="s">
        <v>952</v>
      </c>
      <c r="C1918" s="70">
        <v>2</v>
      </c>
      <c r="D1918" s="68">
        <f>2.298+4.6</f>
        <v>6.8979999999999997</v>
      </c>
      <c r="E1918" s="68"/>
      <c r="F1918" s="68">
        <v>2.0249999999999999</v>
      </c>
      <c r="G1918" s="67">
        <f t="shared" si="58"/>
        <v>27.94</v>
      </c>
      <c r="H1918" s="929"/>
    </row>
    <row r="1919" spans="1:8" ht="18" customHeight="1">
      <c r="A1919" s="75"/>
      <c r="B1919" s="63" t="s">
        <v>954</v>
      </c>
      <c r="C1919" s="70">
        <v>2</v>
      </c>
      <c r="D1919" s="68">
        <v>0.8</v>
      </c>
      <c r="E1919" s="68"/>
      <c r="F1919" s="68">
        <v>2.0249999999999999</v>
      </c>
      <c r="G1919" s="67">
        <f t="shared" si="58"/>
        <v>3.24</v>
      </c>
      <c r="H1919" s="929"/>
    </row>
    <row r="1920" spans="1:8" ht="18" customHeight="1">
      <c r="A1920" s="75"/>
      <c r="B1920" s="63"/>
      <c r="C1920" s="70">
        <v>2</v>
      </c>
      <c r="D1920" s="567">
        <v>1.7030000000000001</v>
      </c>
      <c r="E1920" s="68"/>
      <c r="F1920" s="68">
        <v>2.0249999999999999</v>
      </c>
      <c r="G1920" s="67">
        <f t="shared" si="58"/>
        <v>6.9</v>
      </c>
      <c r="H1920" s="929"/>
    </row>
    <row r="1921" spans="1:9" ht="18" customHeight="1">
      <c r="A1921" s="75"/>
      <c r="B1921" s="63" t="s">
        <v>955</v>
      </c>
      <c r="C1921" s="70">
        <v>2</v>
      </c>
      <c r="D1921" s="68">
        <v>3.375</v>
      </c>
      <c r="E1921" s="68"/>
      <c r="F1921" s="68">
        <v>2.0249999999999999</v>
      </c>
      <c r="G1921" s="67">
        <f t="shared" si="58"/>
        <v>13.67</v>
      </c>
      <c r="H1921" s="929"/>
    </row>
    <row r="1922" spans="1:9" s="623" customFormat="1" ht="18" customHeight="1">
      <c r="A1922" s="454"/>
      <c r="B1922" s="625" t="s">
        <v>2139</v>
      </c>
      <c r="C1922" s="568">
        <v>-1</v>
      </c>
      <c r="D1922" s="567">
        <v>1.2</v>
      </c>
      <c r="E1922" s="452"/>
      <c r="F1922" s="567">
        <v>2.1</v>
      </c>
      <c r="G1922" s="67">
        <f t="shared" si="58"/>
        <v>-2.52</v>
      </c>
      <c r="H1922" s="940"/>
      <c r="I1922" s="1234"/>
    </row>
    <row r="1923" spans="1:9" s="623" customFormat="1" ht="18" customHeight="1">
      <c r="A1923" s="454"/>
      <c r="B1923" s="625" t="s">
        <v>2140</v>
      </c>
      <c r="C1923" s="568">
        <v>-1</v>
      </c>
      <c r="D1923" s="567">
        <v>0.9</v>
      </c>
      <c r="E1923" s="452"/>
      <c r="F1923" s="567">
        <v>2.1</v>
      </c>
      <c r="G1923" s="67">
        <f t="shared" si="58"/>
        <v>-1.89</v>
      </c>
      <c r="H1923" s="940"/>
      <c r="I1923" s="1234"/>
    </row>
    <row r="1924" spans="1:9" ht="18" customHeight="1">
      <c r="A1924" s="75"/>
      <c r="B1924" s="63" t="s">
        <v>1584</v>
      </c>
      <c r="C1924" s="70">
        <v>2</v>
      </c>
      <c r="D1924" s="68">
        <v>13.723000000000001</v>
      </c>
      <c r="E1924" s="68"/>
      <c r="F1924" s="68">
        <v>2.0249999999999999</v>
      </c>
      <c r="G1924" s="67">
        <f t="shared" si="58"/>
        <v>55.58</v>
      </c>
      <c r="H1924" s="929"/>
    </row>
    <row r="1925" spans="1:9" ht="18" customHeight="1">
      <c r="A1925" s="75"/>
      <c r="B1925" s="63" t="s">
        <v>1585</v>
      </c>
      <c r="C1925" s="70">
        <v>2</v>
      </c>
      <c r="D1925" s="68">
        <f>1.425-0.2</f>
        <v>1.2250000000000001</v>
      </c>
      <c r="E1925" s="68"/>
      <c r="F1925" s="68">
        <v>2.0249999999999999</v>
      </c>
      <c r="G1925" s="67">
        <f t="shared" si="58"/>
        <v>4.96</v>
      </c>
      <c r="H1925" s="929"/>
    </row>
    <row r="1926" spans="1:9" ht="18" customHeight="1">
      <c r="A1926" s="75"/>
      <c r="B1926" s="63" t="s">
        <v>1586</v>
      </c>
      <c r="C1926" s="70">
        <v>2</v>
      </c>
      <c r="D1926" s="68">
        <v>5.0599999999999996</v>
      </c>
      <c r="E1926" s="68"/>
      <c r="F1926" s="68">
        <v>2.0249999999999999</v>
      </c>
      <c r="G1926" s="67">
        <f t="shared" si="58"/>
        <v>20.49</v>
      </c>
      <c r="H1926" s="929"/>
    </row>
    <row r="1927" spans="1:9" ht="18" customHeight="1">
      <c r="A1927" s="75"/>
      <c r="B1927" s="63"/>
      <c r="C1927" s="70"/>
      <c r="D1927" s="68"/>
      <c r="E1927" s="68"/>
      <c r="F1927" s="68"/>
      <c r="G1927" s="67" t="str">
        <f t="shared" si="58"/>
        <v xml:space="preserve"> </v>
      </c>
      <c r="H1927" s="929"/>
    </row>
    <row r="1928" spans="1:9" ht="18" customHeight="1">
      <c r="A1928" s="75"/>
      <c r="B1928" s="582" t="s">
        <v>1109</v>
      </c>
      <c r="C1928" s="70"/>
      <c r="D1928" s="68"/>
      <c r="E1928" s="68"/>
      <c r="F1928" s="68"/>
      <c r="G1928" s="67" t="str">
        <f t="shared" si="58"/>
        <v xml:space="preserve"> </v>
      </c>
      <c r="H1928" s="929"/>
    </row>
    <row r="1929" spans="1:9" ht="18" customHeight="1">
      <c r="A1929" s="75"/>
      <c r="B1929" s="63" t="s">
        <v>1587</v>
      </c>
      <c r="C1929" s="70">
        <v>2</v>
      </c>
      <c r="D1929" s="68">
        <f>3.775+3.075+1.6</f>
        <v>8.4499999999999993</v>
      </c>
      <c r="E1929" s="68"/>
      <c r="F1929" s="68">
        <v>2.0249999999999999</v>
      </c>
      <c r="G1929" s="67">
        <f t="shared" si="58"/>
        <v>34.22</v>
      </c>
      <c r="H1929" s="929"/>
    </row>
    <row r="1930" spans="1:9" ht="18" customHeight="1">
      <c r="A1930" s="75"/>
      <c r="B1930" s="63" t="s">
        <v>1588</v>
      </c>
      <c r="C1930" s="70">
        <v>2</v>
      </c>
      <c r="D1930" s="68">
        <f>3.775+3.075+1.6</f>
        <v>8.4499999999999993</v>
      </c>
      <c r="E1930" s="68"/>
      <c r="F1930" s="68">
        <v>2.0249999999999999</v>
      </c>
      <c r="G1930" s="67">
        <f t="shared" si="58"/>
        <v>34.22</v>
      </c>
      <c r="H1930" s="929"/>
    </row>
    <row r="1931" spans="1:9" ht="18" customHeight="1">
      <c r="A1931" s="75"/>
      <c r="B1931" s="63" t="s">
        <v>1110</v>
      </c>
      <c r="C1931" s="70">
        <v>2</v>
      </c>
      <c r="D1931" s="68">
        <v>6.3</v>
      </c>
      <c r="E1931" s="68"/>
      <c r="F1931" s="68">
        <v>2.0249999999999999</v>
      </c>
      <c r="G1931" s="67">
        <f t="shared" si="58"/>
        <v>25.52</v>
      </c>
      <c r="H1931" s="929"/>
    </row>
    <row r="1932" spans="1:9" ht="18" customHeight="1">
      <c r="A1932" s="75"/>
      <c r="B1932" s="63" t="s">
        <v>953</v>
      </c>
      <c r="C1932" s="70">
        <v>-1</v>
      </c>
      <c r="D1932" s="68">
        <v>1.2</v>
      </c>
      <c r="E1932" s="68"/>
      <c r="F1932" s="68">
        <v>2.0249999999999999</v>
      </c>
      <c r="G1932" s="67">
        <f t="shared" si="58"/>
        <v>-2.4300000000000002</v>
      </c>
      <c r="H1932" s="929"/>
    </row>
    <row r="1933" spans="1:9" ht="18" customHeight="1">
      <c r="A1933" s="75"/>
      <c r="B1933" s="63" t="s">
        <v>1589</v>
      </c>
      <c r="C1933" s="70">
        <v>2</v>
      </c>
      <c r="D1933" s="68">
        <v>6.3</v>
      </c>
      <c r="E1933" s="68"/>
      <c r="F1933" s="68">
        <v>2.0249999999999999</v>
      </c>
      <c r="G1933" s="67">
        <f t="shared" si="58"/>
        <v>25.52</v>
      </c>
      <c r="H1933" s="929"/>
    </row>
    <row r="1934" spans="1:9" ht="18" customHeight="1">
      <c r="A1934" s="75"/>
      <c r="B1934" s="582" t="s">
        <v>1590</v>
      </c>
      <c r="C1934" s="70"/>
      <c r="D1934" s="68"/>
      <c r="E1934" s="68"/>
      <c r="F1934" s="68"/>
      <c r="G1934" s="67" t="str">
        <f t="shared" si="58"/>
        <v xml:space="preserve"> </v>
      </c>
      <c r="H1934" s="929"/>
    </row>
    <row r="1935" spans="1:9" ht="18" customHeight="1">
      <c r="A1935" s="75"/>
      <c r="B1935" s="64" t="s">
        <v>1591</v>
      </c>
      <c r="C1935" s="70"/>
      <c r="D1935" s="68"/>
      <c r="E1935" s="68"/>
      <c r="F1935" s="68"/>
      <c r="G1935" s="67" t="str">
        <f t="shared" si="58"/>
        <v xml:space="preserve"> </v>
      </c>
      <c r="H1935" s="929"/>
    </row>
    <row r="1936" spans="1:9" ht="18" customHeight="1">
      <c r="A1936" s="75"/>
      <c r="B1936" s="63" t="s">
        <v>1592</v>
      </c>
      <c r="C1936" s="70">
        <v>1</v>
      </c>
      <c r="D1936" s="68">
        <f>6.45+6.4+6.4+1.825</f>
        <v>21.074999999999999</v>
      </c>
      <c r="E1936" s="68">
        <f>0.2+0.25+0.25</f>
        <v>0.7</v>
      </c>
      <c r="F1936" s="68"/>
      <c r="G1936" s="67">
        <f t="shared" si="58"/>
        <v>14.75</v>
      </c>
      <c r="H1936" s="929"/>
    </row>
    <row r="1937" spans="1:8" ht="18" customHeight="1">
      <c r="A1937" s="432"/>
      <c r="B1937" s="63" t="s">
        <v>1593</v>
      </c>
      <c r="C1937" s="70">
        <v>1</v>
      </c>
      <c r="D1937" s="68">
        <f>3.6+1</f>
        <v>4.5999999999999996</v>
      </c>
      <c r="E1937" s="68">
        <f t="shared" ref="E1937:E1954" si="59">0.2+0.25+0.25</f>
        <v>0.7</v>
      </c>
      <c r="F1937" s="68"/>
      <c r="G1937" s="67">
        <f t="shared" si="58"/>
        <v>3.22</v>
      </c>
      <c r="H1937" s="929"/>
    </row>
    <row r="1938" spans="1:8" ht="18" customHeight="1">
      <c r="A1938" s="432"/>
      <c r="B1938" s="63" t="s">
        <v>1594</v>
      </c>
      <c r="C1938" s="70">
        <v>1</v>
      </c>
      <c r="D1938" s="68">
        <v>3.7749999999999999</v>
      </c>
      <c r="E1938" s="68">
        <f t="shared" si="59"/>
        <v>0.7</v>
      </c>
      <c r="F1938" s="68"/>
      <c r="G1938" s="67">
        <f t="shared" si="58"/>
        <v>2.64</v>
      </c>
      <c r="H1938" s="929"/>
    </row>
    <row r="1939" spans="1:8" ht="18" customHeight="1">
      <c r="A1939" s="432"/>
      <c r="B1939" s="63" t="s">
        <v>1595</v>
      </c>
      <c r="C1939" s="70">
        <v>1</v>
      </c>
      <c r="D1939" s="68">
        <v>3.8250000000000002</v>
      </c>
      <c r="E1939" s="68">
        <f t="shared" si="59"/>
        <v>0.7</v>
      </c>
      <c r="F1939" s="68"/>
      <c r="G1939" s="67">
        <f t="shared" si="58"/>
        <v>2.68</v>
      </c>
      <c r="H1939" s="929"/>
    </row>
    <row r="1940" spans="1:8" ht="18" customHeight="1">
      <c r="A1940" s="432"/>
      <c r="B1940" s="63" t="s">
        <v>1596</v>
      </c>
      <c r="C1940" s="70">
        <v>1</v>
      </c>
      <c r="D1940" s="68">
        <v>4.5999999999999996</v>
      </c>
      <c r="E1940" s="68">
        <f t="shared" si="59"/>
        <v>0.7</v>
      </c>
      <c r="F1940" s="68"/>
      <c r="G1940" s="67">
        <f t="shared" si="58"/>
        <v>3.22</v>
      </c>
      <c r="H1940" s="929"/>
    </row>
    <row r="1941" spans="1:8" ht="18" customHeight="1">
      <c r="A1941" s="432"/>
      <c r="B1941" s="63" t="s">
        <v>1111</v>
      </c>
      <c r="C1941" s="70">
        <v>1</v>
      </c>
      <c r="D1941" s="68">
        <f>3.2+6.45+6.45</f>
        <v>16.100000000000001</v>
      </c>
      <c r="E1941" s="68">
        <f t="shared" si="59"/>
        <v>0.7</v>
      </c>
      <c r="F1941" s="68"/>
      <c r="G1941" s="67">
        <f t="shared" si="58"/>
        <v>11.27</v>
      </c>
      <c r="H1941" s="929"/>
    </row>
    <row r="1942" spans="1:8" ht="18" customHeight="1">
      <c r="A1942" s="432"/>
      <c r="B1942" s="63" t="s">
        <v>1597</v>
      </c>
      <c r="C1942" s="70">
        <v>1</v>
      </c>
      <c r="D1942" s="68">
        <v>4.5999999999999996</v>
      </c>
      <c r="E1942" s="68">
        <f t="shared" si="59"/>
        <v>0.7</v>
      </c>
      <c r="F1942" s="68"/>
      <c r="G1942" s="67">
        <f t="shared" si="58"/>
        <v>3.22</v>
      </c>
      <c r="H1942" s="929"/>
    </row>
    <row r="1943" spans="1:8" ht="18" customHeight="1">
      <c r="A1943" s="432"/>
      <c r="B1943" s="63" t="s">
        <v>1598</v>
      </c>
      <c r="C1943" s="70">
        <v>1</v>
      </c>
      <c r="D1943" s="68">
        <v>4.5999999999999996</v>
      </c>
      <c r="E1943" s="68">
        <f t="shared" si="59"/>
        <v>0.7</v>
      </c>
      <c r="F1943" s="68"/>
      <c r="G1943" s="67">
        <f t="shared" si="58"/>
        <v>3.22</v>
      </c>
      <c r="H1943" s="929"/>
    </row>
    <row r="1944" spans="1:8" ht="18" customHeight="1">
      <c r="A1944" s="432"/>
      <c r="B1944" s="63" t="s">
        <v>1112</v>
      </c>
      <c r="C1944" s="70">
        <v>1</v>
      </c>
      <c r="D1944" s="68">
        <f>6.45+6.45+3.2</f>
        <v>16.100000000000001</v>
      </c>
      <c r="E1944" s="68">
        <f t="shared" si="59"/>
        <v>0.7</v>
      </c>
      <c r="F1944" s="68"/>
      <c r="G1944" s="67">
        <f t="shared" si="58"/>
        <v>11.27</v>
      </c>
      <c r="H1944" s="929"/>
    </row>
    <row r="1945" spans="1:8" ht="18" customHeight="1">
      <c r="A1945" s="432"/>
      <c r="B1945" s="63" t="s">
        <v>1599</v>
      </c>
      <c r="C1945" s="70">
        <v>1</v>
      </c>
      <c r="D1945" s="68">
        <v>4.5999999999999996</v>
      </c>
      <c r="E1945" s="68">
        <f t="shared" si="59"/>
        <v>0.7</v>
      </c>
      <c r="F1945" s="68"/>
      <c r="G1945" s="67">
        <f t="shared" si="58"/>
        <v>3.22</v>
      </c>
      <c r="H1945" s="929"/>
    </row>
    <row r="1946" spans="1:8" ht="18" customHeight="1">
      <c r="A1946" s="432"/>
      <c r="B1946" s="63" t="s">
        <v>2141</v>
      </c>
      <c r="C1946" s="70">
        <v>1</v>
      </c>
      <c r="D1946" s="68">
        <v>3.8250000000000002</v>
      </c>
      <c r="E1946" s="68">
        <f t="shared" si="59"/>
        <v>0.7</v>
      </c>
      <c r="F1946" s="68"/>
      <c r="G1946" s="67">
        <f t="shared" si="58"/>
        <v>2.68</v>
      </c>
      <c r="H1946" s="929"/>
    </row>
    <row r="1947" spans="1:8" ht="18" customHeight="1">
      <c r="A1947" s="432"/>
      <c r="B1947" s="63" t="s">
        <v>1601</v>
      </c>
      <c r="C1947" s="70">
        <v>1</v>
      </c>
      <c r="D1947" s="68">
        <v>3.7749999999999999</v>
      </c>
      <c r="E1947" s="68">
        <f t="shared" si="59"/>
        <v>0.7</v>
      </c>
      <c r="F1947" s="68"/>
      <c r="G1947" s="67">
        <f t="shared" si="58"/>
        <v>2.64</v>
      </c>
      <c r="H1947" s="929"/>
    </row>
    <row r="1948" spans="1:8" ht="18" customHeight="1">
      <c r="A1948" s="432"/>
      <c r="B1948" s="63" t="s">
        <v>1602</v>
      </c>
      <c r="C1948" s="70">
        <v>1</v>
      </c>
      <c r="D1948" s="68">
        <f>3.6+1</f>
        <v>4.5999999999999996</v>
      </c>
      <c r="E1948" s="68">
        <f t="shared" si="59"/>
        <v>0.7</v>
      </c>
      <c r="F1948" s="68"/>
      <c r="G1948" s="67">
        <f t="shared" si="58"/>
        <v>3.22</v>
      </c>
      <c r="H1948" s="929"/>
    </row>
    <row r="1949" spans="1:8" ht="18" customHeight="1">
      <c r="A1949" s="75"/>
      <c r="B1949" s="63" t="s">
        <v>1603</v>
      </c>
      <c r="C1949" s="70">
        <v>1</v>
      </c>
      <c r="D1949" s="68">
        <f>6.45+6.4+6.4+1.825</f>
        <v>21.074999999999999</v>
      </c>
      <c r="E1949" s="68">
        <f t="shared" si="59"/>
        <v>0.7</v>
      </c>
      <c r="F1949" s="68"/>
      <c r="G1949" s="67">
        <f t="shared" si="58"/>
        <v>14.75</v>
      </c>
      <c r="H1949" s="929"/>
    </row>
    <row r="1950" spans="1:8" ht="18" customHeight="1">
      <c r="A1950" s="432"/>
      <c r="B1950" s="63" t="s">
        <v>1604</v>
      </c>
      <c r="C1950" s="70">
        <v>1</v>
      </c>
      <c r="D1950" s="68">
        <v>12.7</v>
      </c>
      <c r="E1950" s="68">
        <f t="shared" si="59"/>
        <v>0.7</v>
      </c>
      <c r="F1950" s="68"/>
      <c r="G1950" s="67">
        <f t="shared" si="58"/>
        <v>8.89</v>
      </c>
      <c r="H1950" s="929"/>
    </row>
    <row r="1951" spans="1:8" ht="18" customHeight="1">
      <c r="A1951" s="432"/>
      <c r="B1951" s="63" t="s">
        <v>1605</v>
      </c>
      <c r="C1951" s="70">
        <v>1</v>
      </c>
      <c r="D1951" s="68">
        <f>1.875+2.725</f>
        <v>4.5999999999999996</v>
      </c>
      <c r="E1951" s="68">
        <f t="shared" si="59"/>
        <v>0.7</v>
      </c>
      <c r="F1951" s="68"/>
      <c r="G1951" s="67">
        <f t="shared" si="58"/>
        <v>3.22</v>
      </c>
      <c r="H1951" s="929"/>
    </row>
    <row r="1952" spans="1:8" ht="18" customHeight="1">
      <c r="A1952" s="432"/>
      <c r="B1952" s="63" t="s">
        <v>1606</v>
      </c>
      <c r="C1952" s="70">
        <v>1</v>
      </c>
      <c r="D1952" s="68">
        <f>3.2+6.3+3.2</f>
        <v>12.7</v>
      </c>
      <c r="E1952" s="68">
        <f t="shared" si="59"/>
        <v>0.7</v>
      </c>
      <c r="F1952" s="68"/>
      <c r="G1952" s="67">
        <f t="shared" si="58"/>
        <v>8.89</v>
      </c>
      <c r="H1952" s="929"/>
    </row>
    <row r="1953" spans="1:9" ht="18" customHeight="1">
      <c r="A1953" s="432"/>
      <c r="B1953" s="63" t="s">
        <v>1607</v>
      </c>
      <c r="C1953" s="70">
        <v>1</v>
      </c>
      <c r="D1953" s="68">
        <f>1.875+2.725</f>
        <v>4.5999999999999996</v>
      </c>
      <c r="E1953" s="68">
        <f t="shared" si="59"/>
        <v>0.7</v>
      </c>
      <c r="F1953" s="68"/>
      <c r="G1953" s="67">
        <f t="shared" si="58"/>
        <v>3.22</v>
      </c>
      <c r="H1953" s="929"/>
    </row>
    <row r="1954" spans="1:9" ht="18" customHeight="1">
      <c r="A1954" s="432"/>
      <c r="B1954" s="63" t="s">
        <v>1113</v>
      </c>
      <c r="C1954" s="70">
        <v>1</v>
      </c>
      <c r="D1954" s="68">
        <v>12.7</v>
      </c>
      <c r="E1954" s="68">
        <f t="shared" si="59"/>
        <v>0.7</v>
      </c>
      <c r="F1954" s="68"/>
      <c r="G1954" s="67">
        <f t="shared" si="58"/>
        <v>8.89</v>
      </c>
      <c r="H1954" s="929"/>
    </row>
    <row r="1955" spans="1:9" ht="18" customHeight="1">
      <c r="A1955" s="432"/>
      <c r="B1955" s="63"/>
      <c r="C1955" s="70"/>
      <c r="D1955" s="68"/>
      <c r="E1955" s="68"/>
      <c r="F1955" s="68"/>
      <c r="G1955" s="67" t="str">
        <f t="shared" si="58"/>
        <v xml:space="preserve"> </v>
      </c>
      <c r="H1955" s="929"/>
    </row>
    <row r="1956" spans="1:9" ht="18" customHeight="1">
      <c r="A1956" s="624" t="s">
        <v>1306</v>
      </c>
      <c r="B1956" s="582" t="s">
        <v>2051</v>
      </c>
      <c r="C1956" s="70"/>
      <c r="D1956" s="68"/>
      <c r="E1956" s="68"/>
      <c r="F1956" s="68"/>
      <c r="G1956" s="67" t="str">
        <f t="shared" si="58"/>
        <v xml:space="preserve"> </v>
      </c>
      <c r="H1956" s="929" t="s">
        <v>1306</v>
      </c>
      <c r="I1956" s="1133"/>
    </row>
    <row r="1957" spans="1:9" ht="18" customHeight="1">
      <c r="A1957" s="128"/>
      <c r="B1957" s="64" t="s">
        <v>1145</v>
      </c>
      <c r="C1957" s="70"/>
      <c r="D1957" s="68"/>
      <c r="E1957" s="68"/>
      <c r="F1957" s="68"/>
      <c r="G1957" s="67" t="str">
        <f t="shared" si="58"/>
        <v xml:space="preserve"> </v>
      </c>
      <c r="H1957" s="929" t="s">
        <v>1306</v>
      </c>
      <c r="I1957" s="1133"/>
    </row>
    <row r="1958" spans="1:9" ht="18" customHeight="1">
      <c r="A1958" s="128"/>
      <c r="B1958" s="63" t="s">
        <v>942</v>
      </c>
      <c r="C1958" s="70">
        <v>1</v>
      </c>
      <c r="D1958" s="68">
        <f>6.45+6.4+6.4+3.25-1.15-1.15</f>
        <v>20.200000000000003</v>
      </c>
      <c r="E1958" s="68">
        <v>1.25</v>
      </c>
      <c r="F1958" s="638"/>
      <c r="G1958" s="67">
        <f t="shared" si="58"/>
        <v>25.25</v>
      </c>
      <c r="H1958" s="929" t="s">
        <v>1306</v>
      </c>
      <c r="I1958" s="1133"/>
    </row>
    <row r="1959" spans="1:9" ht="18" customHeight="1">
      <c r="A1959" s="128"/>
      <c r="B1959" s="63" t="s">
        <v>1086</v>
      </c>
      <c r="C1959" s="70">
        <v>1</v>
      </c>
      <c r="D1959" s="68">
        <f>6.45+6.4+6.4+3.25-1.15-1.15</f>
        <v>20.200000000000003</v>
      </c>
      <c r="E1959" s="68">
        <v>1.25</v>
      </c>
      <c r="F1959" s="638"/>
      <c r="G1959" s="67">
        <f t="shared" si="58"/>
        <v>25.25</v>
      </c>
      <c r="H1959" s="929" t="s">
        <v>1306</v>
      </c>
      <c r="I1959" s="1133"/>
    </row>
    <row r="1960" spans="1:9" ht="18" customHeight="1">
      <c r="A1960" s="128"/>
      <c r="B1960" s="63" t="s">
        <v>1291</v>
      </c>
      <c r="C1960" s="70">
        <v>2</v>
      </c>
      <c r="D1960" s="68">
        <f>2.2+2</f>
        <v>4.2</v>
      </c>
      <c r="E1960" s="68">
        <v>1.25</v>
      </c>
      <c r="F1960" s="638"/>
      <c r="G1960" s="67">
        <f t="shared" si="58"/>
        <v>10.5</v>
      </c>
      <c r="H1960" s="929" t="s">
        <v>1306</v>
      </c>
      <c r="I1960" s="1133"/>
    </row>
    <row r="1961" spans="1:9" ht="18" customHeight="1">
      <c r="A1961" s="128"/>
      <c r="B1961" s="63" t="s">
        <v>1292</v>
      </c>
      <c r="C1961" s="70">
        <v>2</v>
      </c>
      <c r="D1961" s="68">
        <f>2.2+2</f>
        <v>4.2</v>
      </c>
      <c r="E1961" s="68">
        <v>1.25</v>
      </c>
      <c r="F1961" s="638"/>
      <c r="G1961" s="67">
        <f t="shared" si="58"/>
        <v>10.5</v>
      </c>
      <c r="H1961" s="929" t="s">
        <v>1306</v>
      </c>
      <c r="I1961" s="1133"/>
    </row>
    <row r="1962" spans="1:9" ht="18" customHeight="1">
      <c r="A1962" s="128"/>
      <c r="B1962" s="63" t="s">
        <v>1293</v>
      </c>
      <c r="C1962" s="70">
        <v>1</v>
      </c>
      <c r="D1962" s="68">
        <f>6.45+6.45-0.915-0.915</f>
        <v>11.07</v>
      </c>
      <c r="E1962" s="68">
        <v>1.25</v>
      </c>
      <c r="F1962" s="638"/>
      <c r="G1962" s="67">
        <f t="shared" si="58"/>
        <v>13.84</v>
      </c>
      <c r="H1962" s="929" t="s">
        <v>1306</v>
      </c>
      <c r="I1962" s="1133"/>
    </row>
    <row r="1963" spans="1:9" ht="18" customHeight="1">
      <c r="A1963" s="128"/>
      <c r="B1963" s="63" t="s">
        <v>1294</v>
      </c>
      <c r="C1963" s="70">
        <v>1</v>
      </c>
      <c r="D1963" s="68">
        <f>6.45+6.45-0.915-0.915</f>
        <v>11.07</v>
      </c>
      <c r="E1963" s="68">
        <v>1.25</v>
      </c>
      <c r="F1963" s="638"/>
      <c r="G1963" s="67">
        <f t="shared" si="58"/>
        <v>13.84</v>
      </c>
      <c r="H1963" s="929" t="s">
        <v>1306</v>
      </c>
      <c r="I1963" s="1133"/>
    </row>
    <row r="1964" spans="1:9" ht="18" customHeight="1">
      <c r="A1964" s="128"/>
      <c r="B1964" s="63" t="s">
        <v>1295</v>
      </c>
      <c r="C1964" s="70">
        <v>1</v>
      </c>
      <c r="D1964" s="567">
        <v>13.1</v>
      </c>
      <c r="E1964" s="68">
        <v>1.25</v>
      </c>
      <c r="F1964" s="638"/>
      <c r="G1964" s="67">
        <f t="shared" ref="G1964:G1977" si="60">IF(C1964&lt;&gt;0,ROUND(PRODUCT(D1964:F1964)*C1964,2)," ")</f>
        <v>16.38</v>
      </c>
      <c r="H1964" s="929" t="s">
        <v>1306</v>
      </c>
      <c r="I1964" s="1133"/>
    </row>
    <row r="1965" spans="1:9" ht="18" customHeight="1">
      <c r="A1965" s="128"/>
      <c r="B1965" s="63" t="s">
        <v>1296</v>
      </c>
      <c r="C1965" s="70">
        <v>1</v>
      </c>
      <c r="D1965" s="567">
        <v>13.1</v>
      </c>
      <c r="E1965" s="68">
        <v>1.25</v>
      </c>
      <c r="F1965" s="638"/>
      <c r="G1965" s="67">
        <f t="shared" si="60"/>
        <v>16.38</v>
      </c>
      <c r="H1965" s="929" t="s">
        <v>1306</v>
      </c>
      <c r="I1965" s="1133"/>
    </row>
    <row r="1966" spans="1:9" ht="18" customHeight="1">
      <c r="A1966" s="128"/>
      <c r="B1966" s="63" t="s">
        <v>1113</v>
      </c>
      <c r="C1966" s="70">
        <v>1</v>
      </c>
      <c r="D1966" s="68">
        <f>3.2+6.45+3.25-1.025-1.075</f>
        <v>10.8</v>
      </c>
      <c r="E1966" s="68">
        <v>1.25</v>
      </c>
      <c r="F1966" s="638"/>
      <c r="G1966" s="67">
        <f t="shared" si="60"/>
        <v>13.5</v>
      </c>
      <c r="H1966" s="929" t="s">
        <v>1306</v>
      </c>
      <c r="I1966" s="1133"/>
    </row>
    <row r="1967" spans="1:9" ht="18" customHeight="1">
      <c r="A1967" s="128"/>
      <c r="B1967" s="63" t="s">
        <v>1297</v>
      </c>
      <c r="C1967" s="70">
        <v>1</v>
      </c>
      <c r="D1967" s="68">
        <f>3.2+6.45+3.25-1.025-1.075</f>
        <v>10.8</v>
      </c>
      <c r="E1967" s="68">
        <v>1.25</v>
      </c>
      <c r="F1967" s="638"/>
      <c r="G1967" s="67">
        <f t="shared" si="60"/>
        <v>13.5</v>
      </c>
      <c r="H1967" s="929" t="s">
        <v>1306</v>
      </c>
      <c r="I1967" s="1133"/>
    </row>
    <row r="1968" spans="1:9" ht="18" customHeight="1">
      <c r="A1968" s="128"/>
      <c r="B1968" s="63" t="s">
        <v>1111</v>
      </c>
      <c r="C1968" s="70">
        <v>1</v>
      </c>
      <c r="D1968" s="68">
        <f>3.2+6.45+6.45-1.025-1.05</f>
        <v>14.025</v>
      </c>
      <c r="E1968" s="68">
        <v>1.25</v>
      </c>
      <c r="F1968" s="638"/>
      <c r="G1968" s="67">
        <f t="shared" si="60"/>
        <v>17.53</v>
      </c>
      <c r="H1968" s="929" t="s">
        <v>1306</v>
      </c>
      <c r="I1968" s="1133"/>
    </row>
    <row r="1969" spans="1:9" ht="18" customHeight="1">
      <c r="A1969" s="128"/>
      <c r="B1969" s="63" t="s">
        <v>1112</v>
      </c>
      <c r="C1969" s="70">
        <v>1</v>
      </c>
      <c r="D1969" s="68">
        <f>3.2+6.45+6.45-1.025-1.05</f>
        <v>14.025</v>
      </c>
      <c r="E1969" s="68">
        <v>1.25</v>
      </c>
      <c r="F1969" s="638"/>
      <c r="G1969" s="67">
        <f t="shared" si="60"/>
        <v>17.53</v>
      </c>
      <c r="H1969" s="929" t="s">
        <v>1306</v>
      </c>
      <c r="I1969" s="1133"/>
    </row>
    <row r="1970" spans="1:9" s="488" customFormat="1" ht="18" customHeight="1">
      <c r="A1970" s="490" t="s">
        <v>1442</v>
      </c>
      <c r="B1970" s="63" t="s">
        <v>1627</v>
      </c>
      <c r="C1970" s="404">
        <v>2</v>
      </c>
      <c r="D1970" s="405">
        <v>6</v>
      </c>
      <c r="E1970" s="405">
        <v>3.5</v>
      </c>
      <c r="F1970" s="486"/>
      <c r="G1970" s="67">
        <f t="shared" si="60"/>
        <v>42</v>
      </c>
      <c r="H1970" s="929" t="s">
        <v>1442</v>
      </c>
      <c r="I1970" s="1229"/>
    </row>
    <row r="1971" spans="1:9" s="494" customFormat="1" ht="18" customHeight="1">
      <c r="A1971" s="493"/>
      <c r="B1971" s="356"/>
      <c r="C1971" s="573">
        <v>2</v>
      </c>
      <c r="D1971" s="574">
        <v>3</v>
      </c>
      <c r="E1971" s="405">
        <v>3.5</v>
      </c>
      <c r="F1971" s="486"/>
      <c r="G1971" s="67">
        <f t="shared" si="60"/>
        <v>21</v>
      </c>
      <c r="H1971" s="929" t="s">
        <v>1442</v>
      </c>
      <c r="I1971" s="1230"/>
    </row>
    <row r="1972" spans="1:9" s="494" customFormat="1" ht="18" customHeight="1">
      <c r="A1972" s="493"/>
      <c r="B1972" s="356" t="s">
        <v>1591</v>
      </c>
      <c r="C1972" s="573">
        <v>2</v>
      </c>
      <c r="D1972" s="574">
        <v>6.46</v>
      </c>
      <c r="E1972" s="405">
        <v>0.6</v>
      </c>
      <c r="F1972" s="486"/>
      <c r="G1972" s="67">
        <f t="shared" si="60"/>
        <v>7.75</v>
      </c>
      <c r="H1972" s="929" t="s">
        <v>1442</v>
      </c>
      <c r="I1972" s="1230"/>
    </row>
    <row r="1973" spans="1:9" s="494" customFormat="1" ht="18" customHeight="1">
      <c r="A1973" s="493"/>
      <c r="B1973" s="356"/>
      <c r="C1973" s="573">
        <v>2</v>
      </c>
      <c r="D1973" s="574">
        <v>3.46</v>
      </c>
      <c r="E1973" s="405">
        <v>0.6</v>
      </c>
      <c r="F1973" s="486"/>
      <c r="G1973" s="67">
        <f t="shared" si="60"/>
        <v>4.1500000000000004</v>
      </c>
      <c r="H1973" s="929" t="s">
        <v>1442</v>
      </c>
      <c r="I1973" s="1230"/>
    </row>
    <row r="1974" spans="1:9" s="494" customFormat="1" ht="18" customHeight="1">
      <c r="A1974" s="493"/>
      <c r="B1974" s="356" t="s">
        <v>1725</v>
      </c>
      <c r="C1974" s="573">
        <v>2</v>
      </c>
      <c r="D1974" s="574">
        <v>2.5</v>
      </c>
      <c r="E1974" s="405">
        <v>0.6</v>
      </c>
      <c r="F1974" s="486"/>
      <c r="G1974" s="67">
        <f t="shared" si="60"/>
        <v>3</v>
      </c>
      <c r="H1974" s="929" t="s">
        <v>1442</v>
      </c>
      <c r="I1974" s="1230"/>
    </row>
    <row r="1975" spans="1:9" s="494" customFormat="1" ht="18" customHeight="1">
      <c r="A1975" s="493"/>
      <c r="B1975" s="356"/>
      <c r="C1975" s="573">
        <v>2</v>
      </c>
      <c r="D1975" s="574">
        <v>1.5</v>
      </c>
      <c r="E1975" s="405">
        <v>0.6</v>
      </c>
      <c r="F1975" s="486"/>
      <c r="G1975" s="67">
        <f t="shared" si="60"/>
        <v>1.8</v>
      </c>
      <c r="H1975" s="929" t="s">
        <v>1442</v>
      </c>
      <c r="I1975" s="1230"/>
    </row>
    <row r="1976" spans="1:9" s="488" customFormat="1" ht="18" customHeight="1">
      <c r="A1976" s="490"/>
      <c r="B1976" s="356" t="s">
        <v>1724</v>
      </c>
      <c r="C1976" s="573">
        <v>2</v>
      </c>
      <c r="D1976" s="572">
        <v>2.27</v>
      </c>
      <c r="E1976" s="405">
        <v>2.8</v>
      </c>
      <c r="F1976" s="486"/>
      <c r="G1976" s="67">
        <f t="shared" si="60"/>
        <v>12.71</v>
      </c>
      <c r="H1976" s="929" t="s">
        <v>1442</v>
      </c>
      <c r="I1976" s="1229"/>
    </row>
    <row r="1977" spans="1:9" s="494" customFormat="1" ht="18" customHeight="1">
      <c r="A1977" s="493"/>
      <c r="B1977" s="64"/>
      <c r="C1977" s="404">
        <v>2</v>
      </c>
      <c r="D1977" s="567">
        <v>1.04</v>
      </c>
      <c r="E1977" s="405">
        <v>2.8</v>
      </c>
      <c r="F1977" s="486"/>
      <c r="G1977" s="67">
        <f t="shared" si="60"/>
        <v>5.82</v>
      </c>
      <c r="H1977" s="929" t="s">
        <v>1442</v>
      </c>
      <c r="I1977" s="1230"/>
    </row>
    <row r="1978" spans="1:9" ht="18" customHeight="1">
      <c r="A1978" s="932"/>
      <c r="B1978" s="874" t="s">
        <v>2188</v>
      </c>
      <c r="C1978" s="875"/>
      <c r="D1978" s="874"/>
      <c r="E1978" s="874"/>
      <c r="F1978" s="874"/>
      <c r="G1978" s="842">
        <f>SUM(G1835:G1977)</f>
        <v>3784.659999999998</v>
      </c>
      <c r="H1978" s="933" t="s">
        <v>10</v>
      </c>
      <c r="I1978" s="1226" t="s">
        <v>449</v>
      </c>
    </row>
    <row r="1979" spans="1:9" s="79" customFormat="1" ht="18" customHeight="1">
      <c r="A1979" s="934"/>
      <c r="B1979" s="566"/>
      <c r="C1979" s="565"/>
      <c r="D1979" s="254"/>
      <c r="E1979" s="254"/>
      <c r="F1979" s="254"/>
      <c r="G1979" s="715"/>
      <c r="H1979" s="935"/>
      <c r="I1979" s="1231"/>
    </row>
    <row r="1980" spans="1:9" s="628" customFormat="1" ht="17.25" customHeight="1">
      <c r="A1980" s="719" t="s">
        <v>452</v>
      </c>
      <c r="B1980" s="948" t="s">
        <v>2063</v>
      </c>
      <c r="C1980" s="629"/>
      <c r="D1980" s="949"/>
      <c r="E1980" s="949"/>
      <c r="F1980" s="949"/>
      <c r="G1980" s="949"/>
      <c r="H1980" s="941"/>
      <c r="I1980" s="1235"/>
    </row>
    <row r="1981" spans="1:9" s="78" customFormat="1" ht="14.25">
      <c r="A1981" s="75"/>
      <c r="B1981" s="607" t="s">
        <v>2013</v>
      </c>
      <c r="C1981" s="70"/>
      <c r="D1981" s="68"/>
      <c r="E1981" s="68"/>
      <c r="F1981" s="68"/>
      <c r="G1981" s="68">
        <f t="shared" ref="G1981:G1982" si="61">PRODUCT(C1981:F1981)</f>
        <v>0</v>
      </c>
      <c r="H1981" s="930"/>
      <c r="I1981" s="1227"/>
    </row>
    <row r="1982" spans="1:9" s="78" customFormat="1" ht="14.25">
      <c r="A1982" s="75"/>
      <c r="B1982" s="607" t="s">
        <v>939</v>
      </c>
      <c r="C1982" s="70"/>
      <c r="D1982" s="68"/>
      <c r="E1982" s="68"/>
      <c r="F1982" s="68"/>
      <c r="G1982" s="68">
        <f t="shared" si="61"/>
        <v>0</v>
      </c>
      <c r="H1982" s="930"/>
      <c r="I1982" s="1227"/>
    </row>
    <row r="1983" spans="1:9" s="78" customFormat="1" ht="18" customHeight="1">
      <c r="A1983" s="75"/>
      <c r="B1983" s="607" t="s">
        <v>944</v>
      </c>
      <c r="C1983" s="70"/>
      <c r="D1983" s="68"/>
      <c r="E1983" s="68"/>
      <c r="F1983" s="68"/>
      <c r="G1983" s="68"/>
      <c r="H1983" s="930"/>
      <c r="I1983" s="1227"/>
    </row>
    <row r="1984" spans="1:9" s="78" customFormat="1" ht="18" customHeight="1">
      <c r="A1984" s="75"/>
      <c r="B1984" s="406" t="s">
        <v>940</v>
      </c>
      <c r="C1984" s="70">
        <v>1</v>
      </c>
      <c r="D1984" s="68">
        <v>3.194</v>
      </c>
      <c r="E1984" s="68"/>
      <c r="F1984" s="68">
        <v>2.7</v>
      </c>
      <c r="G1984" s="67">
        <f t="shared" ref="G1984:G2047" si="62">IF(C1984&lt;&gt;0,ROUND(PRODUCT(D1984:F1984)*C1984,2)," ")</f>
        <v>8.6199999999999992</v>
      </c>
      <c r="H1984" s="930" t="s">
        <v>1306</v>
      </c>
      <c r="I1984" s="1227"/>
    </row>
    <row r="1985" spans="1:15" s="78" customFormat="1" ht="18" customHeight="1">
      <c r="A1985" s="75"/>
      <c r="B1985" s="406" t="s">
        <v>951</v>
      </c>
      <c r="C1985" s="70">
        <v>-0.5</v>
      </c>
      <c r="D1985" s="68">
        <v>1</v>
      </c>
      <c r="E1985" s="68"/>
      <c r="F1985" s="68">
        <v>1.8</v>
      </c>
      <c r="G1985" s="67">
        <f t="shared" si="62"/>
        <v>-0.9</v>
      </c>
      <c r="H1985" s="930" t="s">
        <v>1306</v>
      </c>
      <c r="I1985" s="1227"/>
    </row>
    <row r="1986" spans="1:15" s="78" customFormat="1" ht="18" customHeight="1">
      <c r="A1986" s="75"/>
      <c r="B1986" s="406" t="s">
        <v>1596</v>
      </c>
      <c r="C1986" s="70">
        <v>1</v>
      </c>
      <c r="D1986" s="68">
        <v>4.4089999999999998</v>
      </c>
      <c r="E1986" s="68"/>
      <c r="F1986" s="68">
        <v>2.7</v>
      </c>
      <c r="G1986" s="67">
        <f t="shared" si="62"/>
        <v>11.9</v>
      </c>
      <c r="H1986" s="930" t="s">
        <v>1306</v>
      </c>
      <c r="I1986" s="1227"/>
      <c r="O1986" s="220"/>
    </row>
    <row r="1987" spans="1:15" s="78" customFormat="1" ht="18" customHeight="1">
      <c r="A1987" s="75"/>
      <c r="B1987" s="63" t="s">
        <v>942</v>
      </c>
      <c r="C1987" s="70">
        <v>1</v>
      </c>
      <c r="D1987" s="68">
        <f>6.45+6.4+6.4+3.25+0.1-0.1</f>
        <v>22.5</v>
      </c>
      <c r="E1987" s="68"/>
      <c r="F1987" s="452">
        <v>2.7</v>
      </c>
      <c r="G1987" s="67">
        <f t="shared" si="62"/>
        <v>60.75</v>
      </c>
      <c r="H1987" s="930" t="s">
        <v>1306</v>
      </c>
      <c r="I1987" s="1227"/>
    </row>
    <row r="1988" spans="1:15" s="78" customFormat="1" ht="18" customHeight="1">
      <c r="A1988" s="75"/>
      <c r="B1988" s="409" t="s">
        <v>943</v>
      </c>
      <c r="C1988" s="70">
        <v>-3.5</v>
      </c>
      <c r="D1988" s="68">
        <v>1</v>
      </c>
      <c r="E1988" s="68"/>
      <c r="F1988" s="68">
        <v>1.8</v>
      </c>
      <c r="G1988" s="67">
        <f t="shared" si="62"/>
        <v>-6.3</v>
      </c>
      <c r="H1988" s="930" t="s">
        <v>1306</v>
      </c>
      <c r="I1988" s="1227"/>
    </row>
    <row r="1989" spans="1:15" s="78" customFormat="1" ht="18" customHeight="1">
      <c r="A1989" s="75"/>
      <c r="B1989" s="63" t="s">
        <v>1913</v>
      </c>
      <c r="C1989" s="70">
        <v>2</v>
      </c>
      <c r="D1989" s="68">
        <v>4.18</v>
      </c>
      <c r="E1989" s="68"/>
      <c r="F1989" s="68">
        <v>2.7</v>
      </c>
      <c r="G1989" s="67">
        <f t="shared" si="62"/>
        <v>22.57</v>
      </c>
      <c r="H1989" s="930" t="s">
        <v>1306</v>
      </c>
      <c r="I1989" s="1227"/>
    </row>
    <row r="1990" spans="1:15" s="78" customFormat="1" ht="18" customHeight="1">
      <c r="A1990" s="75"/>
      <c r="B1990" s="63" t="s">
        <v>945</v>
      </c>
      <c r="C1990" s="70">
        <v>1</v>
      </c>
      <c r="D1990" s="68">
        <v>3.1840000000000002</v>
      </c>
      <c r="E1990" s="68"/>
      <c r="F1990" s="68">
        <v>2.7</v>
      </c>
      <c r="G1990" s="67">
        <f t="shared" si="62"/>
        <v>8.6</v>
      </c>
      <c r="H1990" s="930" t="s">
        <v>1306</v>
      </c>
      <c r="I1990" s="1227"/>
    </row>
    <row r="1991" spans="1:15" s="78" customFormat="1" ht="18" customHeight="1">
      <c r="A1991" s="75"/>
      <c r="B1991" s="63" t="s">
        <v>946</v>
      </c>
      <c r="C1991" s="70">
        <v>-0.5</v>
      </c>
      <c r="D1991" s="68">
        <v>2.85</v>
      </c>
      <c r="E1991" s="68"/>
      <c r="F1991" s="68">
        <v>1.2</v>
      </c>
      <c r="G1991" s="67">
        <f t="shared" si="62"/>
        <v>-1.71</v>
      </c>
      <c r="H1991" s="930" t="s">
        <v>1306</v>
      </c>
      <c r="I1991" s="1227"/>
    </row>
    <row r="1992" spans="1:15" s="674" customFormat="1" ht="18" customHeight="1">
      <c r="A1992" s="75"/>
      <c r="B1992" s="64" t="s">
        <v>1291</v>
      </c>
      <c r="C1992" s="410">
        <v>1</v>
      </c>
      <c r="D1992" s="677">
        <v>12.573</v>
      </c>
      <c r="E1992" s="352"/>
      <c r="F1992" s="352">
        <v>2.7</v>
      </c>
      <c r="G1992" s="67">
        <f t="shared" si="62"/>
        <v>33.950000000000003</v>
      </c>
      <c r="H1992" s="950" t="s">
        <v>1306</v>
      </c>
      <c r="I1992" s="1246"/>
    </row>
    <row r="1993" spans="1:15" s="674" customFormat="1" ht="18" customHeight="1">
      <c r="A1993" s="75"/>
      <c r="B1993" s="64" t="s">
        <v>2142</v>
      </c>
      <c r="C1993" s="410">
        <v>1</v>
      </c>
      <c r="D1993" s="677">
        <v>1.7250000000000001</v>
      </c>
      <c r="E1993" s="352"/>
      <c r="F1993" s="677">
        <v>0.3</v>
      </c>
      <c r="G1993" s="67">
        <f t="shared" si="62"/>
        <v>0.52</v>
      </c>
      <c r="H1993" s="950" t="s">
        <v>1306</v>
      </c>
      <c r="I1993" s="1246"/>
    </row>
    <row r="1994" spans="1:15" s="78" customFormat="1" ht="18" customHeight="1">
      <c r="A1994" s="75"/>
      <c r="B1994" s="63" t="s">
        <v>948</v>
      </c>
      <c r="C1994" s="70">
        <v>-2</v>
      </c>
      <c r="D1994" s="68">
        <v>1</v>
      </c>
      <c r="E1994" s="68"/>
      <c r="F1994" s="68">
        <v>1.8</v>
      </c>
      <c r="G1994" s="67">
        <f t="shared" si="62"/>
        <v>-3.6</v>
      </c>
      <c r="H1994" s="930" t="s">
        <v>1306</v>
      </c>
      <c r="I1994" s="1227"/>
    </row>
    <row r="1995" spans="1:15" s="78" customFormat="1" ht="18" customHeight="1">
      <c r="A1995" s="75"/>
      <c r="B1995" s="63" t="s">
        <v>949</v>
      </c>
      <c r="C1995" s="70">
        <v>-0.5</v>
      </c>
      <c r="D1995" s="68">
        <v>1</v>
      </c>
      <c r="E1995" s="68"/>
      <c r="F1995" s="68">
        <v>1.8</v>
      </c>
      <c r="G1995" s="67">
        <f t="shared" si="62"/>
        <v>-0.9</v>
      </c>
      <c r="H1995" s="930" t="s">
        <v>1306</v>
      </c>
      <c r="I1995" s="1227"/>
    </row>
    <row r="1996" spans="1:15" s="78" customFormat="1" ht="18" customHeight="1">
      <c r="A1996" s="75"/>
      <c r="B1996" s="63" t="s">
        <v>1914</v>
      </c>
      <c r="C1996" s="70">
        <v>2</v>
      </c>
      <c r="D1996" s="68">
        <v>4.218</v>
      </c>
      <c r="E1996" s="68"/>
      <c r="F1996" s="68">
        <v>2.7</v>
      </c>
      <c r="G1996" s="67">
        <f t="shared" si="62"/>
        <v>22.78</v>
      </c>
      <c r="H1996" s="930" t="s">
        <v>1306</v>
      </c>
      <c r="I1996" s="1227"/>
    </row>
    <row r="1997" spans="1:15" s="674" customFormat="1" ht="18" customHeight="1">
      <c r="A1997" s="75"/>
      <c r="B1997" s="64" t="s">
        <v>1915</v>
      </c>
      <c r="C1997" s="410">
        <v>1</v>
      </c>
      <c r="D1997" s="352">
        <v>4.218</v>
      </c>
      <c r="E1997" s="352"/>
      <c r="F1997" s="352">
        <v>2.7</v>
      </c>
      <c r="G1997" s="67">
        <f t="shared" si="62"/>
        <v>11.39</v>
      </c>
      <c r="H1997" s="950" t="s">
        <v>1306</v>
      </c>
      <c r="I1997" s="1246"/>
    </row>
    <row r="1998" spans="1:15" s="674" customFormat="1" ht="18" customHeight="1">
      <c r="A1998" s="75"/>
      <c r="B1998" s="64" t="s">
        <v>1915</v>
      </c>
      <c r="C1998" s="410">
        <v>1</v>
      </c>
      <c r="D1998" s="352">
        <v>4.218</v>
      </c>
      <c r="E1998" s="352"/>
      <c r="F1998" s="677">
        <v>0.3</v>
      </c>
      <c r="G1998" s="67">
        <f t="shared" si="62"/>
        <v>1.27</v>
      </c>
      <c r="H1998" s="950" t="s">
        <v>1306</v>
      </c>
      <c r="I1998" s="1246"/>
    </row>
    <row r="1999" spans="1:15" s="674" customFormat="1" ht="18" customHeight="1">
      <c r="A1999" s="75"/>
      <c r="B1999" s="64" t="s">
        <v>1916</v>
      </c>
      <c r="C1999" s="410">
        <v>1</v>
      </c>
      <c r="D1999" s="677">
        <v>3.05</v>
      </c>
      <c r="E1999" s="352"/>
      <c r="F1999" s="352">
        <v>2.7</v>
      </c>
      <c r="G1999" s="67">
        <f t="shared" si="62"/>
        <v>8.24</v>
      </c>
      <c r="H1999" s="950" t="s">
        <v>1306</v>
      </c>
      <c r="I1999" s="1246"/>
    </row>
    <row r="2000" spans="1:15" s="674" customFormat="1" ht="18" customHeight="1">
      <c r="A2000" s="75"/>
      <c r="B2000" s="64" t="s">
        <v>1916</v>
      </c>
      <c r="C2000" s="410">
        <v>1</v>
      </c>
      <c r="D2000" s="677">
        <v>3.05</v>
      </c>
      <c r="E2000" s="352"/>
      <c r="F2000" s="677">
        <v>0.3</v>
      </c>
      <c r="G2000" s="67">
        <f t="shared" si="62"/>
        <v>0.92</v>
      </c>
      <c r="H2000" s="950" t="s">
        <v>1306</v>
      </c>
      <c r="I2000" s="1246"/>
    </row>
    <row r="2001" spans="1:9" s="674" customFormat="1" ht="18" customHeight="1">
      <c r="A2001" s="75"/>
      <c r="B2001" s="64" t="s">
        <v>1917</v>
      </c>
      <c r="C2001" s="410">
        <v>1</v>
      </c>
      <c r="D2001" s="352">
        <v>4.22</v>
      </c>
      <c r="E2001" s="352"/>
      <c r="F2001" s="352">
        <v>2.7</v>
      </c>
      <c r="G2001" s="67">
        <f t="shared" si="62"/>
        <v>11.39</v>
      </c>
      <c r="H2001" s="950" t="s">
        <v>1306</v>
      </c>
      <c r="I2001" s="1246"/>
    </row>
    <row r="2002" spans="1:9" s="674" customFormat="1" ht="18" customHeight="1">
      <c r="A2002" s="75"/>
      <c r="B2002" s="64" t="s">
        <v>1917</v>
      </c>
      <c r="C2002" s="410">
        <v>1</v>
      </c>
      <c r="D2002" s="352">
        <v>4.22</v>
      </c>
      <c r="E2002" s="352"/>
      <c r="F2002" s="677">
        <v>0.3</v>
      </c>
      <c r="G2002" s="67">
        <f t="shared" si="62"/>
        <v>1.27</v>
      </c>
      <c r="H2002" s="950" t="s">
        <v>1306</v>
      </c>
      <c r="I2002" s="1246"/>
    </row>
    <row r="2003" spans="1:9" s="674" customFormat="1" ht="18" customHeight="1">
      <c r="A2003" s="75"/>
      <c r="B2003" s="64" t="s">
        <v>1918</v>
      </c>
      <c r="C2003" s="410">
        <v>2</v>
      </c>
      <c r="D2003" s="352">
        <v>2.91</v>
      </c>
      <c r="E2003" s="352"/>
      <c r="F2003" s="677">
        <v>0.3</v>
      </c>
      <c r="G2003" s="67">
        <f t="shared" si="62"/>
        <v>1.75</v>
      </c>
      <c r="H2003" s="950" t="s">
        <v>1306</v>
      </c>
      <c r="I2003" s="1246"/>
    </row>
    <row r="2004" spans="1:9" s="674" customFormat="1" ht="18" customHeight="1">
      <c r="A2004" s="75"/>
      <c r="B2004" s="64" t="s">
        <v>1919</v>
      </c>
      <c r="C2004" s="410">
        <v>1</v>
      </c>
      <c r="D2004" s="352">
        <v>3.3</v>
      </c>
      <c r="E2004" s="352"/>
      <c r="F2004" s="352">
        <v>2.7</v>
      </c>
      <c r="G2004" s="67">
        <f t="shared" si="62"/>
        <v>8.91</v>
      </c>
      <c r="H2004" s="950" t="s">
        <v>1306</v>
      </c>
      <c r="I2004" s="1246"/>
    </row>
    <row r="2005" spans="1:9" s="674" customFormat="1" ht="18" customHeight="1">
      <c r="A2005" s="75"/>
      <c r="B2005" s="64" t="s">
        <v>1919</v>
      </c>
      <c r="C2005" s="410">
        <v>1</v>
      </c>
      <c r="D2005" s="352">
        <v>3.3</v>
      </c>
      <c r="E2005" s="352"/>
      <c r="F2005" s="677">
        <v>0.3</v>
      </c>
      <c r="G2005" s="67">
        <f t="shared" si="62"/>
        <v>0.99</v>
      </c>
      <c r="H2005" s="950" t="s">
        <v>1306</v>
      </c>
      <c r="I2005" s="1246"/>
    </row>
    <row r="2006" spans="1:9" s="674" customFormat="1" ht="18" customHeight="1">
      <c r="A2006" s="75"/>
      <c r="B2006" s="64"/>
      <c r="C2006" s="410">
        <v>1</v>
      </c>
      <c r="D2006" s="352">
        <v>1.5</v>
      </c>
      <c r="E2006" s="352"/>
      <c r="F2006" s="352">
        <v>2.7</v>
      </c>
      <c r="G2006" s="67">
        <f t="shared" si="62"/>
        <v>4.05</v>
      </c>
      <c r="H2006" s="950" t="s">
        <v>1306</v>
      </c>
      <c r="I2006" s="1246"/>
    </row>
    <row r="2007" spans="1:9" s="674" customFormat="1" ht="18" customHeight="1">
      <c r="A2007" s="75"/>
      <c r="B2007" s="64"/>
      <c r="C2007" s="410">
        <v>1</v>
      </c>
      <c r="D2007" s="352">
        <v>1.5</v>
      </c>
      <c r="E2007" s="352"/>
      <c r="F2007" s="677">
        <v>0.3</v>
      </c>
      <c r="G2007" s="67">
        <f t="shared" si="62"/>
        <v>0.45</v>
      </c>
      <c r="H2007" s="950" t="s">
        <v>1306</v>
      </c>
      <c r="I2007" s="1246"/>
    </row>
    <row r="2008" spans="1:9" s="78" customFormat="1" ht="18" customHeight="1">
      <c r="A2008" s="75"/>
      <c r="B2008" s="63" t="s">
        <v>950</v>
      </c>
      <c r="C2008" s="70">
        <v>1</v>
      </c>
      <c r="D2008" s="68">
        <v>3.1</v>
      </c>
      <c r="E2008" s="68"/>
      <c r="F2008" s="68">
        <v>2.7</v>
      </c>
      <c r="G2008" s="67">
        <f t="shared" si="62"/>
        <v>8.3699999999999992</v>
      </c>
      <c r="H2008" s="930" t="s">
        <v>1306</v>
      </c>
      <c r="I2008" s="1227"/>
    </row>
    <row r="2009" spans="1:9" s="78" customFormat="1" ht="18" customHeight="1">
      <c r="A2009" s="75"/>
      <c r="B2009" s="63" t="s">
        <v>951</v>
      </c>
      <c r="C2009" s="70">
        <v>-0.5</v>
      </c>
      <c r="D2009" s="68">
        <v>1</v>
      </c>
      <c r="E2009" s="68"/>
      <c r="F2009" s="68">
        <v>1.8</v>
      </c>
      <c r="G2009" s="67">
        <f t="shared" si="62"/>
        <v>-0.9</v>
      </c>
      <c r="H2009" s="930" t="s">
        <v>1306</v>
      </c>
      <c r="I2009" s="1227"/>
    </row>
    <row r="2010" spans="1:9" s="78" customFormat="1" ht="18" customHeight="1">
      <c r="A2010" s="75"/>
      <c r="B2010" s="63" t="s">
        <v>2032</v>
      </c>
      <c r="C2010" s="70">
        <v>1</v>
      </c>
      <c r="D2010" s="567">
        <v>2.1230000000000002</v>
      </c>
      <c r="E2010" s="68"/>
      <c r="F2010" s="68">
        <v>2.7</v>
      </c>
      <c r="G2010" s="67">
        <f t="shared" si="62"/>
        <v>5.73</v>
      </c>
      <c r="H2010" s="930" t="s">
        <v>1306</v>
      </c>
      <c r="I2010" s="1227"/>
    </row>
    <row r="2011" spans="1:9" s="78" customFormat="1" ht="18" customHeight="1">
      <c r="A2011" s="75"/>
      <c r="B2011" s="63" t="s">
        <v>2014</v>
      </c>
      <c r="C2011" s="70">
        <v>2</v>
      </c>
      <c r="D2011" s="68">
        <v>4.5999999999999996</v>
      </c>
      <c r="E2011" s="68"/>
      <c r="F2011" s="68">
        <v>2.7</v>
      </c>
      <c r="G2011" s="67">
        <f t="shared" si="62"/>
        <v>24.84</v>
      </c>
      <c r="H2011" s="930" t="s">
        <v>1306</v>
      </c>
      <c r="I2011" s="1227"/>
    </row>
    <row r="2012" spans="1:9" s="78" customFormat="1" ht="18" customHeight="1">
      <c r="A2012" s="75"/>
      <c r="B2012" s="63" t="s">
        <v>953</v>
      </c>
      <c r="C2012" s="70">
        <v>-0.5</v>
      </c>
      <c r="D2012" s="68">
        <v>1.2</v>
      </c>
      <c r="E2012" s="68"/>
      <c r="F2012" s="68">
        <v>2.1</v>
      </c>
      <c r="G2012" s="67">
        <f t="shared" si="62"/>
        <v>-1.26</v>
      </c>
      <c r="H2012" s="930" t="s">
        <v>1306</v>
      </c>
      <c r="I2012" s="1227"/>
    </row>
    <row r="2013" spans="1:9" s="78" customFormat="1" ht="18" customHeight="1">
      <c r="A2013" s="75"/>
      <c r="B2013" s="63" t="s">
        <v>954</v>
      </c>
      <c r="C2013" s="70"/>
      <c r="D2013" s="68"/>
      <c r="E2013" s="68"/>
      <c r="F2013" s="68"/>
      <c r="G2013" s="67" t="str">
        <f t="shared" si="62"/>
        <v xml:space="preserve"> </v>
      </c>
      <c r="H2013" s="930" t="s">
        <v>1306</v>
      </c>
      <c r="I2013" s="1227"/>
    </row>
    <row r="2014" spans="1:9" s="78" customFormat="1" ht="18" customHeight="1">
      <c r="A2014" s="75"/>
      <c r="B2014" s="63" t="s">
        <v>955</v>
      </c>
      <c r="C2014" s="70">
        <v>2</v>
      </c>
      <c r="D2014" s="68">
        <f>3.175-0.2</f>
        <v>2.9749999999999996</v>
      </c>
      <c r="E2014" s="68"/>
      <c r="F2014" s="68">
        <v>2.7</v>
      </c>
      <c r="G2014" s="67">
        <f t="shared" si="62"/>
        <v>16.07</v>
      </c>
      <c r="H2014" s="930" t="s">
        <v>1306</v>
      </c>
      <c r="I2014" s="1227"/>
    </row>
    <row r="2015" spans="1:9" s="78" customFormat="1" ht="18" customHeight="1">
      <c r="A2015" s="75"/>
      <c r="B2015" s="63" t="s">
        <v>953</v>
      </c>
      <c r="C2015" s="70">
        <v>-0.5</v>
      </c>
      <c r="D2015" s="68">
        <v>1.2</v>
      </c>
      <c r="E2015" s="68"/>
      <c r="F2015" s="68">
        <v>2.1</v>
      </c>
      <c r="G2015" s="67">
        <f t="shared" si="62"/>
        <v>-1.26</v>
      </c>
      <c r="H2015" s="930" t="s">
        <v>1306</v>
      </c>
      <c r="I2015" s="1227"/>
    </row>
    <row r="2016" spans="1:9" s="78" customFormat="1" ht="18" customHeight="1">
      <c r="A2016" s="75"/>
      <c r="B2016" s="63" t="s">
        <v>956</v>
      </c>
      <c r="C2016" s="70">
        <v>-0.5</v>
      </c>
      <c r="D2016" s="68">
        <v>0.9</v>
      </c>
      <c r="E2016" s="68"/>
      <c r="F2016" s="68">
        <v>2</v>
      </c>
      <c r="G2016" s="67">
        <f t="shared" si="62"/>
        <v>-0.9</v>
      </c>
      <c r="H2016" s="930" t="s">
        <v>1306</v>
      </c>
      <c r="I2016" s="1227"/>
    </row>
    <row r="2017" spans="1:9" s="78" customFormat="1" ht="18" customHeight="1">
      <c r="A2017" s="75"/>
      <c r="B2017" s="63" t="s">
        <v>957</v>
      </c>
      <c r="C2017" s="70">
        <v>2</v>
      </c>
      <c r="D2017" s="567">
        <v>1.1000000000000001</v>
      </c>
      <c r="E2017" s="68"/>
      <c r="F2017" s="68">
        <v>2.7</v>
      </c>
      <c r="G2017" s="67">
        <f t="shared" si="62"/>
        <v>5.94</v>
      </c>
      <c r="H2017" s="930" t="s">
        <v>1306</v>
      </c>
      <c r="I2017" s="1227"/>
    </row>
    <row r="2018" spans="1:9" s="78" customFormat="1" ht="18" customHeight="1">
      <c r="A2018" s="75"/>
      <c r="B2018" s="63"/>
      <c r="C2018" s="70">
        <v>2</v>
      </c>
      <c r="D2018" s="567">
        <v>1.603</v>
      </c>
      <c r="E2018" s="68"/>
      <c r="F2018" s="68">
        <v>2.7</v>
      </c>
      <c r="G2018" s="67">
        <f t="shared" si="62"/>
        <v>8.66</v>
      </c>
      <c r="H2018" s="930" t="s">
        <v>1306</v>
      </c>
      <c r="I2018" s="1227"/>
    </row>
    <row r="2019" spans="1:9" s="78" customFormat="1" ht="18" customHeight="1">
      <c r="A2019" s="75"/>
      <c r="B2019" s="607" t="s">
        <v>1048</v>
      </c>
      <c r="C2019" s="70"/>
      <c r="D2019" s="68"/>
      <c r="E2019" s="68"/>
      <c r="F2019" s="68"/>
      <c r="G2019" s="67" t="str">
        <f t="shared" si="62"/>
        <v xml:space="preserve"> </v>
      </c>
      <c r="H2019" s="930" t="s">
        <v>1306</v>
      </c>
      <c r="I2019" s="1227"/>
    </row>
    <row r="2020" spans="1:9" s="78" customFormat="1" ht="18" customHeight="1">
      <c r="A2020" s="75"/>
      <c r="B2020" s="406" t="s">
        <v>1049</v>
      </c>
      <c r="C2020" s="70">
        <v>1</v>
      </c>
      <c r="D2020" s="68">
        <f>6.45+6.45-3.05+0.625</f>
        <v>10.475000000000001</v>
      </c>
      <c r="E2020" s="68"/>
      <c r="F2020" s="68">
        <v>2.7</v>
      </c>
      <c r="G2020" s="67">
        <f t="shared" si="62"/>
        <v>28.28</v>
      </c>
      <c r="H2020" s="930" t="s">
        <v>1306</v>
      </c>
      <c r="I2020" s="1227"/>
    </row>
    <row r="2021" spans="1:9" s="78" customFormat="1" ht="18" customHeight="1">
      <c r="A2021" s="75"/>
      <c r="B2021" s="406" t="s">
        <v>941</v>
      </c>
      <c r="C2021" s="70">
        <v>-1.5</v>
      </c>
      <c r="D2021" s="68">
        <v>1</v>
      </c>
      <c r="E2021" s="68"/>
      <c r="F2021" s="68">
        <v>1.8</v>
      </c>
      <c r="G2021" s="67">
        <f t="shared" si="62"/>
        <v>-2.7</v>
      </c>
      <c r="H2021" s="930" t="s">
        <v>1306</v>
      </c>
      <c r="I2021" s="1227"/>
    </row>
    <row r="2022" spans="1:9" s="78" customFormat="1" ht="18" customHeight="1">
      <c r="A2022" s="75"/>
      <c r="B2022" s="406" t="s">
        <v>1050</v>
      </c>
      <c r="C2022" s="70">
        <v>1</v>
      </c>
      <c r="D2022" s="567">
        <v>13.4</v>
      </c>
      <c r="E2022" s="68"/>
      <c r="F2022" s="68">
        <v>2.7</v>
      </c>
      <c r="G2022" s="67">
        <f t="shared" si="62"/>
        <v>36.18</v>
      </c>
      <c r="H2022" s="930" t="s">
        <v>1306</v>
      </c>
      <c r="I2022" s="1227"/>
    </row>
    <row r="2023" spans="1:9" s="78" customFormat="1" ht="18" customHeight="1">
      <c r="A2023" s="75"/>
      <c r="B2023" s="406" t="s">
        <v>1051</v>
      </c>
      <c r="C2023" s="70">
        <v>-1.5</v>
      </c>
      <c r="D2023" s="68">
        <v>1</v>
      </c>
      <c r="E2023" s="68"/>
      <c r="F2023" s="68">
        <v>1.8</v>
      </c>
      <c r="G2023" s="67">
        <f t="shared" si="62"/>
        <v>-2.7</v>
      </c>
      <c r="H2023" s="930" t="s">
        <v>1306</v>
      </c>
      <c r="I2023" s="1227"/>
    </row>
    <row r="2024" spans="1:9" s="78" customFormat="1" ht="18" customHeight="1">
      <c r="A2024" s="75"/>
      <c r="B2024" s="406" t="s">
        <v>1052</v>
      </c>
      <c r="C2024" s="70">
        <v>-1</v>
      </c>
      <c r="D2024" s="68">
        <v>3</v>
      </c>
      <c r="E2024" s="68"/>
      <c r="F2024" s="68">
        <v>1.8</v>
      </c>
      <c r="G2024" s="67">
        <f t="shared" si="62"/>
        <v>-5.4</v>
      </c>
      <c r="H2024" s="930" t="s">
        <v>1306</v>
      </c>
      <c r="I2024" s="1227"/>
    </row>
    <row r="2025" spans="1:9" s="674" customFormat="1" ht="18" customHeight="1">
      <c r="A2025" s="75"/>
      <c r="B2025" s="64" t="s">
        <v>1969</v>
      </c>
      <c r="C2025" s="410">
        <v>1</v>
      </c>
      <c r="D2025" s="352">
        <f t="shared" ref="D2025:D2030" si="63">1.425+3.175-0.38</f>
        <v>4.22</v>
      </c>
      <c r="E2025" s="352"/>
      <c r="F2025" s="352">
        <v>2.7</v>
      </c>
      <c r="G2025" s="67">
        <f t="shared" si="62"/>
        <v>11.39</v>
      </c>
      <c r="H2025" s="950" t="s">
        <v>1306</v>
      </c>
      <c r="I2025" s="1246"/>
    </row>
    <row r="2026" spans="1:9" s="674" customFormat="1" ht="18" customHeight="1">
      <c r="A2026" s="75"/>
      <c r="B2026" s="64" t="s">
        <v>1969</v>
      </c>
      <c r="C2026" s="410">
        <v>1</v>
      </c>
      <c r="D2026" s="352">
        <f t="shared" si="63"/>
        <v>4.22</v>
      </c>
      <c r="E2026" s="352"/>
      <c r="F2026" s="678">
        <v>0.3</v>
      </c>
      <c r="G2026" s="67">
        <f t="shared" si="62"/>
        <v>1.27</v>
      </c>
      <c r="H2026" s="950" t="s">
        <v>1306</v>
      </c>
      <c r="I2026" s="1246"/>
    </row>
    <row r="2027" spans="1:9" s="78" customFormat="1" ht="18" customHeight="1">
      <c r="A2027" s="75"/>
      <c r="B2027" s="409" t="s">
        <v>1970</v>
      </c>
      <c r="C2027" s="70">
        <v>2</v>
      </c>
      <c r="D2027" s="68">
        <f t="shared" si="63"/>
        <v>4.22</v>
      </c>
      <c r="E2027" s="68"/>
      <c r="F2027" s="68">
        <v>2.7</v>
      </c>
      <c r="G2027" s="67">
        <f t="shared" si="62"/>
        <v>22.79</v>
      </c>
      <c r="H2027" s="930" t="s">
        <v>1306</v>
      </c>
      <c r="I2027" s="1227"/>
    </row>
    <row r="2028" spans="1:9" s="674" customFormat="1" ht="18" customHeight="1">
      <c r="A2028" s="75"/>
      <c r="B2028" s="411" t="s">
        <v>1971</v>
      </c>
      <c r="C2028" s="410">
        <v>1</v>
      </c>
      <c r="D2028" s="352">
        <f t="shared" si="63"/>
        <v>4.22</v>
      </c>
      <c r="E2028" s="352"/>
      <c r="F2028" s="352">
        <v>2.7</v>
      </c>
      <c r="G2028" s="67">
        <f t="shared" si="62"/>
        <v>11.39</v>
      </c>
      <c r="H2028" s="950" t="s">
        <v>1306</v>
      </c>
      <c r="I2028" s="1246"/>
    </row>
    <row r="2029" spans="1:9" s="674" customFormat="1" ht="18" customHeight="1">
      <c r="A2029" s="75"/>
      <c r="B2029" s="411" t="s">
        <v>1971</v>
      </c>
      <c r="C2029" s="410">
        <v>1</v>
      </c>
      <c r="D2029" s="352">
        <f t="shared" si="63"/>
        <v>4.22</v>
      </c>
      <c r="E2029" s="352"/>
      <c r="F2029" s="678">
        <v>0.3</v>
      </c>
      <c r="G2029" s="67">
        <f t="shared" si="62"/>
        <v>1.27</v>
      </c>
      <c r="H2029" s="950" t="s">
        <v>1306</v>
      </c>
      <c r="I2029" s="1246"/>
    </row>
    <row r="2030" spans="1:9" s="78" customFormat="1" ht="18" customHeight="1">
      <c r="A2030" s="75"/>
      <c r="B2030" s="409" t="s">
        <v>1972</v>
      </c>
      <c r="C2030" s="70">
        <v>2</v>
      </c>
      <c r="D2030" s="68">
        <f t="shared" si="63"/>
        <v>4.22</v>
      </c>
      <c r="E2030" s="68"/>
      <c r="F2030" s="68">
        <v>2.7</v>
      </c>
      <c r="G2030" s="67">
        <f t="shared" si="62"/>
        <v>22.79</v>
      </c>
      <c r="H2030" s="930" t="s">
        <v>1306</v>
      </c>
      <c r="I2030" s="1227"/>
    </row>
    <row r="2031" spans="1:9" s="674" customFormat="1" ht="18" customHeight="1">
      <c r="A2031" s="75"/>
      <c r="B2031" s="411" t="s">
        <v>1973</v>
      </c>
      <c r="C2031" s="410">
        <v>1</v>
      </c>
      <c r="D2031" s="352">
        <v>3.05</v>
      </c>
      <c r="E2031" s="352"/>
      <c r="F2031" s="352">
        <v>2.7</v>
      </c>
      <c r="G2031" s="67">
        <f t="shared" si="62"/>
        <v>8.24</v>
      </c>
      <c r="H2031" s="950" t="s">
        <v>1306</v>
      </c>
      <c r="I2031" s="1246"/>
    </row>
    <row r="2032" spans="1:9" s="674" customFormat="1" ht="18" customHeight="1">
      <c r="A2032" s="75"/>
      <c r="B2032" s="411" t="s">
        <v>1973</v>
      </c>
      <c r="C2032" s="410">
        <v>1</v>
      </c>
      <c r="D2032" s="352">
        <v>3.05</v>
      </c>
      <c r="E2032" s="352"/>
      <c r="F2032" s="678">
        <v>0.3</v>
      </c>
      <c r="G2032" s="67">
        <f t="shared" si="62"/>
        <v>0.92</v>
      </c>
      <c r="H2032" s="950" t="s">
        <v>1306</v>
      </c>
      <c r="I2032" s="1246"/>
    </row>
    <row r="2033" spans="1:9" s="78" customFormat="1" ht="18" customHeight="1">
      <c r="A2033" s="75"/>
      <c r="B2033" s="409" t="s">
        <v>964</v>
      </c>
      <c r="C2033" s="70">
        <v>-1</v>
      </c>
      <c r="D2033" s="68">
        <v>1</v>
      </c>
      <c r="E2033" s="68"/>
      <c r="F2033" s="68">
        <v>2.1</v>
      </c>
      <c r="G2033" s="67">
        <f t="shared" si="62"/>
        <v>-2.1</v>
      </c>
      <c r="H2033" s="930" t="s">
        <v>1306</v>
      </c>
      <c r="I2033" s="1227"/>
    </row>
    <row r="2034" spans="1:9" s="78" customFormat="1" ht="18" customHeight="1">
      <c r="A2034" s="75"/>
      <c r="B2034" s="63" t="s">
        <v>1053</v>
      </c>
      <c r="C2034" s="70">
        <v>2</v>
      </c>
      <c r="D2034" s="68">
        <v>3.25</v>
      </c>
      <c r="E2034" s="68"/>
      <c r="F2034" s="68">
        <v>2.7</v>
      </c>
      <c r="G2034" s="67">
        <f t="shared" si="62"/>
        <v>17.55</v>
      </c>
      <c r="H2034" s="930" t="s">
        <v>1306</v>
      </c>
      <c r="I2034" s="1227"/>
    </row>
    <row r="2035" spans="1:9" s="78" customFormat="1" ht="18" customHeight="1">
      <c r="A2035" s="75"/>
      <c r="B2035" s="63" t="s">
        <v>1054</v>
      </c>
      <c r="C2035" s="70">
        <v>-1</v>
      </c>
      <c r="D2035" s="68">
        <v>1.8</v>
      </c>
      <c r="E2035" s="68"/>
      <c r="F2035" s="68">
        <v>2.1</v>
      </c>
      <c r="G2035" s="67">
        <f t="shared" si="62"/>
        <v>-3.78</v>
      </c>
      <c r="H2035" s="930" t="s">
        <v>1306</v>
      </c>
      <c r="I2035" s="1227"/>
    </row>
    <row r="2036" spans="1:9" s="78" customFormat="1" ht="18" customHeight="1">
      <c r="A2036" s="75"/>
      <c r="B2036" s="64" t="s">
        <v>1055</v>
      </c>
      <c r="C2036" s="70"/>
      <c r="D2036" s="68"/>
      <c r="E2036" s="68"/>
      <c r="F2036" s="68"/>
      <c r="G2036" s="67" t="str">
        <f t="shared" si="62"/>
        <v xml:space="preserve"> </v>
      </c>
      <c r="H2036" s="930" t="s">
        <v>1306</v>
      </c>
      <c r="I2036" s="1227"/>
    </row>
    <row r="2037" spans="1:9" s="78" customFormat="1" ht="18" customHeight="1">
      <c r="A2037" s="75"/>
      <c r="B2037" s="409" t="s">
        <v>1056</v>
      </c>
      <c r="C2037" s="70">
        <v>1</v>
      </c>
      <c r="D2037" s="567">
        <v>12.7</v>
      </c>
      <c r="E2037" s="68"/>
      <c r="F2037" s="68">
        <v>2.7</v>
      </c>
      <c r="G2037" s="67">
        <f t="shared" si="62"/>
        <v>34.29</v>
      </c>
      <c r="H2037" s="930" t="s">
        <v>1306</v>
      </c>
      <c r="I2037" s="1227"/>
    </row>
    <row r="2038" spans="1:9" s="78" customFormat="1" ht="18" customHeight="1">
      <c r="A2038" s="75"/>
      <c r="B2038" s="409" t="s">
        <v>2015</v>
      </c>
      <c r="C2038" s="70">
        <v>-2</v>
      </c>
      <c r="D2038" s="68">
        <v>1</v>
      </c>
      <c r="E2038" s="68"/>
      <c r="F2038" s="68">
        <v>1.8</v>
      </c>
      <c r="G2038" s="67">
        <f t="shared" si="62"/>
        <v>-3.6</v>
      </c>
      <c r="H2038" s="930" t="s">
        <v>1306</v>
      </c>
      <c r="I2038" s="1227"/>
    </row>
    <row r="2039" spans="1:9" s="78" customFormat="1" ht="18" customHeight="1">
      <c r="A2039" s="75"/>
      <c r="B2039" s="63" t="s">
        <v>1057</v>
      </c>
      <c r="C2039" s="70">
        <v>1</v>
      </c>
      <c r="D2039" s="567">
        <v>12.75</v>
      </c>
      <c r="E2039" s="68"/>
      <c r="F2039" s="68">
        <v>2.7</v>
      </c>
      <c r="G2039" s="67">
        <f t="shared" si="62"/>
        <v>34.43</v>
      </c>
      <c r="H2039" s="930" t="s">
        <v>1306</v>
      </c>
      <c r="I2039" s="1227"/>
    </row>
    <row r="2040" spans="1:9" s="78" customFormat="1" ht="18" customHeight="1">
      <c r="A2040" s="75"/>
      <c r="B2040" s="63" t="s">
        <v>2016</v>
      </c>
      <c r="C2040" s="70">
        <v>-1</v>
      </c>
      <c r="D2040" s="68">
        <v>1</v>
      </c>
      <c r="E2040" s="68"/>
      <c r="F2040" s="68">
        <v>1.8</v>
      </c>
      <c r="G2040" s="67">
        <f t="shared" si="62"/>
        <v>-1.8</v>
      </c>
      <c r="H2040" s="930" t="s">
        <v>1306</v>
      </c>
      <c r="I2040" s="1227"/>
    </row>
    <row r="2041" spans="1:9" s="78" customFormat="1" ht="18" customHeight="1">
      <c r="A2041" s="75"/>
      <c r="B2041" s="63" t="s">
        <v>2052</v>
      </c>
      <c r="C2041" s="70">
        <v>-1</v>
      </c>
      <c r="D2041" s="68">
        <v>0.8</v>
      </c>
      <c r="E2041" s="68"/>
      <c r="F2041" s="68">
        <v>1.8</v>
      </c>
      <c r="G2041" s="67">
        <f t="shared" si="62"/>
        <v>-1.44</v>
      </c>
      <c r="H2041" s="930" t="s">
        <v>1306</v>
      </c>
      <c r="I2041" s="1227"/>
    </row>
    <row r="2042" spans="1:9" s="78" customFormat="1" ht="18" customHeight="1">
      <c r="A2042" s="75"/>
      <c r="B2042" s="63" t="s">
        <v>2053</v>
      </c>
      <c r="C2042" s="70">
        <v>-1</v>
      </c>
      <c r="D2042" s="68">
        <v>0.6</v>
      </c>
      <c r="E2042" s="68"/>
      <c r="F2042" s="68">
        <v>0.6</v>
      </c>
      <c r="G2042" s="67">
        <f t="shared" si="62"/>
        <v>-0.36</v>
      </c>
      <c r="H2042" s="930" t="s">
        <v>1306</v>
      </c>
      <c r="I2042" s="1227"/>
    </row>
    <row r="2043" spans="1:9" s="78" customFormat="1" ht="18" customHeight="1">
      <c r="A2043" s="75"/>
      <c r="B2043" s="63" t="s">
        <v>2054</v>
      </c>
      <c r="C2043" s="70">
        <v>1</v>
      </c>
      <c r="D2043" s="68">
        <v>4.4249999999999998</v>
      </c>
      <c r="E2043" s="68"/>
      <c r="F2043" s="68">
        <v>2.7</v>
      </c>
      <c r="G2043" s="67">
        <f t="shared" si="62"/>
        <v>11.95</v>
      </c>
      <c r="H2043" s="930" t="s">
        <v>1306</v>
      </c>
      <c r="I2043" s="1227"/>
    </row>
    <row r="2044" spans="1:9" s="78" customFormat="1" ht="18" customHeight="1">
      <c r="A2044" s="75"/>
      <c r="B2044" s="63" t="s">
        <v>2017</v>
      </c>
      <c r="C2044" s="70">
        <v>2</v>
      </c>
      <c r="D2044" s="68">
        <v>4.5999999999999996</v>
      </c>
      <c r="E2044" s="68"/>
      <c r="F2044" s="68">
        <v>2.7</v>
      </c>
      <c r="G2044" s="67">
        <f t="shared" si="62"/>
        <v>24.84</v>
      </c>
      <c r="H2044" s="930" t="s">
        <v>1306</v>
      </c>
      <c r="I2044" s="1227"/>
    </row>
    <row r="2045" spans="1:9" s="78" customFormat="1" ht="18" customHeight="1">
      <c r="A2045" s="75"/>
      <c r="B2045" s="63" t="s">
        <v>2018</v>
      </c>
      <c r="C2045" s="70">
        <v>2</v>
      </c>
      <c r="D2045" s="68">
        <f>1.525+3.075</f>
        <v>4.5999999999999996</v>
      </c>
      <c r="E2045" s="68"/>
      <c r="F2045" s="68">
        <v>2.7</v>
      </c>
      <c r="G2045" s="67">
        <f t="shared" si="62"/>
        <v>24.84</v>
      </c>
      <c r="H2045" s="930" t="s">
        <v>1306</v>
      </c>
      <c r="I2045" s="1227"/>
    </row>
    <row r="2046" spans="1:9" s="78" customFormat="1" ht="18" customHeight="1">
      <c r="A2046" s="75"/>
      <c r="B2046" s="63" t="s">
        <v>2019</v>
      </c>
      <c r="C2046" s="70">
        <v>1</v>
      </c>
      <c r="D2046" s="68">
        <v>1.6</v>
      </c>
      <c r="E2046" s="68"/>
      <c r="F2046" s="68">
        <v>2.7</v>
      </c>
      <c r="G2046" s="67">
        <f t="shared" si="62"/>
        <v>4.32</v>
      </c>
      <c r="H2046" s="930" t="s">
        <v>1306</v>
      </c>
      <c r="I2046" s="1227"/>
    </row>
    <row r="2047" spans="1:9" s="78" customFormat="1" ht="18" customHeight="1">
      <c r="A2047" s="75"/>
      <c r="B2047" s="63"/>
      <c r="C2047" s="70"/>
      <c r="D2047" s="68"/>
      <c r="E2047" s="68"/>
      <c r="F2047" s="68"/>
      <c r="G2047" s="67" t="str">
        <f t="shared" si="62"/>
        <v xml:space="preserve"> </v>
      </c>
      <c r="H2047" s="930" t="s">
        <v>1306</v>
      </c>
      <c r="I2047" s="1227"/>
    </row>
    <row r="2048" spans="1:9" s="78" customFormat="1" ht="18" customHeight="1">
      <c r="A2048" s="75"/>
      <c r="B2048" s="64" t="s">
        <v>1062</v>
      </c>
      <c r="C2048" s="70"/>
      <c r="D2048" s="68"/>
      <c r="E2048" s="68"/>
      <c r="F2048" s="68"/>
      <c r="G2048" s="67" t="str">
        <f t="shared" ref="G2048:G2111" si="64">IF(C2048&lt;&gt;0,ROUND(PRODUCT(D2048:F2048)*C2048,2)," ")</f>
        <v xml:space="preserve"> </v>
      </c>
      <c r="H2048" s="930" t="s">
        <v>1306</v>
      </c>
      <c r="I2048" s="1227"/>
    </row>
    <row r="2049" spans="1:9" s="78" customFormat="1" ht="18" customHeight="1">
      <c r="A2049" s="75"/>
      <c r="B2049" s="63" t="s">
        <v>1063</v>
      </c>
      <c r="C2049" s="70">
        <v>1</v>
      </c>
      <c r="D2049" s="567">
        <v>18.399999999999999</v>
      </c>
      <c r="E2049" s="68"/>
      <c r="F2049" s="68">
        <v>2.7</v>
      </c>
      <c r="G2049" s="67">
        <f t="shared" si="64"/>
        <v>49.68</v>
      </c>
      <c r="H2049" s="930" t="s">
        <v>1306</v>
      </c>
      <c r="I2049" s="1227"/>
    </row>
    <row r="2050" spans="1:9" s="78" customFormat="1" ht="18" customHeight="1">
      <c r="A2050" s="75"/>
      <c r="B2050" s="63" t="s">
        <v>1064</v>
      </c>
      <c r="C2050" s="70">
        <v>-0.5</v>
      </c>
      <c r="D2050" s="68">
        <v>1.2</v>
      </c>
      <c r="E2050" s="68"/>
      <c r="F2050" s="68">
        <v>2.1</v>
      </c>
      <c r="G2050" s="67">
        <f t="shared" si="64"/>
        <v>-1.26</v>
      </c>
      <c r="H2050" s="930" t="s">
        <v>1306</v>
      </c>
      <c r="I2050" s="1227"/>
    </row>
    <row r="2051" spans="1:9" s="78" customFormat="1" ht="18" customHeight="1">
      <c r="A2051" s="75"/>
      <c r="B2051" s="63" t="s">
        <v>1065</v>
      </c>
      <c r="C2051" s="70">
        <v>-1.5</v>
      </c>
      <c r="D2051" s="68">
        <v>1</v>
      </c>
      <c r="E2051" s="68"/>
      <c r="F2051" s="68">
        <v>1.8</v>
      </c>
      <c r="G2051" s="67">
        <f t="shared" si="64"/>
        <v>-2.7</v>
      </c>
      <c r="H2051" s="930" t="s">
        <v>1306</v>
      </c>
      <c r="I2051" s="1227"/>
    </row>
    <row r="2052" spans="1:9" s="78" customFormat="1" ht="18" customHeight="1">
      <c r="A2052" s="75"/>
      <c r="B2052" s="63" t="s">
        <v>1066</v>
      </c>
      <c r="C2052" s="70">
        <v>-1</v>
      </c>
      <c r="D2052" s="68">
        <v>3</v>
      </c>
      <c r="E2052" s="68"/>
      <c r="F2052" s="68">
        <v>1.8</v>
      </c>
      <c r="G2052" s="67">
        <f t="shared" si="64"/>
        <v>-5.4</v>
      </c>
      <c r="H2052" s="930" t="s">
        <v>1306</v>
      </c>
      <c r="I2052" s="1227"/>
    </row>
    <row r="2053" spans="1:9" s="78" customFormat="1" ht="18" customHeight="1">
      <c r="A2053" s="75"/>
      <c r="B2053" s="63" t="s">
        <v>2055</v>
      </c>
      <c r="C2053" s="70">
        <v>1</v>
      </c>
      <c r="D2053" s="68">
        <v>4.9000000000000004</v>
      </c>
      <c r="E2053" s="68"/>
      <c r="F2053" s="68">
        <v>2.7</v>
      </c>
      <c r="G2053" s="67">
        <f t="shared" si="64"/>
        <v>13.23</v>
      </c>
      <c r="H2053" s="930" t="s">
        <v>1306</v>
      </c>
      <c r="I2053" s="1227"/>
    </row>
    <row r="2054" spans="1:9" s="78" customFormat="1" ht="18" customHeight="1">
      <c r="A2054" s="75"/>
      <c r="B2054" s="63" t="s">
        <v>1064</v>
      </c>
      <c r="C2054" s="70">
        <v>-0.5</v>
      </c>
      <c r="D2054" s="68">
        <v>1.2</v>
      </c>
      <c r="E2054" s="68"/>
      <c r="F2054" s="68">
        <v>2.1</v>
      </c>
      <c r="G2054" s="67">
        <f t="shared" si="64"/>
        <v>-1.26</v>
      </c>
      <c r="H2054" s="930" t="s">
        <v>1306</v>
      </c>
      <c r="I2054" s="1227"/>
    </row>
    <row r="2055" spans="1:9" s="78" customFormat="1" ht="18" customHeight="1">
      <c r="A2055" s="75"/>
      <c r="B2055" s="63" t="s">
        <v>1067</v>
      </c>
      <c r="C2055" s="70">
        <v>1</v>
      </c>
      <c r="D2055" s="68">
        <v>10.275</v>
      </c>
      <c r="E2055" s="68"/>
      <c r="F2055" s="68">
        <v>2.7</v>
      </c>
      <c r="G2055" s="67">
        <f t="shared" si="64"/>
        <v>27.74</v>
      </c>
      <c r="H2055" s="930" t="s">
        <v>1306</v>
      </c>
      <c r="I2055" s="1227"/>
    </row>
    <row r="2056" spans="1:9" s="78" customFormat="1" ht="18" customHeight="1">
      <c r="A2056" s="75"/>
      <c r="B2056" s="63" t="s">
        <v>2020</v>
      </c>
      <c r="C2056" s="70">
        <v>-1.5</v>
      </c>
      <c r="D2056" s="68">
        <v>1</v>
      </c>
      <c r="E2056" s="68"/>
      <c r="F2056" s="68">
        <v>1.8</v>
      </c>
      <c r="G2056" s="67">
        <f t="shared" si="64"/>
        <v>-2.7</v>
      </c>
      <c r="H2056" s="930" t="s">
        <v>1306</v>
      </c>
      <c r="I2056" s="1227"/>
    </row>
    <row r="2057" spans="1:9" s="674" customFormat="1" ht="18" customHeight="1">
      <c r="A2057" s="75"/>
      <c r="B2057" s="64" t="s">
        <v>1976</v>
      </c>
      <c r="C2057" s="410">
        <v>1</v>
      </c>
      <c r="D2057" s="352">
        <f>1.425+3.175-0.38</f>
        <v>4.22</v>
      </c>
      <c r="E2057" s="352"/>
      <c r="F2057" s="352">
        <v>2.7</v>
      </c>
      <c r="G2057" s="67">
        <f t="shared" si="64"/>
        <v>11.39</v>
      </c>
      <c r="H2057" s="950" t="s">
        <v>1306</v>
      </c>
      <c r="I2057" s="1246"/>
    </row>
    <row r="2058" spans="1:9" s="674" customFormat="1" ht="18" customHeight="1">
      <c r="A2058" s="75"/>
      <c r="B2058" s="64" t="s">
        <v>1976</v>
      </c>
      <c r="C2058" s="410">
        <v>1</v>
      </c>
      <c r="D2058" s="352">
        <f>1.425+3.175-0.38</f>
        <v>4.22</v>
      </c>
      <c r="E2058" s="352"/>
      <c r="F2058" s="677">
        <v>0.3</v>
      </c>
      <c r="G2058" s="67">
        <f t="shared" si="64"/>
        <v>1.27</v>
      </c>
      <c r="H2058" s="950" t="s">
        <v>1306</v>
      </c>
      <c r="I2058" s="1246"/>
    </row>
    <row r="2059" spans="1:9" s="78" customFormat="1" ht="18" customHeight="1">
      <c r="A2059" s="75"/>
      <c r="B2059" s="63" t="s">
        <v>1605</v>
      </c>
      <c r="C2059" s="70">
        <v>2</v>
      </c>
      <c r="D2059" s="68">
        <f>2.725+1.875-0.38</f>
        <v>4.22</v>
      </c>
      <c r="E2059" s="68"/>
      <c r="F2059" s="68">
        <v>2.7</v>
      </c>
      <c r="G2059" s="67">
        <f t="shared" si="64"/>
        <v>22.79</v>
      </c>
      <c r="H2059" s="930" t="s">
        <v>1306</v>
      </c>
      <c r="I2059" s="1227"/>
    </row>
    <row r="2060" spans="1:9" s="674" customFormat="1" ht="18" customHeight="1">
      <c r="A2060" s="75"/>
      <c r="B2060" s="64" t="s">
        <v>1977</v>
      </c>
      <c r="C2060" s="410">
        <v>1</v>
      </c>
      <c r="D2060" s="352">
        <f>1.425+3.175-0.38</f>
        <v>4.22</v>
      </c>
      <c r="E2060" s="352"/>
      <c r="F2060" s="352">
        <v>2.7</v>
      </c>
      <c r="G2060" s="67">
        <f t="shared" si="64"/>
        <v>11.39</v>
      </c>
      <c r="H2060" s="950" t="s">
        <v>1306</v>
      </c>
      <c r="I2060" s="1246"/>
    </row>
    <row r="2061" spans="1:9" s="674" customFormat="1" ht="18" customHeight="1">
      <c r="A2061" s="75"/>
      <c r="B2061" s="64" t="s">
        <v>1977</v>
      </c>
      <c r="C2061" s="410">
        <v>1</v>
      </c>
      <c r="D2061" s="352">
        <f>1.425+3.175-0.38</f>
        <v>4.22</v>
      </c>
      <c r="E2061" s="352"/>
      <c r="F2061" s="677">
        <v>0.3</v>
      </c>
      <c r="G2061" s="67">
        <f t="shared" si="64"/>
        <v>1.27</v>
      </c>
      <c r="H2061" s="950" t="s">
        <v>1306</v>
      </c>
      <c r="I2061" s="1246"/>
    </row>
    <row r="2062" spans="1:9" s="78" customFormat="1" ht="18" customHeight="1">
      <c r="A2062" s="75"/>
      <c r="B2062" s="63" t="s">
        <v>1978</v>
      </c>
      <c r="C2062" s="70">
        <v>2</v>
      </c>
      <c r="D2062" s="68">
        <f>2.725+1.875-0.38</f>
        <v>4.22</v>
      </c>
      <c r="E2062" s="68"/>
      <c r="F2062" s="68">
        <v>2.7</v>
      </c>
      <c r="G2062" s="67">
        <f t="shared" si="64"/>
        <v>22.79</v>
      </c>
      <c r="H2062" s="930" t="s">
        <v>1306</v>
      </c>
      <c r="I2062" s="1227"/>
    </row>
    <row r="2063" spans="1:9" s="674" customFormat="1" ht="18" customHeight="1">
      <c r="A2063" s="75"/>
      <c r="B2063" s="64" t="s">
        <v>1979</v>
      </c>
      <c r="C2063" s="410">
        <v>1</v>
      </c>
      <c r="D2063" s="352">
        <f>3.25-1+0.2</f>
        <v>2.4500000000000002</v>
      </c>
      <c r="E2063" s="352"/>
      <c r="F2063" s="352">
        <v>2.7</v>
      </c>
      <c r="G2063" s="67">
        <f t="shared" si="64"/>
        <v>6.62</v>
      </c>
      <c r="H2063" s="950" t="s">
        <v>1306</v>
      </c>
      <c r="I2063" s="1246"/>
    </row>
    <row r="2064" spans="1:9" s="674" customFormat="1" ht="18" customHeight="1">
      <c r="A2064" s="75"/>
      <c r="B2064" s="64" t="s">
        <v>1979</v>
      </c>
      <c r="C2064" s="410">
        <v>1</v>
      </c>
      <c r="D2064" s="352">
        <f>3.25-1+0.2</f>
        <v>2.4500000000000002</v>
      </c>
      <c r="E2064" s="352"/>
      <c r="F2064" s="677">
        <v>0.3</v>
      </c>
      <c r="G2064" s="67">
        <f t="shared" si="64"/>
        <v>0.74</v>
      </c>
      <c r="H2064" s="950" t="s">
        <v>1306</v>
      </c>
      <c r="I2064" s="1246"/>
    </row>
    <row r="2065" spans="1:9" s="674" customFormat="1" ht="18" customHeight="1">
      <c r="A2065" s="75"/>
      <c r="B2065" s="64" t="s">
        <v>964</v>
      </c>
      <c r="C2065" s="410">
        <v>-0.5</v>
      </c>
      <c r="D2065" s="352">
        <v>1</v>
      </c>
      <c r="E2065" s="352"/>
      <c r="F2065" s="352">
        <v>2.1</v>
      </c>
      <c r="G2065" s="67">
        <f t="shared" si="64"/>
        <v>-1.05</v>
      </c>
      <c r="H2065" s="950" t="s">
        <v>1306</v>
      </c>
      <c r="I2065" s="1246"/>
    </row>
    <row r="2066" spans="1:9" s="78" customFormat="1" ht="18" customHeight="1">
      <c r="A2066" s="75"/>
      <c r="B2066" s="63" t="s">
        <v>1068</v>
      </c>
      <c r="C2066" s="70">
        <v>2</v>
      </c>
      <c r="D2066" s="68">
        <v>3.25</v>
      </c>
      <c r="E2066" s="68"/>
      <c r="F2066" s="68">
        <v>2.7</v>
      </c>
      <c r="G2066" s="67">
        <f t="shared" si="64"/>
        <v>17.55</v>
      </c>
      <c r="H2066" s="930" t="s">
        <v>1306</v>
      </c>
      <c r="I2066" s="1227"/>
    </row>
    <row r="2067" spans="1:9" s="78" customFormat="1" ht="18" customHeight="1">
      <c r="A2067" s="75"/>
      <c r="B2067" s="63" t="s">
        <v>1069</v>
      </c>
      <c r="C2067" s="70">
        <v>-2</v>
      </c>
      <c r="D2067" s="68">
        <v>1.8</v>
      </c>
      <c r="E2067" s="68"/>
      <c r="F2067" s="68">
        <v>2.1</v>
      </c>
      <c r="G2067" s="67">
        <f t="shared" si="64"/>
        <v>-7.56</v>
      </c>
      <c r="H2067" s="930" t="s">
        <v>1306</v>
      </c>
      <c r="I2067" s="1227"/>
    </row>
    <row r="2068" spans="1:9" ht="18" customHeight="1">
      <c r="A2068" s="75"/>
      <c r="B2068" s="64" t="s">
        <v>1070</v>
      </c>
      <c r="C2068" s="70"/>
      <c r="D2068" s="68"/>
      <c r="E2068" s="68"/>
      <c r="F2068" s="68"/>
      <c r="G2068" s="67" t="str">
        <f t="shared" si="64"/>
        <v xml:space="preserve"> </v>
      </c>
      <c r="H2068" s="930" t="s">
        <v>1306</v>
      </c>
    </row>
    <row r="2069" spans="1:9" s="355" customFormat="1" ht="18" customHeight="1">
      <c r="A2069" s="75"/>
      <c r="B2069" s="64" t="s">
        <v>1071</v>
      </c>
      <c r="C2069" s="410">
        <v>1</v>
      </c>
      <c r="D2069" s="677">
        <v>4.7</v>
      </c>
      <c r="E2069" s="352"/>
      <c r="F2069" s="677">
        <v>0.3</v>
      </c>
      <c r="G2069" s="67">
        <f t="shared" si="64"/>
        <v>1.41</v>
      </c>
      <c r="H2069" s="950" t="s">
        <v>1306</v>
      </c>
      <c r="I2069" s="1239"/>
    </row>
    <row r="2070" spans="1:9" s="355" customFormat="1" ht="18" customHeight="1">
      <c r="A2070" s="75"/>
      <c r="B2070" s="64" t="s">
        <v>1073</v>
      </c>
      <c r="C2070" s="410">
        <v>1</v>
      </c>
      <c r="D2070" s="677">
        <v>3.1</v>
      </c>
      <c r="E2070" s="352"/>
      <c r="F2070" s="677">
        <v>0.3</v>
      </c>
      <c r="G2070" s="67">
        <f t="shared" si="64"/>
        <v>0.93</v>
      </c>
      <c r="H2070" s="950" t="s">
        <v>1306</v>
      </c>
      <c r="I2070" s="1239"/>
    </row>
    <row r="2071" spans="1:9" s="355" customFormat="1" ht="18" customHeight="1">
      <c r="A2071" s="75"/>
      <c r="B2071" s="64" t="s">
        <v>1074</v>
      </c>
      <c r="C2071" s="410">
        <v>1</v>
      </c>
      <c r="D2071" s="677">
        <v>3.1</v>
      </c>
      <c r="E2071" s="352"/>
      <c r="F2071" s="677">
        <v>0.3</v>
      </c>
      <c r="G2071" s="67">
        <f t="shared" si="64"/>
        <v>0.93</v>
      </c>
      <c r="H2071" s="950" t="s">
        <v>1306</v>
      </c>
      <c r="I2071" s="1239"/>
    </row>
    <row r="2072" spans="1:9" s="78" customFormat="1" ht="18" customHeight="1">
      <c r="A2072" s="75"/>
      <c r="B2072" s="64" t="s">
        <v>1076</v>
      </c>
      <c r="C2072" s="70"/>
      <c r="D2072" s="68"/>
      <c r="E2072" s="68"/>
      <c r="F2072" s="68"/>
      <c r="G2072" s="67" t="str">
        <f t="shared" si="64"/>
        <v xml:space="preserve"> </v>
      </c>
      <c r="H2072" s="930" t="s">
        <v>1306</v>
      </c>
      <c r="I2072" s="1227"/>
    </row>
    <row r="2073" spans="1:9" s="78" customFormat="1" ht="18" customHeight="1">
      <c r="A2073" s="75"/>
      <c r="B2073" s="63" t="s">
        <v>2056</v>
      </c>
      <c r="C2073" s="70">
        <v>1</v>
      </c>
      <c r="D2073" s="68">
        <v>4.4249999999999998</v>
      </c>
      <c r="E2073" s="68"/>
      <c r="F2073" s="68">
        <v>2.7</v>
      </c>
      <c r="G2073" s="67">
        <f t="shared" si="64"/>
        <v>11.95</v>
      </c>
      <c r="H2073" s="930" t="s">
        <v>1306</v>
      </c>
      <c r="I2073" s="1227"/>
    </row>
    <row r="2074" spans="1:9" s="78" customFormat="1" ht="18" customHeight="1">
      <c r="A2074" s="75"/>
      <c r="B2074" s="63" t="s">
        <v>2057</v>
      </c>
      <c r="C2074" s="70">
        <v>2</v>
      </c>
      <c r="D2074" s="68">
        <v>4.5999999999999996</v>
      </c>
      <c r="E2074" s="68"/>
      <c r="F2074" s="68">
        <v>2.7</v>
      </c>
      <c r="G2074" s="67">
        <f t="shared" si="64"/>
        <v>24.84</v>
      </c>
      <c r="H2074" s="930" t="s">
        <v>1306</v>
      </c>
      <c r="I2074" s="1227"/>
    </row>
    <row r="2075" spans="1:9" s="78" customFormat="1" ht="18" customHeight="1">
      <c r="A2075" s="75"/>
      <c r="B2075" s="63" t="s">
        <v>2021</v>
      </c>
      <c r="C2075" s="70">
        <v>2</v>
      </c>
      <c r="D2075" s="68">
        <f>1.525+3.075+0.275-0.2+0.275</f>
        <v>4.95</v>
      </c>
      <c r="E2075" s="68"/>
      <c r="F2075" s="68">
        <v>2.7</v>
      </c>
      <c r="G2075" s="67">
        <f t="shared" si="64"/>
        <v>26.73</v>
      </c>
      <c r="H2075" s="930" t="s">
        <v>1306</v>
      </c>
      <c r="I2075" s="1227"/>
    </row>
    <row r="2076" spans="1:9" s="78" customFormat="1" ht="18" customHeight="1">
      <c r="A2076" s="75"/>
      <c r="B2076" s="63" t="s">
        <v>2058</v>
      </c>
      <c r="C2076" s="70">
        <v>1</v>
      </c>
      <c r="D2076" s="68">
        <v>1.6</v>
      </c>
      <c r="E2076" s="68"/>
      <c r="F2076" s="68">
        <v>2.7</v>
      </c>
      <c r="G2076" s="67">
        <f t="shared" si="64"/>
        <v>4.32</v>
      </c>
      <c r="H2076" s="930" t="s">
        <v>1306</v>
      </c>
      <c r="I2076" s="1227"/>
    </row>
    <row r="2077" spans="1:9" s="78" customFormat="1" ht="18" customHeight="1">
      <c r="A2077" s="75"/>
      <c r="B2077" s="63" t="s">
        <v>1982</v>
      </c>
      <c r="C2077" s="70">
        <v>2</v>
      </c>
      <c r="D2077" s="68">
        <f>1.525+3.075+0.275-0.2+0.275</f>
        <v>4.95</v>
      </c>
      <c r="E2077" s="68"/>
      <c r="F2077" s="68">
        <v>2.7</v>
      </c>
      <c r="G2077" s="67">
        <f t="shared" si="64"/>
        <v>26.73</v>
      </c>
      <c r="H2077" s="930" t="s">
        <v>1306</v>
      </c>
      <c r="I2077" s="1227"/>
    </row>
    <row r="2078" spans="1:9" s="78" customFormat="1" ht="18" customHeight="1">
      <c r="A2078" s="75"/>
      <c r="B2078" s="63" t="s">
        <v>1077</v>
      </c>
      <c r="C2078" s="70">
        <v>2</v>
      </c>
      <c r="D2078" s="68">
        <v>0.8</v>
      </c>
      <c r="E2078" s="68"/>
      <c r="F2078" s="68">
        <v>2.7</v>
      </c>
      <c r="G2078" s="67">
        <f t="shared" si="64"/>
        <v>4.32</v>
      </c>
      <c r="H2078" s="930" t="s">
        <v>1306</v>
      </c>
      <c r="I2078" s="1227"/>
    </row>
    <row r="2079" spans="1:9" s="78" customFormat="1" ht="18" customHeight="1">
      <c r="A2079" s="75"/>
      <c r="B2079" s="63" t="s">
        <v>1078</v>
      </c>
      <c r="C2079" s="70">
        <v>-1</v>
      </c>
      <c r="D2079" s="68">
        <v>0.9</v>
      </c>
      <c r="E2079" s="68"/>
      <c r="F2079" s="68">
        <v>2</v>
      </c>
      <c r="G2079" s="67">
        <f t="shared" si="64"/>
        <v>-1.8</v>
      </c>
      <c r="H2079" s="930" t="s">
        <v>1306</v>
      </c>
      <c r="I2079" s="1227"/>
    </row>
    <row r="2080" spans="1:9" s="78" customFormat="1" ht="18" customHeight="1">
      <c r="A2080" s="75"/>
      <c r="B2080" s="63" t="s">
        <v>1079</v>
      </c>
      <c r="C2080" s="70">
        <v>2</v>
      </c>
      <c r="D2080" s="567">
        <v>3</v>
      </c>
      <c r="E2080" s="68"/>
      <c r="F2080" s="68">
        <v>2.7</v>
      </c>
      <c r="G2080" s="67">
        <f t="shared" si="64"/>
        <v>16.2</v>
      </c>
      <c r="H2080" s="930" t="s">
        <v>1306</v>
      </c>
      <c r="I2080" s="1227"/>
    </row>
    <row r="2081" spans="1:15" s="78" customFormat="1" ht="18" customHeight="1">
      <c r="A2081" s="75"/>
      <c r="B2081" s="63" t="s">
        <v>1080</v>
      </c>
      <c r="C2081" s="70">
        <v>-1</v>
      </c>
      <c r="D2081" s="68">
        <v>1.2</v>
      </c>
      <c r="E2081" s="68"/>
      <c r="F2081" s="68">
        <v>2.1</v>
      </c>
      <c r="G2081" s="67">
        <f t="shared" si="64"/>
        <v>-2.52</v>
      </c>
      <c r="H2081" s="930" t="s">
        <v>1306</v>
      </c>
      <c r="I2081" s="1227"/>
    </row>
    <row r="2082" spans="1:15" s="78" customFormat="1" ht="18" customHeight="1">
      <c r="A2082" s="75"/>
      <c r="B2082" s="63" t="s">
        <v>2022</v>
      </c>
      <c r="C2082" s="70">
        <v>2</v>
      </c>
      <c r="D2082" s="68">
        <f>1.525-0.75-0.2</f>
        <v>0.57499999999999996</v>
      </c>
      <c r="E2082" s="68"/>
      <c r="F2082" s="68">
        <v>2.7</v>
      </c>
      <c r="G2082" s="67">
        <f t="shared" si="64"/>
        <v>3.11</v>
      </c>
      <c r="H2082" s="930" t="s">
        <v>1306</v>
      </c>
      <c r="I2082" s="1227"/>
    </row>
    <row r="2083" spans="1:15" s="78" customFormat="1" ht="18" customHeight="1">
      <c r="A2083" s="75"/>
      <c r="B2083" s="63" t="s">
        <v>1081</v>
      </c>
      <c r="C2083" s="70">
        <v>1</v>
      </c>
      <c r="D2083" s="68">
        <f>6.45+6.45-0.1</f>
        <v>12.8</v>
      </c>
      <c r="E2083" s="68"/>
      <c r="F2083" s="68">
        <v>2.7</v>
      </c>
      <c r="G2083" s="67">
        <f t="shared" si="64"/>
        <v>34.56</v>
      </c>
      <c r="H2083" s="930" t="s">
        <v>1306</v>
      </c>
      <c r="I2083" s="1227"/>
    </row>
    <row r="2084" spans="1:15" s="78" customFormat="1" ht="18" customHeight="1">
      <c r="A2084" s="75"/>
      <c r="B2084" s="63" t="s">
        <v>2023</v>
      </c>
      <c r="C2084" s="70">
        <v>-2</v>
      </c>
      <c r="D2084" s="68">
        <v>1</v>
      </c>
      <c r="E2084" s="68"/>
      <c r="F2084" s="68">
        <v>1.8</v>
      </c>
      <c r="G2084" s="67">
        <f t="shared" si="64"/>
        <v>-3.6</v>
      </c>
      <c r="H2084" s="930" t="s">
        <v>1306</v>
      </c>
      <c r="I2084" s="1227"/>
    </row>
    <row r="2085" spans="1:15" s="78" customFormat="1" ht="18" customHeight="1">
      <c r="A2085" s="75"/>
      <c r="B2085" s="63" t="s">
        <v>1082</v>
      </c>
      <c r="C2085" s="70">
        <v>1</v>
      </c>
      <c r="D2085" s="68">
        <f>6.45+6.45-0.1</f>
        <v>12.8</v>
      </c>
      <c r="E2085" s="68"/>
      <c r="F2085" s="68">
        <v>2.7</v>
      </c>
      <c r="G2085" s="67">
        <f t="shared" si="64"/>
        <v>34.56</v>
      </c>
      <c r="H2085" s="930" t="s">
        <v>1306</v>
      </c>
      <c r="I2085" s="1227"/>
    </row>
    <row r="2086" spans="1:15" s="78" customFormat="1" ht="18" customHeight="1">
      <c r="A2086" s="75"/>
      <c r="B2086" s="63" t="s">
        <v>2024</v>
      </c>
      <c r="C2086" s="70">
        <v>-1</v>
      </c>
      <c r="D2086" s="68">
        <v>1</v>
      </c>
      <c r="E2086" s="68"/>
      <c r="F2086" s="68">
        <v>1.8</v>
      </c>
      <c r="G2086" s="67">
        <f t="shared" si="64"/>
        <v>-1.8</v>
      </c>
      <c r="H2086" s="930" t="s">
        <v>1306</v>
      </c>
      <c r="I2086" s="1227"/>
    </row>
    <row r="2087" spans="1:15" s="78" customFormat="1" ht="18" customHeight="1">
      <c r="A2087" s="75"/>
      <c r="B2087" s="63" t="s">
        <v>2025</v>
      </c>
      <c r="C2087" s="70">
        <v>-0.5</v>
      </c>
      <c r="D2087" s="68">
        <v>1</v>
      </c>
      <c r="E2087" s="68"/>
      <c r="F2087" s="68">
        <v>1.8</v>
      </c>
      <c r="G2087" s="67">
        <f t="shared" si="64"/>
        <v>-0.9</v>
      </c>
      <c r="H2087" s="930" t="s">
        <v>1306</v>
      </c>
      <c r="I2087" s="1227"/>
    </row>
    <row r="2088" spans="1:15" s="78" customFormat="1" ht="18" customHeight="1">
      <c r="A2088" s="75"/>
      <c r="B2088" s="63" t="s">
        <v>2026</v>
      </c>
      <c r="C2088" s="70">
        <v>-0.5</v>
      </c>
      <c r="D2088" s="68">
        <v>0.6</v>
      </c>
      <c r="E2088" s="68"/>
      <c r="F2088" s="68">
        <v>0.6</v>
      </c>
      <c r="G2088" s="67">
        <f t="shared" si="64"/>
        <v>-0.18</v>
      </c>
      <c r="H2088" s="930" t="s">
        <v>1306</v>
      </c>
      <c r="I2088" s="1227"/>
    </row>
    <row r="2089" spans="1:15" s="78" customFormat="1" ht="18" customHeight="1">
      <c r="A2089" s="75"/>
      <c r="B2089" s="64" t="s">
        <v>1084</v>
      </c>
      <c r="C2089" s="70"/>
      <c r="D2089" s="68"/>
      <c r="E2089" s="68"/>
      <c r="F2089" s="68"/>
      <c r="G2089" s="67" t="str">
        <f t="shared" si="64"/>
        <v xml:space="preserve"> </v>
      </c>
      <c r="H2089" s="930" t="s">
        <v>1306</v>
      </c>
      <c r="I2089" s="1227"/>
    </row>
    <row r="2090" spans="1:15" s="78" customFormat="1" ht="18" customHeight="1">
      <c r="A2090" s="75"/>
      <c r="B2090" s="64" t="s">
        <v>2027</v>
      </c>
      <c r="C2090" s="70"/>
      <c r="D2090" s="68"/>
      <c r="E2090" s="68"/>
      <c r="F2090" s="68"/>
      <c r="G2090" s="67" t="str">
        <f t="shared" si="64"/>
        <v xml:space="preserve"> </v>
      </c>
      <c r="H2090" s="930" t="s">
        <v>1306</v>
      </c>
      <c r="I2090" s="1227"/>
    </row>
    <row r="2091" spans="1:15" s="78" customFormat="1" ht="18" customHeight="1">
      <c r="A2091" s="75"/>
      <c r="B2091" s="406" t="s">
        <v>940</v>
      </c>
      <c r="C2091" s="70">
        <v>1</v>
      </c>
      <c r="D2091" s="68">
        <v>3.194</v>
      </c>
      <c r="E2091" s="68"/>
      <c r="F2091" s="68">
        <v>2.7</v>
      </c>
      <c r="G2091" s="67">
        <f t="shared" si="64"/>
        <v>8.6199999999999992</v>
      </c>
      <c r="H2091" s="930" t="s">
        <v>1306</v>
      </c>
      <c r="I2091" s="1227"/>
    </row>
    <row r="2092" spans="1:15" s="78" customFormat="1" ht="18" customHeight="1">
      <c r="A2092" s="75"/>
      <c r="B2092" s="406" t="s">
        <v>951</v>
      </c>
      <c r="C2092" s="70">
        <v>-0.5</v>
      </c>
      <c r="D2092" s="68">
        <v>1</v>
      </c>
      <c r="E2092" s="68"/>
      <c r="F2092" s="68">
        <v>1.8</v>
      </c>
      <c r="G2092" s="67">
        <f t="shared" si="64"/>
        <v>-0.9</v>
      </c>
      <c r="H2092" s="930" t="s">
        <v>1306</v>
      </c>
      <c r="I2092" s="1227"/>
    </row>
    <row r="2093" spans="1:15" s="78" customFormat="1" ht="18" customHeight="1">
      <c r="A2093" s="75"/>
      <c r="B2093" s="406" t="s">
        <v>1596</v>
      </c>
      <c r="C2093" s="70">
        <v>1</v>
      </c>
      <c r="D2093" s="68">
        <v>4.4089999999999998</v>
      </c>
      <c r="E2093" s="68"/>
      <c r="F2093" s="68">
        <v>2.7</v>
      </c>
      <c r="G2093" s="67">
        <f t="shared" si="64"/>
        <v>11.9</v>
      </c>
      <c r="H2093" s="930" t="s">
        <v>1306</v>
      </c>
      <c r="I2093" s="1227"/>
      <c r="O2093" s="220"/>
    </row>
    <row r="2094" spans="1:15" s="78" customFormat="1" ht="18" customHeight="1">
      <c r="A2094" s="75"/>
      <c r="B2094" s="63" t="s">
        <v>942</v>
      </c>
      <c r="C2094" s="70">
        <v>1</v>
      </c>
      <c r="D2094" s="68">
        <f>6.45+6.4+6.4+3.25+0.1-0.1</f>
        <v>22.5</v>
      </c>
      <c r="E2094" s="68"/>
      <c r="F2094" s="68">
        <v>2.95</v>
      </c>
      <c r="G2094" s="67">
        <f t="shared" si="64"/>
        <v>66.38</v>
      </c>
      <c r="H2094" s="930" t="s">
        <v>1306</v>
      </c>
      <c r="I2094" s="1227"/>
    </row>
    <row r="2095" spans="1:15" s="78" customFormat="1" ht="18" customHeight="1">
      <c r="A2095" s="75"/>
      <c r="B2095" s="409" t="s">
        <v>943</v>
      </c>
      <c r="C2095" s="70">
        <v>-3.5</v>
      </c>
      <c r="D2095" s="68">
        <v>1</v>
      </c>
      <c r="E2095" s="68"/>
      <c r="F2095" s="68">
        <v>1.8</v>
      </c>
      <c r="G2095" s="67">
        <f t="shared" si="64"/>
        <v>-6.3</v>
      </c>
      <c r="H2095" s="930" t="s">
        <v>1306</v>
      </c>
      <c r="I2095" s="1227"/>
    </row>
    <row r="2096" spans="1:15" s="78" customFormat="1" ht="18" customHeight="1">
      <c r="A2096" s="75"/>
      <c r="B2096" s="63" t="s">
        <v>1913</v>
      </c>
      <c r="C2096" s="70">
        <v>2</v>
      </c>
      <c r="D2096" s="68">
        <v>4.18</v>
      </c>
      <c r="E2096" s="68"/>
      <c r="F2096" s="68">
        <v>2.7</v>
      </c>
      <c r="G2096" s="67">
        <f t="shared" si="64"/>
        <v>22.57</v>
      </c>
      <c r="H2096" s="930" t="s">
        <v>1306</v>
      </c>
      <c r="I2096" s="1227"/>
    </row>
    <row r="2097" spans="1:9" s="78" customFormat="1" ht="18" customHeight="1">
      <c r="A2097" s="75"/>
      <c r="B2097" s="63" t="s">
        <v>945</v>
      </c>
      <c r="C2097" s="70">
        <v>1</v>
      </c>
      <c r="D2097" s="68">
        <v>3.1840000000000002</v>
      </c>
      <c r="E2097" s="68"/>
      <c r="F2097" s="68">
        <v>2.7</v>
      </c>
      <c r="G2097" s="67">
        <f t="shared" si="64"/>
        <v>8.6</v>
      </c>
      <c r="H2097" s="930" t="s">
        <v>1306</v>
      </c>
      <c r="I2097" s="1227"/>
    </row>
    <row r="2098" spans="1:9" s="78" customFormat="1" ht="18" customHeight="1">
      <c r="A2098" s="75"/>
      <c r="B2098" s="63" t="s">
        <v>946</v>
      </c>
      <c r="C2098" s="70">
        <v>-0.5</v>
      </c>
      <c r="D2098" s="68">
        <v>2.85</v>
      </c>
      <c r="E2098" s="68"/>
      <c r="F2098" s="68">
        <v>1.2</v>
      </c>
      <c r="G2098" s="67">
        <f t="shared" si="64"/>
        <v>-1.71</v>
      </c>
      <c r="H2098" s="930" t="s">
        <v>1306</v>
      </c>
      <c r="I2098" s="1227"/>
    </row>
    <row r="2099" spans="1:9" s="674" customFormat="1" ht="18" customHeight="1">
      <c r="A2099" s="75"/>
      <c r="B2099" s="64" t="s">
        <v>1291</v>
      </c>
      <c r="C2099" s="410">
        <v>1</v>
      </c>
      <c r="D2099" s="677">
        <v>12.573</v>
      </c>
      <c r="E2099" s="352"/>
      <c r="F2099" s="352">
        <v>2.7</v>
      </c>
      <c r="G2099" s="67">
        <f t="shared" si="64"/>
        <v>33.950000000000003</v>
      </c>
      <c r="H2099" s="950" t="s">
        <v>1306</v>
      </c>
      <c r="I2099" s="1246"/>
    </row>
    <row r="2100" spans="1:9" s="674" customFormat="1" ht="18" customHeight="1">
      <c r="A2100" s="75"/>
      <c r="B2100" s="64" t="s">
        <v>2142</v>
      </c>
      <c r="C2100" s="410">
        <v>1</v>
      </c>
      <c r="D2100" s="677">
        <v>1.7250000000000001</v>
      </c>
      <c r="E2100" s="352"/>
      <c r="F2100" s="677">
        <v>0.3</v>
      </c>
      <c r="G2100" s="67">
        <f t="shared" si="64"/>
        <v>0.52</v>
      </c>
      <c r="H2100" s="950" t="s">
        <v>1306</v>
      </c>
      <c r="I2100" s="1246"/>
    </row>
    <row r="2101" spans="1:9" s="78" customFormat="1" ht="18" customHeight="1">
      <c r="A2101" s="75"/>
      <c r="B2101" s="63" t="s">
        <v>948</v>
      </c>
      <c r="C2101" s="70">
        <v>-2</v>
      </c>
      <c r="D2101" s="68">
        <v>1</v>
      </c>
      <c r="E2101" s="68"/>
      <c r="F2101" s="68">
        <v>1.8</v>
      </c>
      <c r="G2101" s="67">
        <f t="shared" si="64"/>
        <v>-3.6</v>
      </c>
      <c r="H2101" s="930" t="s">
        <v>1306</v>
      </c>
      <c r="I2101" s="1227"/>
    </row>
    <row r="2102" spans="1:9" s="78" customFormat="1" ht="18" customHeight="1">
      <c r="A2102" s="75"/>
      <c r="B2102" s="63" t="s">
        <v>949</v>
      </c>
      <c r="C2102" s="70">
        <v>-0.5</v>
      </c>
      <c r="D2102" s="68">
        <v>1</v>
      </c>
      <c r="E2102" s="68"/>
      <c r="F2102" s="68">
        <v>1.8</v>
      </c>
      <c r="G2102" s="67">
        <f t="shared" si="64"/>
        <v>-0.9</v>
      </c>
      <c r="H2102" s="930" t="s">
        <v>1306</v>
      </c>
      <c r="I2102" s="1227"/>
    </row>
    <row r="2103" spans="1:9" s="78" customFormat="1" ht="18" customHeight="1">
      <c r="A2103" s="75"/>
      <c r="B2103" s="63" t="s">
        <v>1914</v>
      </c>
      <c r="C2103" s="70">
        <v>2</v>
      </c>
      <c r="D2103" s="68">
        <v>4.218</v>
      </c>
      <c r="E2103" s="68"/>
      <c r="F2103" s="68">
        <v>2.7</v>
      </c>
      <c r="G2103" s="67">
        <f t="shared" si="64"/>
        <v>22.78</v>
      </c>
      <c r="H2103" s="930" t="s">
        <v>1306</v>
      </c>
      <c r="I2103" s="1227"/>
    </row>
    <row r="2104" spans="1:9" s="674" customFormat="1" ht="18" customHeight="1">
      <c r="A2104" s="75"/>
      <c r="B2104" s="64" t="s">
        <v>1915</v>
      </c>
      <c r="C2104" s="410">
        <v>1</v>
      </c>
      <c r="D2104" s="352">
        <v>4.218</v>
      </c>
      <c r="E2104" s="352"/>
      <c r="F2104" s="352">
        <v>2.7</v>
      </c>
      <c r="G2104" s="67">
        <f t="shared" si="64"/>
        <v>11.39</v>
      </c>
      <c r="H2104" s="950" t="s">
        <v>1306</v>
      </c>
      <c r="I2104" s="1246"/>
    </row>
    <row r="2105" spans="1:9" s="674" customFormat="1" ht="18" customHeight="1">
      <c r="A2105" s="75"/>
      <c r="B2105" s="64" t="s">
        <v>1915</v>
      </c>
      <c r="C2105" s="410">
        <v>1</v>
      </c>
      <c r="D2105" s="352">
        <v>4.218</v>
      </c>
      <c r="E2105" s="352"/>
      <c r="F2105" s="677">
        <v>0.3</v>
      </c>
      <c r="G2105" s="67">
        <f t="shared" si="64"/>
        <v>1.27</v>
      </c>
      <c r="H2105" s="950" t="s">
        <v>1306</v>
      </c>
      <c r="I2105" s="1246"/>
    </row>
    <row r="2106" spans="1:9" s="674" customFormat="1" ht="18" customHeight="1">
      <c r="A2106" s="75"/>
      <c r="B2106" s="64" t="s">
        <v>1916</v>
      </c>
      <c r="C2106" s="410">
        <v>1</v>
      </c>
      <c r="D2106" s="677">
        <v>3.05</v>
      </c>
      <c r="E2106" s="352"/>
      <c r="F2106" s="352">
        <v>2.7</v>
      </c>
      <c r="G2106" s="67">
        <f t="shared" si="64"/>
        <v>8.24</v>
      </c>
      <c r="H2106" s="950" t="s">
        <v>1306</v>
      </c>
      <c r="I2106" s="1246"/>
    </row>
    <row r="2107" spans="1:9" s="674" customFormat="1" ht="18" customHeight="1">
      <c r="A2107" s="75"/>
      <c r="B2107" s="64" t="s">
        <v>1916</v>
      </c>
      <c r="C2107" s="410">
        <v>1</v>
      </c>
      <c r="D2107" s="677">
        <v>3.05</v>
      </c>
      <c r="E2107" s="352"/>
      <c r="F2107" s="677">
        <v>0.3</v>
      </c>
      <c r="G2107" s="67">
        <f t="shared" si="64"/>
        <v>0.92</v>
      </c>
      <c r="H2107" s="950" t="s">
        <v>1306</v>
      </c>
      <c r="I2107" s="1246"/>
    </row>
    <row r="2108" spans="1:9" s="674" customFormat="1" ht="18" customHeight="1">
      <c r="A2108" s="75"/>
      <c r="B2108" s="64" t="s">
        <v>1917</v>
      </c>
      <c r="C2108" s="410">
        <v>1</v>
      </c>
      <c r="D2108" s="352">
        <v>4.22</v>
      </c>
      <c r="E2108" s="352"/>
      <c r="F2108" s="352">
        <v>2.7</v>
      </c>
      <c r="G2108" s="67">
        <f t="shared" si="64"/>
        <v>11.39</v>
      </c>
      <c r="H2108" s="950" t="s">
        <v>1306</v>
      </c>
      <c r="I2108" s="1246"/>
    </row>
    <row r="2109" spans="1:9" s="674" customFormat="1" ht="18" customHeight="1">
      <c r="A2109" s="75"/>
      <c r="B2109" s="64" t="s">
        <v>1917</v>
      </c>
      <c r="C2109" s="410">
        <v>1</v>
      </c>
      <c r="D2109" s="352">
        <v>4.22</v>
      </c>
      <c r="E2109" s="352"/>
      <c r="F2109" s="677">
        <v>0.3</v>
      </c>
      <c r="G2109" s="67">
        <f t="shared" si="64"/>
        <v>1.27</v>
      </c>
      <c r="H2109" s="950" t="s">
        <v>1306</v>
      </c>
      <c r="I2109" s="1246"/>
    </row>
    <row r="2110" spans="1:9" s="674" customFormat="1" ht="18" customHeight="1">
      <c r="A2110" s="75"/>
      <c r="B2110" s="64" t="s">
        <v>1918</v>
      </c>
      <c r="C2110" s="410">
        <v>2</v>
      </c>
      <c r="D2110" s="352">
        <v>2.91</v>
      </c>
      <c r="E2110" s="352"/>
      <c r="F2110" s="677">
        <v>0.3</v>
      </c>
      <c r="G2110" s="67">
        <f t="shared" si="64"/>
        <v>1.75</v>
      </c>
      <c r="H2110" s="950" t="s">
        <v>1306</v>
      </c>
      <c r="I2110" s="1246"/>
    </row>
    <row r="2111" spans="1:9" s="674" customFormat="1" ht="18" customHeight="1">
      <c r="A2111" s="75"/>
      <c r="B2111" s="64" t="s">
        <v>1919</v>
      </c>
      <c r="C2111" s="410">
        <v>1</v>
      </c>
      <c r="D2111" s="352">
        <v>3.3</v>
      </c>
      <c r="E2111" s="352"/>
      <c r="F2111" s="352">
        <v>2.7</v>
      </c>
      <c r="G2111" s="67">
        <f t="shared" si="64"/>
        <v>8.91</v>
      </c>
      <c r="H2111" s="950" t="s">
        <v>1306</v>
      </c>
      <c r="I2111" s="1246"/>
    </row>
    <row r="2112" spans="1:9" s="674" customFormat="1" ht="18" customHeight="1">
      <c r="A2112" s="75"/>
      <c r="B2112" s="64" t="s">
        <v>1919</v>
      </c>
      <c r="C2112" s="410">
        <v>1</v>
      </c>
      <c r="D2112" s="352">
        <v>3.3</v>
      </c>
      <c r="E2112" s="352"/>
      <c r="F2112" s="677">
        <v>0.3</v>
      </c>
      <c r="G2112" s="67">
        <f t="shared" ref="G2112:G2175" si="65">IF(C2112&lt;&gt;0,ROUND(PRODUCT(D2112:F2112)*C2112,2)," ")</f>
        <v>0.99</v>
      </c>
      <c r="H2112" s="950" t="s">
        <v>1306</v>
      </c>
      <c r="I2112" s="1246"/>
    </row>
    <row r="2113" spans="1:9" s="674" customFormat="1" ht="18" customHeight="1">
      <c r="A2113" s="75"/>
      <c r="B2113" s="64"/>
      <c r="C2113" s="410">
        <v>1</v>
      </c>
      <c r="D2113" s="352">
        <v>1.5</v>
      </c>
      <c r="E2113" s="352"/>
      <c r="F2113" s="352">
        <v>2.7</v>
      </c>
      <c r="G2113" s="67">
        <f t="shared" si="65"/>
        <v>4.05</v>
      </c>
      <c r="H2113" s="950" t="s">
        <v>1306</v>
      </c>
      <c r="I2113" s="1246"/>
    </row>
    <row r="2114" spans="1:9" s="674" customFormat="1" ht="18" customHeight="1">
      <c r="A2114" s="75"/>
      <c r="B2114" s="64"/>
      <c r="C2114" s="410">
        <v>1</v>
      </c>
      <c r="D2114" s="352">
        <v>1.5</v>
      </c>
      <c r="E2114" s="352"/>
      <c r="F2114" s="677">
        <v>0.3</v>
      </c>
      <c r="G2114" s="67">
        <f t="shared" si="65"/>
        <v>0.45</v>
      </c>
      <c r="H2114" s="950" t="s">
        <v>1306</v>
      </c>
      <c r="I2114" s="1246"/>
    </row>
    <row r="2115" spans="1:9" s="78" customFormat="1" ht="18" customHeight="1">
      <c r="A2115" s="75"/>
      <c r="B2115" s="63" t="s">
        <v>950</v>
      </c>
      <c r="C2115" s="70">
        <v>1</v>
      </c>
      <c r="D2115" s="68">
        <v>3.1</v>
      </c>
      <c r="E2115" s="68"/>
      <c r="F2115" s="68">
        <v>2.7</v>
      </c>
      <c r="G2115" s="67">
        <f t="shared" si="65"/>
        <v>8.3699999999999992</v>
      </c>
      <c r="H2115" s="930" t="s">
        <v>1306</v>
      </c>
      <c r="I2115" s="1227"/>
    </row>
    <row r="2116" spans="1:9" s="78" customFormat="1" ht="18" customHeight="1">
      <c r="A2116" s="75"/>
      <c r="B2116" s="63" t="s">
        <v>951</v>
      </c>
      <c r="C2116" s="70">
        <v>-0.5</v>
      </c>
      <c r="D2116" s="68">
        <v>1</v>
      </c>
      <c r="E2116" s="68"/>
      <c r="F2116" s="68">
        <v>1.8</v>
      </c>
      <c r="G2116" s="67">
        <f t="shared" si="65"/>
        <v>-0.9</v>
      </c>
      <c r="H2116" s="930" t="s">
        <v>1306</v>
      </c>
      <c r="I2116" s="1227"/>
    </row>
    <row r="2117" spans="1:9" s="78" customFormat="1" ht="18" customHeight="1">
      <c r="A2117" s="75"/>
      <c r="B2117" s="63" t="s">
        <v>2032</v>
      </c>
      <c r="C2117" s="70">
        <v>1</v>
      </c>
      <c r="D2117" s="567">
        <v>2.1230000000000002</v>
      </c>
      <c r="E2117" s="68"/>
      <c r="F2117" s="68">
        <v>2.7</v>
      </c>
      <c r="G2117" s="67">
        <f t="shared" si="65"/>
        <v>5.73</v>
      </c>
      <c r="H2117" s="930" t="s">
        <v>1306</v>
      </c>
      <c r="I2117" s="1227"/>
    </row>
    <row r="2118" spans="1:9" s="78" customFormat="1" ht="18" customHeight="1">
      <c r="A2118" s="75"/>
      <c r="B2118" s="63" t="s">
        <v>2014</v>
      </c>
      <c r="C2118" s="70">
        <v>2</v>
      </c>
      <c r="D2118" s="68">
        <v>4.5999999999999996</v>
      </c>
      <c r="E2118" s="68"/>
      <c r="F2118" s="68">
        <v>2.7</v>
      </c>
      <c r="G2118" s="67">
        <f t="shared" si="65"/>
        <v>24.84</v>
      </c>
      <c r="H2118" s="930" t="s">
        <v>1306</v>
      </c>
      <c r="I2118" s="1227"/>
    </row>
    <row r="2119" spans="1:9" s="78" customFormat="1" ht="18" customHeight="1">
      <c r="A2119" s="75"/>
      <c r="B2119" s="63" t="s">
        <v>953</v>
      </c>
      <c r="C2119" s="70">
        <v>-0.5</v>
      </c>
      <c r="D2119" s="68">
        <v>1.2</v>
      </c>
      <c r="E2119" s="68"/>
      <c r="F2119" s="68">
        <v>2.1</v>
      </c>
      <c r="G2119" s="67">
        <f t="shared" si="65"/>
        <v>-1.26</v>
      </c>
      <c r="H2119" s="930" t="s">
        <v>1306</v>
      </c>
      <c r="I2119" s="1227"/>
    </row>
    <row r="2120" spans="1:9" s="78" customFormat="1" ht="18" customHeight="1">
      <c r="A2120" s="75"/>
      <c r="B2120" s="63" t="s">
        <v>954</v>
      </c>
      <c r="C2120" s="70"/>
      <c r="D2120" s="68"/>
      <c r="E2120" s="68"/>
      <c r="F2120" s="68"/>
      <c r="G2120" s="67" t="str">
        <f t="shared" si="65"/>
        <v xml:space="preserve"> </v>
      </c>
      <c r="H2120" s="930" t="s">
        <v>1306</v>
      </c>
      <c r="I2120" s="1227"/>
    </row>
    <row r="2121" spans="1:9" s="78" customFormat="1" ht="18" customHeight="1">
      <c r="A2121" s="75"/>
      <c r="B2121" s="63" t="s">
        <v>955</v>
      </c>
      <c r="C2121" s="70">
        <v>2</v>
      </c>
      <c r="D2121" s="68">
        <f>3.175-0.2</f>
        <v>2.9749999999999996</v>
      </c>
      <c r="E2121" s="68"/>
      <c r="F2121" s="68">
        <v>2.7</v>
      </c>
      <c r="G2121" s="67">
        <f t="shared" si="65"/>
        <v>16.07</v>
      </c>
      <c r="H2121" s="930" t="s">
        <v>1306</v>
      </c>
      <c r="I2121" s="1227"/>
    </row>
    <row r="2122" spans="1:9" s="78" customFormat="1" ht="18" customHeight="1">
      <c r="A2122" s="75"/>
      <c r="B2122" s="63" t="s">
        <v>953</v>
      </c>
      <c r="C2122" s="70">
        <v>-0.5</v>
      </c>
      <c r="D2122" s="68">
        <v>1.2</v>
      </c>
      <c r="E2122" s="68"/>
      <c r="F2122" s="68">
        <v>2.1</v>
      </c>
      <c r="G2122" s="67">
        <f t="shared" si="65"/>
        <v>-1.26</v>
      </c>
      <c r="H2122" s="930" t="s">
        <v>1306</v>
      </c>
      <c r="I2122" s="1227"/>
    </row>
    <row r="2123" spans="1:9" s="78" customFormat="1" ht="18" customHeight="1">
      <c r="A2123" s="75"/>
      <c r="B2123" s="63" t="s">
        <v>956</v>
      </c>
      <c r="C2123" s="70">
        <v>-0.5</v>
      </c>
      <c r="D2123" s="68">
        <v>0.9</v>
      </c>
      <c r="E2123" s="68"/>
      <c r="F2123" s="68">
        <v>2</v>
      </c>
      <c r="G2123" s="67">
        <f t="shared" si="65"/>
        <v>-0.9</v>
      </c>
      <c r="H2123" s="930" t="s">
        <v>1306</v>
      </c>
      <c r="I2123" s="1227"/>
    </row>
    <row r="2124" spans="1:9" s="78" customFormat="1" ht="18" customHeight="1">
      <c r="A2124" s="75"/>
      <c r="B2124" s="63" t="s">
        <v>957</v>
      </c>
      <c r="C2124" s="70">
        <v>2</v>
      </c>
      <c r="D2124" s="567">
        <v>1.1000000000000001</v>
      </c>
      <c r="E2124" s="68"/>
      <c r="F2124" s="68">
        <v>2.7</v>
      </c>
      <c r="G2124" s="67">
        <f t="shared" si="65"/>
        <v>5.94</v>
      </c>
      <c r="H2124" s="930" t="s">
        <v>1306</v>
      </c>
      <c r="I2124" s="1227"/>
    </row>
    <row r="2125" spans="1:9" s="78" customFormat="1" ht="18" customHeight="1">
      <c r="A2125" s="75"/>
      <c r="B2125" s="63"/>
      <c r="C2125" s="70">
        <v>2</v>
      </c>
      <c r="D2125" s="567">
        <v>1.603</v>
      </c>
      <c r="E2125" s="68"/>
      <c r="F2125" s="68">
        <v>2.7</v>
      </c>
      <c r="G2125" s="67">
        <f t="shared" si="65"/>
        <v>8.66</v>
      </c>
      <c r="H2125" s="930" t="s">
        <v>1306</v>
      </c>
      <c r="I2125" s="1227"/>
    </row>
    <row r="2126" spans="1:9" s="78" customFormat="1" ht="18" customHeight="1">
      <c r="A2126" s="75"/>
      <c r="B2126" s="63"/>
      <c r="C2126" s="70"/>
      <c r="D2126" s="68"/>
      <c r="E2126" s="68"/>
      <c r="F2126" s="68"/>
      <c r="G2126" s="67" t="str">
        <f t="shared" si="65"/>
        <v xml:space="preserve"> </v>
      </c>
      <c r="H2126" s="930" t="s">
        <v>1306</v>
      </c>
      <c r="I2126" s="1227"/>
    </row>
    <row r="2127" spans="1:9" s="78" customFormat="1" ht="18" customHeight="1">
      <c r="A2127" s="75"/>
      <c r="B2127" s="607" t="s">
        <v>937</v>
      </c>
      <c r="C2127" s="70"/>
      <c r="D2127" s="68"/>
      <c r="E2127" s="68"/>
      <c r="F2127" s="68"/>
      <c r="G2127" s="67" t="str">
        <f t="shared" si="65"/>
        <v xml:space="preserve"> </v>
      </c>
      <c r="H2127" s="930" t="s">
        <v>1306</v>
      </c>
      <c r="I2127" s="1227"/>
    </row>
    <row r="2128" spans="1:9" s="78" customFormat="1" ht="18" customHeight="1">
      <c r="A2128" s="75"/>
      <c r="B2128" s="607" t="s">
        <v>944</v>
      </c>
      <c r="C2128" s="70"/>
      <c r="D2128" s="68"/>
      <c r="E2128" s="68"/>
      <c r="F2128" s="68"/>
      <c r="G2128" s="67" t="str">
        <f t="shared" si="65"/>
        <v xml:space="preserve"> </v>
      </c>
      <c r="H2128" s="930" t="s">
        <v>1306</v>
      </c>
      <c r="I2128" s="1227"/>
    </row>
    <row r="2129" spans="1:15" s="78" customFormat="1" ht="18" customHeight="1">
      <c r="A2129" s="75"/>
      <c r="B2129" s="406" t="s">
        <v>940</v>
      </c>
      <c r="C2129" s="70">
        <v>1</v>
      </c>
      <c r="D2129" s="68">
        <v>3.194</v>
      </c>
      <c r="E2129" s="68"/>
      <c r="F2129" s="68">
        <v>2.7</v>
      </c>
      <c r="G2129" s="67">
        <f t="shared" si="65"/>
        <v>8.6199999999999992</v>
      </c>
      <c r="H2129" s="930" t="s">
        <v>1306</v>
      </c>
      <c r="I2129" s="1227"/>
    </row>
    <row r="2130" spans="1:15" s="78" customFormat="1" ht="18" customHeight="1">
      <c r="A2130" s="75"/>
      <c r="B2130" s="406" t="s">
        <v>2028</v>
      </c>
      <c r="C2130" s="70">
        <v>-0.5</v>
      </c>
      <c r="D2130" s="68">
        <v>1</v>
      </c>
      <c r="E2130" s="68"/>
      <c r="F2130" s="68">
        <v>1.8</v>
      </c>
      <c r="G2130" s="67">
        <f t="shared" si="65"/>
        <v>-0.9</v>
      </c>
      <c r="H2130" s="930" t="s">
        <v>1306</v>
      </c>
      <c r="I2130" s="1227"/>
    </row>
    <row r="2131" spans="1:15" s="78" customFormat="1" ht="18" customHeight="1">
      <c r="A2131" s="75"/>
      <c r="B2131" s="406" t="s">
        <v>1596</v>
      </c>
      <c r="C2131" s="70">
        <v>1</v>
      </c>
      <c r="D2131" s="68">
        <v>4.4089999999999998</v>
      </c>
      <c r="E2131" s="68"/>
      <c r="F2131" s="68">
        <v>2.7</v>
      </c>
      <c r="G2131" s="67">
        <f t="shared" si="65"/>
        <v>11.9</v>
      </c>
      <c r="H2131" s="930" t="s">
        <v>1306</v>
      </c>
      <c r="I2131" s="1227"/>
      <c r="O2131" s="220"/>
    </row>
    <row r="2132" spans="1:15" s="78" customFormat="1" ht="18" customHeight="1">
      <c r="A2132" s="75"/>
      <c r="B2132" s="63" t="s">
        <v>942</v>
      </c>
      <c r="C2132" s="70">
        <v>1</v>
      </c>
      <c r="D2132" s="68">
        <f>6.45+6.4+6.4+3.25+0.1-0.1</f>
        <v>22.5</v>
      </c>
      <c r="E2132" s="68"/>
      <c r="F2132" s="68">
        <v>2.7</v>
      </c>
      <c r="G2132" s="67">
        <f t="shared" si="65"/>
        <v>60.75</v>
      </c>
      <c r="H2132" s="930" t="s">
        <v>1306</v>
      </c>
      <c r="I2132" s="1227"/>
    </row>
    <row r="2133" spans="1:15" s="78" customFormat="1" ht="18" customHeight="1">
      <c r="A2133" s="75"/>
      <c r="B2133" s="409" t="s">
        <v>943</v>
      </c>
      <c r="C2133" s="70">
        <v>-3.5</v>
      </c>
      <c r="D2133" s="68">
        <v>1</v>
      </c>
      <c r="E2133" s="68"/>
      <c r="F2133" s="68">
        <v>1.8</v>
      </c>
      <c r="G2133" s="67">
        <f t="shared" si="65"/>
        <v>-6.3</v>
      </c>
      <c r="H2133" s="930" t="s">
        <v>1306</v>
      </c>
      <c r="I2133" s="1227"/>
    </row>
    <row r="2134" spans="1:15" s="78" customFormat="1" ht="18" customHeight="1">
      <c r="A2134" s="75"/>
      <c r="B2134" s="63" t="s">
        <v>1913</v>
      </c>
      <c r="C2134" s="70">
        <v>2</v>
      </c>
      <c r="D2134" s="68">
        <v>4.218</v>
      </c>
      <c r="E2134" s="68"/>
      <c r="F2134" s="68">
        <v>2.7</v>
      </c>
      <c r="G2134" s="67">
        <f t="shared" si="65"/>
        <v>22.78</v>
      </c>
      <c r="H2134" s="930" t="s">
        <v>1306</v>
      </c>
      <c r="I2134" s="1227"/>
    </row>
    <row r="2135" spans="1:15" s="78" customFormat="1" ht="18" customHeight="1">
      <c r="A2135" s="75"/>
      <c r="B2135" s="63" t="s">
        <v>945</v>
      </c>
      <c r="C2135" s="70">
        <v>1</v>
      </c>
      <c r="D2135" s="68">
        <v>3.1840000000000002</v>
      </c>
      <c r="E2135" s="68"/>
      <c r="F2135" s="68">
        <v>2.7</v>
      </c>
      <c r="G2135" s="67">
        <f t="shared" si="65"/>
        <v>8.6</v>
      </c>
      <c r="H2135" s="930" t="s">
        <v>1306</v>
      </c>
      <c r="I2135" s="1227"/>
    </row>
    <row r="2136" spans="1:15" s="78" customFormat="1" ht="18" customHeight="1">
      <c r="A2136" s="75"/>
      <c r="B2136" s="63" t="s">
        <v>946</v>
      </c>
      <c r="C2136" s="70">
        <v>-1</v>
      </c>
      <c r="D2136" s="68">
        <v>2.85</v>
      </c>
      <c r="E2136" s="68"/>
      <c r="F2136" s="68">
        <v>1.2</v>
      </c>
      <c r="G2136" s="67">
        <f t="shared" si="65"/>
        <v>-3.42</v>
      </c>
      <c r="H2136" s="930" t="s">
        <v>1306</v>
      </c>
      <c r="I2136" s="1227"/>
    </row>
    <row r="2137" spans="1:15" s="78" customFormat="1" ht="18" customHeight="1">
      <c r="A2137" s="75"/>
      <c r="B2137" s="63" t="s">
        <v>947</v>
      </c>
      <c r="C2137" s="70">
        <v>1</v>
      </c>
      <c r="D2137" s="567">
        <v>12.573</v>
      </c>
      <c r="E2137" s="68"/>
      <c r="F2137" s="68">
        <v>2.7</v>
      </c>
      <c r="G2137" s="67">
        <f t="shared" si="65"/>
        <v>33.950000000000003</v>
      </c>
      <c r="H2137" s="930" t="s">
        <v>1306</v>
      </c>
      <c r="I2137" s="1227"/>
    </row>
    <row r="2138" spans="1:15" s="78" customFormat="1" ht="18" customHeight="1">
      <c r="A2138" s="75"/>
      <c r="B2138" s="63" t="s">
        <v>948</v>
      </c>
      <c r="C2138" s="70">
        <v>-2</v>
      </c>
      <c r="D2138" s="68">
        <v>1</v>
      </c>
      <c r="E2138" s="68"/>
      <c r="F2138" s="68">
        <v>1.8</v>
      </c>
      <c r="G2138" s="67">
        <f t="shared" si="65"/>
        <v>-3.6</v>
      </c>
      <c r="H2138" s="930" t="s">
        <v>1306</v>
      </c>
      <c r="I2138" s="1227"/>
    </row>
    <row r="2139" spans="1:15" s="78" customFormat="1" ht="18" customHeight="1">
      <c r="A2139" s="75"/>
      <c r="B2139" s="63" t="s">
        <v>949</v>
      </c>
      <c r="C2139" s="70">
        <v>-0.5</v>
      </c>
      <c r="D2139" s="68">
        <v>1</v>
      </c>
      <c r="E2139" s="68"/>
      <c r="F2139" s="68">
        <v>1.8</v>
      </c>
      <c r="G2139" s="67">
        <f t="shared" si="65"/>
        <v>-0.9</v>
      </c>
      <c r="H2139" s="930" t="s">
        <v>1306</v>
      </c>
      <c r="I2139" s="1227"/>
    </row>
    <row r="2140" spans="1:15" s="78" customFormat="1" ht="18" customHeight="1">
      <c r="A2140" s="75"/>
      <c r="B2140" s="63" t="s">
        <v>1914</v>
      </c>
      <c r="C2140" s="70">
        <v>2</v>
      </c>
      <c r="D2140" s="68">
        <v>4.218</v>
      </c>
      <c r="E2140" s="68"/>
      <c r="F2140" s="68">
        <v>2.7</v>
      </c>
      <c r="G2140" s="67">
        <f t="shared" si="65"/>
        <v>22.78</v>
      </c>
      <c r="H2140" s="930" t="s">
        <v>1306</v>
      </c>
      <c r="I2140" s="1227"/>
    </row>
    <row r="2141" spans="1:15" s="674" customFormat="1" ht="18" customHeight="1">
      <c r="A2141" s="75"/>
      <c r="B2141" s="64" t="s">
        <v>1915</v>
      </c>
      <c r="C2141" s="410">
        <v>1</v>
      </c>
      <c r="D2141" s="352">
        <v>4.218</v>
      </c>
      <c r="E2141" s="352"/>
      <c r="F2141" s="352">
        <v>2.7</v>
      </c>
      <c r="G2141" s="67">
        <f t="shared" si="65"/>
        <v>11.39</v>
      </c>
      <c r="H2141" s="950" t="s">
        <v>1306</v>
      </c>
      <c r="I2141" s="1246"/>
    </row>
    <row r="2142" spans="1:15" s="674" customFormat="1" ht="18" customHeight="1">
      <c r="A2142" s="75"/>
      <c r="B2142" s="64" t="s">
        <v>1915</v>
      </c>
      <c r="C2142" s="410">
        <v>1</v>
      </c>
      <c r="D2142" s="352">
        <v>4.218</v>
      </c>
      <c r="E2142" s="352"/>
      <c r="F2142" s="677">
        <v>0.3</v>
      </c>
      <c r="G2142" s="67">
        <f t="shared" si="65"/>
        <v>1.27</v>
      </c>
      <c r="H2142" s="950" t="s">
        <v>1306</v>
      </c>
      <c r="I2142" s="1246"/>
    </row>
    <row r="2143" spans="1:15" s="674" customFormat="1" ht="18" customHeight="1">
      <c r="A2143" s="75"/>
      <c r="B2143" s="64" t="s">
        <v>1916</v>
      </c>
      <c r="C2143" s="410">
        <v>1</v>
      </c>
      <c r="D2143" s="677">
        <v>3.05</v>
      </c>
      <c r="E2143" s="352"/>
      <c r="F2143" s="352">
        <v>2.7</v>
      </c>
      <c r="G2143" s="67">
        <f t="shared" si="65"/>
        <v>8.24</v>
      </c>
      <c r="H2143" s="950" t="s">
        <v>1306</v>
      </c>
      <c r="I2143" s="1246"/>
    </row>
    <row r="2144" spans="1:15" s="674" customFormat="1" ht="18" customHeight="1">
      <c r="A2144" s="75"/>
      <c r="B2144" s="64" t="s">
        <v>1916</v>
      </c>
      <c r="C2144" s="410">
        <v>1</v>
      </c>
      <c r="D2144" s="677">
        <v>3.05</v>
      </c>
      <c r="E2144" s="352"/>
      <c r="F2144" s="677">
        <v>0.3</v>
      </c>
      <c r="G2144" s="67">
        <f t="shared" si="65"/>
        <v>0.92</v>
      </c>
      <c r="H2144" s="950" t="s">
        <v>1306</v>
      </c>
      <c r="I2144" s="1246"/>
    </row>
    <row r="2145" spans="1:9" s="674" customFormat="1" ht="18" customHeight="1">
      <c r="A2145" s="75"/>
      <c r="B2145" s="64" t="s">
        <v>1917</v>
      </c>
      <c r="C2145" s="410">
        <v>1</v>
      </c>
      <c r="D2145" s="352">
        <v>4.22</v>
      </c>
      <c r="E2145" s="352"/>
      <c r="F2145" s="352">
        <v>2.7</v>
      </c>
      <c r="G2145" s="67">
        <f t="shared" si="65"/>
        <v>11.39</v>
      </c>
      <c r="H2145" s="950" t="s">
        <v>1306</v>
      </c>
      <c r="I2145" s="1246"/>
    </row>
    <row r="2146" spans="1:9" s="674" customFormat="1" ht="18" customHeight="1">
      <c r="A2146" s="75"/>
      <c r="B2146" s="64" t="s">
        <v>1917</v>
      </c>
      <c r="C2146" s="410">
        <v>1</v>
      </c>
      <c r="D2146" s="352">
        <v>4.22</v>
      </c>
      <c r="E2146" s="352"/>
      <c r="F2146" s="677">
        <v>0.3</v>
      </c>
      <c r="G2146" s="67">
        <f t="shared" si="65"/>
        <v>1.27</v>
      </c>
      <c r="H2146" s="950" t="s">
        <v>1306</v>
      </c>
      <c r="I2146" s="1246"/>
    </row>
    <row r="2147" spans="1:9" s="674" customFormat="1" ht="18" customHeight="1">
      <c r="A2147" s="75"/>
      <c r="B2147" s="64" t="s">
        <v>1918</v>
      </c>
      <c r="C2147" s="410">
        <v>2</v>
      </c>
      <c r="D2147" s="352">
        <v>2.91</v>
      </c>
      <c r="E2147" s="352"/>
      <c r="F2147" s="677">
        <v>0.3</v>
      </c>
      <c r="G2147" s="67">
        <f t="shared" si="65"/>
        <v>1.75</v>
      </c>
      <c r="H2147" s="950" t="s">
        <v>1306</v>
      </c>
      <c r="I2147" s="1246"/>
    </row>
    <row r="2148" spans="1:9" s="674" customFormat="1" ht="18" customHeight="1">
      <c r="A2148" s="75"/>
      <c r="B2148" s="64" t="s">
        <v>1919</v>
      </c>
      <c r="C2148" s="410">
        <v>1</v>
      </c>
      <c r="D2148" s="352">
        <v>3.3</v>
      </c>
      <c r="E2148" s="352"/>
      <c r="F2148" s="352">
        <v>2.7</v>
      </c>
      <c r="G2148" s="67">
        <f t="shared" si="65"/>
        <v>8.91</v>
      </c>
      <c r="H2148" s="950" t="s">
        <v>1306</v>
      </c>
      <c r="I2148" s="1246"/>
    </row>
    <row r="2149" spans="1:9" s="674" customFormat="1" ht="18" customHeight="1">
      <c r="A2149" s="75"/>
      <c r="B2149" s="64" t="s">
        <v>1919</v>
      </c>
      <c r="C2149" s="410">
        <v>1</v>
      </c>
      <c r="D2149" s="352">
        <v>3.3</v>
      </c>
      <c r="E2149" s="352"/>
      <c r="F2149" s="677">
        <v>0.3</v>
      </c>
      <c r="G2149" s="67">
        <f t="shared" si="65"/>
        <v>0.99</v>
      </c>
      <c r="H2149" s="950" t="s">
        <v>1306</v>
      </c>
      <c r="I2149" s="1246"/>
    </row>
    <row r="2150" spans="1:9" s="674" customFormat="1" ht="18" customHeight="1">
      <c r="A2150" s="75"/>
      <c r="B2150" s="64"/>
      <c r="C2150" s="410">
        <v>1</v>
      </c>
      <c r="D2150" s="352">
        <v>1.5</v>
      </c>
      <c r="E2150" s="352"/>
      <c r="F2150" s="352">
        <v>2.7</v>
      </c>
      <c r="G2150" s="67">
        <f t="shared" si="65"/>
        <v>4.05</v>
      </c>
      <c r="H2150" s="950" t="s">
        <v>1306</v>
      </c>
      <c r="I2150" s="1246"/>
    </row>
    <row r="2151" spans="1:9" s="674" customFormat="1" ht="18" customHeight="1">
      <c r="A2151" s="75"/>
      <c r="B2151" s="64"/>
      <c r="C2151" s="410">
        <v>1</v>
      </c>
      <c r="D2151" s="352">
        <v>1.5</v>
      </c>
      <c r="E2151" s="352"/>
      <c r="F2151" s="677">
        <v>0.3</v>
      </c>
      <c r="G2151" s="67">
        <f t="shared" si="65"/>
        <v>0.45</v>
      </c>
      <c r="H2151" s="950" t="s">
        <v>1306</v>
      </c>
      <c r="I2151" s="1246"/>
    </row>
    <row r="2152" spans="1:9" s="78" customFormat="1" ht="18" customHeight="1">
      <c r="A2152" s="75"/>
      <c r="B2152" s="63" t="s">
        <v>950</v>
      </c>
      <c r="C2152" s="70">
        <v>1</v>
      </c>
      <c r="D2152" s="68">
        <v>3.1</v>
      </c>
      <c r="E2152" s="68"/>
      <c r="F2152" s="68">
        <v>2.7</v>
      </c>
      <c r="G2152" s="67">
        <f t="shared" si="65"/>
        <v>8.3699999999999992</v>
      </c>
      <c r="H2152" s="930" t="s">
        <v>1306</v>
      </c>
      <c r="I2152" s="1227"/>
    </row>
    <row r="2153" spans="1:9" s="78" customFormat="1" ht="18" customHeight="1">
      <c r="A2153" s="75"/>
      <c r="B2153" s="63" t="s">
        <v>951</v>
      </c>
      <c r="C2153" s="70">
        <v>-0.5</v>
      </c>
      <c r="D2153" s="68">
        <v>1</v>
      </c>
      <c r="E2153" s="68"/>
      <c r="F2153" s="68">
        <v>1.8</v>
      </c>
      <c r="G2153" s="67">
        <f t="shared" si="65"/>
        <v>-0.9</v>
      </c>
      <c r="H2153" s="930" t="s">
        <v>1306</v>
      </c>
      <c r="I2153" s="1227"/>
    </row>
    <row r="2154" spans="1:9" s="78" customFormat="1" ht="18" customHeight="1">
      <c r="A2154" s="75"/>
      <c r="B2154" s="63" t="s">
        <v>2032</v>
      </c>
      <c r="C2154" s="70">
        <v>1</v>
      </c>
      <c r="D2154" s="567">
        <v>2.1230000000000002</v>
      </c>
      <c r="E2154" s="68"/>
      <c r="F2154" s="68">
        <v>2.7</v>
      </c>
      <c r="G2154" s="67">
        <f t="shared" si="65"/>
        <v>5.73</v>
      </c>
      <c r="H2154" s="930" t="s">
        <v>1306</v>
      </c>
      <c r="I2154" s="1227"/>
    </row>
    <row r="2155" spans="1:9" s="78" customFormat="1" ht="18" customHeight="1">
      <c r="A2155" s="75"/>
      <c r="B2155" s="63" t="s">
        <v>2014</v>
      </c>
      <c r="C2155" s="70">
        <v>2</v>
      </c>
      <c r="D2155" s="68">
        <v>4.5999999999999996</v>
      </c>
      <c r="E2155" s="68"/>
      <c r="F2155" s="68">
        <v>2.7</v>
      </c>
      <c r="G2155" s="67">
        <f t="shared" si="65"/>
        <v>24.84</v>
      </c>
      <c r="H2155" s="930" t="s">
        <v>1306</v>
      </c>
      <c r="I2155" s="1227"/>
    </row>
    <row r="2156" spans="1:9" s="78" customFormat="1" ht="18" customHeight="1">
      <c r="A2156" s="75"/>
      <c r="B2156" s="63" t="s">
        <v>953</v>
      </c>
      <c r="C2156" s="70">
        <v>-0.5</v>
      </c>
      <c r="D2156" s="68">
        <v>1.2</v>
      </c>
      <c r="E2156" s="68"/>
      <c r="F2156" s="68">
        <v>2.1</v>
      </c>
      <c r="G2156" s="67">
        <f t="shared" si="65"/>
        <v>-1.26</v>
      </c>
      <c r="H2156" s="930" t="s">
        <v>1306</v>
      </c>
      <c r="I2156" s="1227"/>
    </row>
    <row r="2157" spans="1:9" s="78" customFormat="1" ht="18" customHeight="1">
      <c r="A2157" s="75"/>
      <c r="B2157" s="63" t="s">
        <v>954</v>
      </c>
      <c r="C2157" s="70"/>
      <c r="D2157" s="68"/>
      <c r="E2157" s="68"/>
      <c r="F2157" s="68"/>
      <c r="G2157" s="67" t="str">
        <f t="shared" si="65"/>
        <v xml:space="preserve"> </v>
      </c>
      <c r="H2157" s="930" t="s">
        <v>1306</v>
      </c>
      <c r="I2157" s="1227"/>
    </row>
    <row r="2158" spans="1:9" s="78" customFormat="1" ht="18" customHeight="1">
      <c r="A2158" s="75"/>
      <c r="B2158" s="63" t="s">
        <v>955</v>
      </c>
      <c r="C2158" s="70">
        <v>2</v>
      </c>
      <c r="D2158" s="68">
        <f>3.175-0.2</f>
        <v>2.9749999999999996</v>
      </c>
      <c r="E2158" s="68"/>
      <c r="F2158" s="68">
        <v>2.7</v>
      </c>
      <c r="G2158" s="67">
        <f t="shared" si="65"/>
        <v>16.07</v>
      </c>
      <c r="H2158" s="930" t="s">
        <v>1306</v>
      </c>
      <c r="I2158" s="1227"/>
    </row>
    <row r="2159" spans="1:9" s="78" customFormat="1" ht="18" customHeight="1">
      <c r="A2159" s="75"/>
      <c r="B2159" s="63" t="s">
        <v>953</v>
      </c>
      <c r="C2159" s="70">
        <v>-0.5</v>
      </c>
      <c r="D2159" s="68">
        <v>1.2</v>
      </c>
      <c r="E2159" s="68"/>
      <c r="F2159" s="68">
        <v>2.1</v>
      </c>
      <c r="G2159" s="67">
        <f t="shared" si="65"/>
        <v>-1.26</v>
      </c>
      <c r="H2159" s="930" t="s">
        <v>1306</v>
      </c>
      <c r="I2159" s="1227"/>
    </row>
    <row r="2160" spans="1:9" s="78" customFormat="1" ht="18" customHeight="1">
      <c r="A2160" s="75"/>
      <c r="B2160" s="63" t="s">
        <v>956</v>
      </c>
      <c r="C2160" s="70">
        <v>-0.5</v>
      </c>
      <c r="D2160" s="68">
        <v>0.9</v>
      </c>
      <c r="E2160" s="68"/>
      <c r="F2160" s="68">
        <v>2</v>
      </c>
      <c r="G2160" s="67">
        <f t="shared" si="65"/>
        <v>-0.9</v>
      </c>
      <c r="H2160" s="930" t="s">
        <v>1306</v>
      </c>
      <c r="I2160" s="1227"/>
    </row>
    <row r="2161" spans="1:9" s="78" customFormat="1" ht="18" customHeight="1">
      <c r="A2161" s="75"/>
      <c r="B2161" s="63" t="s">
        <v>957</v>
      </c>
      <c r="C2161" s="70">
        <v>2</v>
      </c>
      <c r="D2161" s="567">
        <v>1.1000000000000001</v>
      </c>
      <c r="E2161" s="68"/>
      <c r="F2161" s="68">
        <v>2.7</v>
      </c>
      <c r="G2161" s="67">
        <f t="shared" si="65"/>
        <v>5.94</v>
      </c>
      <c r="H2161" s="930" t="s">
        <v>1306</v>
      </c>
      <c r="I2161" s="1227"/>
    </row>
    <row r="2162" spans="1:9" s="78" customFormat="1" ht="18" customHeight="1">
      <c r="A2162" s="75"/>
      <c r="B2162" s="63"/>
      <c r="C2162" s="70">
        <v>2</v>
      </c>
      <c r="D2162" s="567">
        <v>1.603</v>
      </c>
      <c r="E2162" s="68"/>
      <c r="F2162" s="68">
        <v>2.7</v>
      </c>
      <c r="G2162" s="67">
        <f t="shared" si="65"/>
        <v>8.66</v>
      </c>
      <c r="H2162" s="930" t="s">
        <v>1306</v>
      </c>
      <c r="I2162" s="1227"/>
    </row>
    <row r="2163" spans="1:9" s="456" customFormat="1" ht="18" customHeight="1">
      <c r="A2163" s="454"/>
      <c r="B2163" s="582" t="s">
        <v>959</v>
      </c>
      <c r="C2163" s="455"/>
      <c r="D2163" s="452"/>
      <c r="E2163" s="452"/>
      <c r="F2163" s="452"/>
      <c r="G2163" s="67" t="str">
        <f t="shared" si="65"/>
        <v xml:space="preserve"> </v>
      </c>
      <c r="H2163" s="943" t="s">
        <v>1306</v>
      </c>
      <c r="I2163" s="1240"/>
    </row>
    <row r="2164" spans="1:9" s="456" customFormat="1" ht="18" customHeight="1">
      <c r="A2164" s="679"/>
      <c r="B2164" s="625" t="s">
        <v>960</v>
      </c>
      <c r="C2164" s="680">
        <f>1</f>
        <v>1</v>
      </c>
      <c r="D2164" s="452">
        <v>6.5659999999999998</v>
      </c>
      <c r="E2164" s="452"/>
      <c r="F2164" s="452">
        <v>2.7</v>
      </c>
      <c r="G2164" s="67">
        <f t="shared" si="65"/>
        <v>17.73</v>
      </c>
      <c r="H2164" s="943" t="s">
        <v>1306</v>
      </c>
      <c r="I2164" s="1240"/>
    </row>
    <row r="2165" spans="1:9" s="456" customFormat="1" ht="18" customHeight="1">
      <c r="A2165" s="454"/>
      <c r="B2165" s="625"/>
      <c r="C2165" s="680">
        <f>1</f>
        <v>1</v>
      </c>
      <c r="D2165" s="681">
        <v>6.5659999999999998</v>
      </c>
      <c r="E2165" s="681"/>
      <c r="F2165" s="677">
        <v>0.3</v>
      </c>
      <c r="G2165" s="67">
        <f t="shared" si="65"/>
        <v>1.97</v>
      </c>
      <c r="H2165" s="951" t="s">
        <v>1306</v>
      </c>
      <c r="I2165" s="1240"/>
    </row>
    <row r="2166" spans="1:9" s="456" customFormat="1" ht="18" customHeight="1">
      <c r="A2166" s="679"/>
      <c r="B2166" s="625" t="s">
        <v>961</v>
      </c>
      <c r="C2166" s="680">
        <f>1</f>
        <v>1</v>
      </c>
      <c r="D2166" s="452">
        <v>4.3449999999999998</v>
      </c>
      <c r="E2166" s="452"/>
      <c r="F2166" s="452">
        <v>2.7</v>
      </c>
      <c r="G2166" s="67">
        <f t="shared" si="65"/>
        <v>11.73</v>
      </c>
      <c r="H2166" s="943" t="s">
        <v>1306</v>
      </c>
      <c r="I2166" s="1240"/>
    </row>
    <row r="2167" spans="1:9" s="456" customFormat="1" ht="18" customHeight="1">
      <c r="A2167" s="454"/>
      <c r="B2167" s="625"/>
      <c r="C2167" s="680">
        <f>1</f>
        <v>1</v>
      </c>
      <c r="D2167" s="681">
        <v>4.3449999999999998</v>
      </c>
      <c r="E2167" s="681"/>
      <c r="F2167" s="677">
        <v>0.3</v>
      </c>
      <c r="G2167" s="67">
        <f t="shared" si="65"/>
        <v>1.3</v>
      </c>
      <c r="H2167" s="951" t="s">
        <v>1306</v>
      </c>
      <c r="I2167" s="1240"/>
    </row>
    <row r="2168" spans="1:9" s="456" customFormat="1" ht="18" customHeight="1">
      <c r="A2168" s="454"/>
      <c r="B2168" s="625" t="s">
        <v>962</v>
      </c>
      <c r="C2168" s="680">
        <v>2</v>
      </c>
      <c r="D2168" s="452">
        <f>10.523-0.8</f>
        <v>9.722999999999999</v>
      </c>
      <c r="E2168" s="452"/>
      <c r="F2168" s="677">
        <v>0.3</v>
      </c>
      <c r="G2168" s="67">
        <f t="shared" si="65"/>
        <v>5.83</v>
      </c>
      <c r="H2168" s="943" t="s">
        <v>1306</v>
      </c>
      <c r="I2168" s="1240"/>
    </row>
    <row r="2169" spans="1:9" s="456" customFormat="1" ht="18" customHeight="1">
      <c r="A2169" s="454"/>
      <c r="B2169" s="625" t="s">
        <v>965</v>
      </c>
      <c r="C2169" s="680">
        <f>1</f>
        <v>1</v>
      </c>
      <c r="D2169" s="452">
        <f>10.523-0.8</f>
        <v>9.722999999999999</v>
      </c>
      <c r="E2169" s="452"/>
      <c r="F2169" s="677">
        <v>0.3</v>
      </c>
      <c r="G2169" s="67">
        <f t="shared" si="65"/>
        <v>2.92</v>
      </c>
      <c r="H2169" s="943" t="s">
        <v>1306</v>
      </c>
      <c r="I2169" s="1240"/>
    </row>
    <row r="2170" spans="1:9" s="456" customFormat="1" ht="18" customHeight="1">
      <c r="A2170" s="454"/>
      <c r="B2170" s="625" t="s">
        <v>967</v>
      </c>
      <c r="C2170" s="680">
        <f>1</f>
        <v>1</v>
      </c>
      <c r="D2170" s="452">
        <v>8.6170000000000009</v>
      </c>
      <c r="E2170" s="452"/>
      <c r="F2170" s="677">
        <v>0.3</v>
      </c>
      <c r="G2170" s="67">
        <f t="shared" si="65"/>
        <v>2.59</v>
      </c>
      <c r="H2170" s="943" t="s">
        <v>1306</v>
      </c>
      <c r="I2170" s="1240"/>
    </row>
    <row r="2171" spans="1:9" s="456" customFormat="1" ht="18" customHeight="1">
      <c r="A2171" s="454"/>
      <c r="B2171" s="625" t="s">
        <v>968</v>
      </c>
      <c r="C2171" s="680">
        <f>1</f>
        <v>1</v>
      </c>
      <c r="D2171" s="452">
        <v>4.9870000000000001</v>
      </c>
      <c r="E2171" s="452"/>
      <c r="F2171" s="567">
        <v>0.3</v>
      </c>
      <c r="G2171" s="67">
        <f t="shared" si="65"/>
        <v>1.5</v>
      </c>
      <c r="H2171" s="943" t="s">
        <v>1306</v>
      </c>
      <c r="I2171" s="1240"/>
    </row>
    <row r="2172" spans="1:9" s="456" customFormat="1" ht="18" customHeight="1">
      <c r="A2172" s="454"/>
      <c r="B2172" s="625" t="s">
        <v>970</v>
      </c>
      <c r="C2172" s="680">
        <f>1</f>
        <v>1</v>
      </c>
      <c r="D2172" s="452">
        <v>4.9870000000000001</v>
      </c>
      <c r="E2172" s="452"/>
      <c r="F2172" s="567">
        <v>0.3</v>
      </c>
      <c r="G2172" s="67">
        <f t="shared" si="65"/>
        <v>1.5</v>
      </c>
      <c r="H2172" s="943" t="s">
        <v>1306</v>
      </c>
      <c r="I2172" s="1240"/>
    </row>
    <row r="2173" spans="1:9" s="456" customFormat="1" ht="18" customHeight="1">
      <c r="A2173" s="454"/>
      <c r="B2173" s="625" t="s">
        <v>2143</v>
      </c>
      <c r="C2173" s="680">
        <f>1</f>
        <v>1</v>
      </c>
      <c r="D2173" s="452">
        <f>1.875+2.725</f>
        <v>4.5999999999999996</v>
      </c>
      <c r="E2173" s="452"/>
      <c r="F2173" s="567">
        <v>2.7</v>
      </c>
      <c r="G2173" s="67">
        <f t="shared" si="65"/>
        <v>12.42</v>
      </c>
      <c r="H2173" s="943" t="s">
        <v>1306</v>
      </c>
      <c r="I2173" s="1240"/>
    </row>
    <row r="2174" spans="1:9" s="456" customFormat="1" ht="18" customHeight="1">
      <c r="A2174" s="454"/>
      <c r="B2174" s="625"/>
      <c r="C2174" s="680">
        <f>1</f>
        <v>1</v>
      </c>
      <c r="D2174" s="452">
        <f>1.875+2.725</f>
        <v>4.5999999999999996</v>
      </c>
      <c r="E2174" s="452"/>
      <c r="F2174" s="677">
        <v>0.3</v>
      </c>
      <c r="G2174" s="67">
        <f t="shared" si="65"/>
        <v>1.38</v>
      </c>
      <c r="H2174" s="943" t="s">
        <v>1306</v>
      </c>
      <c r="I2174" s="1240"/>
    </row>
    <row r="2175" spans="1:9" s="456" customFormat="1" ht="18" customHeight="1">
      <c r="A2175" s="454"/>
      <c r="B2175" s="625" t="s">
        <v>2144</v>
      </c>
      <c r="C2175" s="680">
        <f>1</f>
        <v>1</v>
      </c>
      <c r="D2175" s="452">
        <v>2.3620000000000001</v>
      </c>
      <c r="E2175" s="452"/>
      <c r="F2175" s="677">
        <v>0.3</v>
      </c>
      <c r="G2175" s="67">
        <f t="shared" si="65"/>
        <v>0.71</v>
      </c>
      <c r="H2175" s="943" t="s">
        <v>1306</v>
      </c>
      <c r="I2175" s="1240"/>
    </row>
    <row r="2176" spans="1:9" s="78" customFormat="1" ht="18" customHeight="1">
      <c r="A2176" s="75"/>
      <c r="B2176" s="387" t="s">
        <v>1091</v>
      </c>
      <c r="C2176" s="70"/>
      <c r="D2176" s="68"/>
      <c r="E2176" s="68"/>
      <c r="F2176" s="68"/>
      <c r="G2176" s="67" t="str">
        <f t="shared" ref="G2176:G2239" si="66">IF(C2176&lt;&gt;0,ROUND(PRODUCT(D2176:F2176)*C2176,2)," ")</f>
        <v xml:space="preserve"> </v>
      </c>
      <c r="H2176" s="930" t="s">
        <v>1306</v>
      </c>
      <c r="I2176" s="1227"/>
    </row>
    <row r="2177" spans="1:9" s="78" customFormat="1" ht="18" customHeight="1">
      <c r="A2177" s="75"/>
      <c r="B2177" s="406" t="s">
        <v>1049</v>
      </c>
      <c r="C2177" s="70">
        <v>1</v>
      </c>
      <c r="D2177" s="567">
        <v>10.275</v>
      </c>
      <c r="E2177" s="68"/>
      <c r="F2177" s="68">
        <v>2.7</v>
      </c>
      <c r="G2177" s="67">
        <f t="shared" si="66"/>
        <v>27.74</v>
      </c>
      <c r="H2177" s="930" t="s">
        <v>1306</v>
      </c>
      <c r="I2177" s="1227"/>
    </row>
    <row r="2178" spans="1:9" s="78" customFormat="1" ht="18" customHeight="1">
      <c r="A2178" s="75"/>
      <c r="B2178" s="406" t="s">
        <v>941</v>
      </c>
      <c r="C2178" s="70">
        <v>-1.5</v>
      </c>
      <c r="D2178" s="68">
        <v>1</v>
      </c>
      <c r="E2178" s="68"/>
      <c r="F2178" s="68">
        <v>1.8</v>
      </c>
      <c r="G2178" s="67">
        <f t="shared" si="66"/>
        <v>-2.7</v>
      </c>
      <c r="H2178" s="930" t="s">
        <v>1306</v>
      </c>
      <c r="I2178" s="1227"/>
    </row>
    <row r="2179" spans="1:9" s="78" customFormat="1" ht="18" customHeight="1">
      <c r="A2179" s="75"/>
      <c r="B2179" s="406" t="s">
        <v>1092</v>
      </c>
      <c r="C2179" s="70">
        <v>-1</v>
      </c>
      <c r="D2179" s="68">
        <v>1.85</v>
      </c>
      <c r="E2179" s="68"/>
      <c r="F2179" s="68">
        <v>2.4</v>
      </c>
      <c r="G2179" s="67">
        <f t="shared" si="66"/>
        <v>-4.4400000000000004</v>
      </c>
      <c r="H2179" s="930" t="s">
        <v>1306</v>
      </c>
      <c r="I2179" s="1227"/>
    </row>
    <row r="2180" spans="1:9" ht="18" customHeight="1">
      <c r="A2180" s="75"/>
      <c r="B2180" s="406" t="s">
        <v>1050</v>
      </c>
      <c r="C2180" s="70">
        <v>1</v>
      </c>
      <c r="D2180" s="68">
        <f>12.9-0.1</f>
        <v>12.8</v>
      </c>
      <c r="E2180" s="68"/>
      <c r="F2180" s="68">
        <v>2.7</v>
      </c>
      <c r="G2180" s="67">
        <f t="shared" si="66"/>
        <v>34.56</v>
      </c>
      <c r="H2180" s="930" t="s">
        <v>1306</v>
      </c>
    </row>
    <row r="2181" spans="1:9" ht="18" customHeight="1">
      <c r="A2181" s="75"/>
      <c r="B2181" s="406" t="s">
        <v>1093</v>
      </c>
      <c r="C2181" s="70">
        <v>-1.5</v>
      </c>
      <c r="D2181" s="68">
        <v>1</v>
      </c>
      <c r="E2181" s="68"/>
      <c r="F2181" s="68">
        <v>1.8</v>
      </c>
      <c r="G2181" s="67">
        <f t="shared" si="66"/>
        <v>-2.7</v>
      </c>
      <c r="H2181" s="930" t="s">
        <v>1306</v>
      </c>
    </row>
    <row r="2182" spans="1:9" s="78" customFormat="1" ht="18" customHeight="1">
      <c r="A2182" s="75"/>
      <c r="B2182" s="406" t="s">
        <v>1094</v>
      </c>
      <c r="C2182" s="70">
        <v>-0.5</v>
      </c>
      <c r="D2182" s="68">
        <v>1.85</v>
      </c>
      <c r="E2182" s="68"/>
      <c r="F2182" s="68">
        <v>2.4</v>
      </c>
      <c r="G2182" s="67">
        <f t="shared" si="66"/>
        <v>-2.2200000000000002</v>
      </c>
      <c r="H2182" s="930" t="s">
        <v>1306</v>
      </c>
      <c r="I2182" s="1227"/>
    </row>
    <row r="2183" spans="1:9" s="78" customFormat="1" ht="18" customHeight="1">
      <c r="A2183" s="75"/>
      <c r="B2183" s="63" t="s">
        <v>1969</v>
      </c>
      <c r="C2183" s="568">
        <v>1</v>
      </c>
      <c r="D2183" s="68">
        <f>1.425+3.175+0.275-0.2</f>
        <v>4.6749999999999998</v>
      </c>
      <c r="E2183" s="68"/>
      <c r="F2183" s="68">
        <v>2.7</v>
      </c>
      <c r="G2183" s="67">
        <f t="shared" si="66"/>
        <v>12.62</v>
      </c>
      <c r="H2183" s="930" t="s">
        <v>1306</v>
      </c>
      <c r="I2183" s="1227"/>
    </row>
    <row r="2184" spans="1:9" ht="18" customHeight="1">
      <c r="A2184" s="75"/>
      <c r="B2184" s="409" t="s">
        <v>1970</v>
      </c>
      <c r="C2184" s="70">
        <v>2</v>
      </c>
      <c r="D2184" s="68">
        <f>1.875+2.725+0.275-0.2</f>
        <v>4.6749999999999998</v>
      </c>
      <c r="E2184" s="68"/>
      <c r="F2184" s="68">
        <v>2.7</v>
      </c>
      <c r="G2184" s="67">
        <f t="shared" si="66"/>
        <v>25.25</v>
      </c>
      <c r="H2184" s="930" t="s">
        <v>1306</v>
      </c>
    </row>
    <row r="2185" spans="1:9" ht="18" customHeight="1">
      <c r="A2185" s="75"/>
      <c r="B2185" s="667" t="s">
        <v>1095</v>
      </c>
      <c r="C2185" s="70"/>
      <c r="D2185" s="68"/>
      <c r="E2185" s="68"/>
      <c r="F2185" s="68"/>
      <c r="G2185" s="67" t="str">
        <f t="shared" si="66"/>
        <v xml:space="preserve"> </v>
      </c>
      <c r="H2185" s="930" t="s">
        <v>1306</v>
      </c>
    </row>
    <row r="2186" spans="1:9" ht="18" customHeight="1">
      <c r="A2186" s="75"/>
      <c r="B2186" s="409" t="s">
        <v>1056</v>
      </c>
      <c r="C2186" s="70">
        <v>1</v>
      </c>
      <c r="D2186" s="567">
        <v>12.75</v>
      </c>
      <c r="E2186" s="68"/>
      <c r="F2186" s="68">
        <v>2.7</v>
      </c>
      <c r="G2186" s="67">
        <f t="shared" si="66"/>
        <v>34.43</v>
      </c>
      <c r="H2186" s="930" t="s">
        <v>1306</v>
      </c>
    </row>
    <row r="2187" spans="1:9" ht="18" customHeight="1">
      <c r="A2187" s="75"/>
      <c r="B2187" s="409" t="s">
        <v>1051</v>
      </c>
      <c r="C2187" s="70">
        <v>-2</v>
      </c>
      <c r="D2187" s="68">
        <v>1</v>
      </c>
      <c r="E2187" s="68"/>
      <c r="F2187" s="68">
        <v>1.8</v>
      </c>
      <c r="G2187" s="67">
        <f t="shared" si="66"/>
        <v>-3.6</v>
      </c>
      <c r="H2187" s="930" t="s">
        <v>1306</v>
      </c>
    </row>
    <row r="2188" spans="1:9" s="78" customFormat="1" ht="18" customHeight="1">
      <c r="A2188" s="75"/>
      <c r="B2188" s="63" t="s">
        <v>1057</v>
      </c>
      <c r="C2188" s="70">
        <v>1</v>
      </c>
      <c r="D2188" s="567">
        <v>12.75</v>
      </c>
      <c r="E2188" s="68"/>
      <c r="F2188" s="68">
        <v>2.7</v>
      </c>
      <c r="G2188" s="67">
        <f t="shared" si="66"/>
        <v>34.43</v>
      </c>
      <c r="H2188" s="930" t="s">
        <v>1306</v>
      </c>
      <c r="I2188" s="1227"/>
    </row>
    <row r="2189" spans="1:9" ht="18" customHeight="1">
      <c r="A2189" s="75"/>
      <c r="B2189" s="63" t="s">
        <v>1051</v>
      </c>
      <c r="C2189" s="70">
        <v>-2</v>
      </c>
      <c r="D2189" s="68">
        <v>1</v>
      </c>
      <c r="E2189" s="68"/>
      <c r="F2189" s="68">
        <v>1.8</v>
      </c>
      <c r="G2189" s="67">
        <f t="shared" si="66"/>
        <v>-3.6</v>
      </c>
      <c r="H2189" s="930" t="s">
        <v>1306</v>
      </c>
    </row>
    <row r="2190" spans="1:9" s="78" customFormat="1" ht="18" customHeight="1">
      <c r="A2190" s="75"/>
      <c r="B2190" s="63" t="s">
        <v>2029</v>
      </c>
      <c r="C2190" s="70">
        <v>1</v>
      </c>
      <c r="D2190" s="68">
        <v>2.0249999999999999</v>
      </c>
      <c r="E2190" s="68"/>
      <c r="F2190" s="68">
        <v>2.7</v>
      </c>
      <c r="G2190" s="67">
        <f t="shared" si="66"/>
        <v>5.47</v>
      </c>
      <c r="H2190" s="930" t="s">
        <v>1306</v>
      </c>
      <c r="I2190" s="1227"/>
    </row>
    <row r="2191" spans="1:9" s="78" customFormat="1" ht="18" customHeight="1">
      <c r="A2191" s="75"/>
      <c r="B2191" s="63" t="s">
        <v>2017</v>
      </c>
      <c r="C2191" s="70">
        <v>2</v>
      </c>
      <c r="D2191" s="68">
        <v>4.5999999999999996</v>
      </c>
      <c r="E2191" s="68"/>
      <c r="F2191" s="68">
        <v>2.7</v>
      </c>
      <c r="G2191" s="67">
        <f t="shared" si="66"/>
        <v>24.84</v>
      </c>
      <c r="H2191" s="930" t="s">
        <v>1306</v>
      </c>
      <c r="I2191" s="1227"/>
    </row>
    <row r="2192" spans="1:9" s="78" customFormat="1" ht="18" customHeight="1">
      <c r="A2192" s="75"/>
      <c r="B2192" s="63" t="s">
        <v>2018</v>
      </c>
      <c r="C2192" s="70">
        <v>2</v>
      </c>
      <c r="D2192" s="68">
        <f>1.525+3.075</f>
        <v>4.5999999999999996</v>
      </c>
      <c r="E2192" s="68"/>
      <c r="F2192" s="68">
        <v>2.7</v>
      </c>
      <c r="G2192" s="67">
        <f t="shared" si="66"/>
        <v>24.84</v>
      </c>
      <c r="H2192" s="930" t="s">
        <v>1306</v>
      </c>
      <c r="I2192" s="1227"/>
    </row>
    <row r="2193" spans="1:9" s="78" customFormat="1" ht="18" customHeight="1">
      <c r="A2193" s="75"/>
      <c r="B2193" s="63" t="s">
        <v>2019</v>
      </c>
      <c r="C2193" s="70">
        <v>1</v>
      </c>
      <c r="D2193" s="68">
        <v>1.6</v>
      </c>
      <c r="E2193" s="68"/>
      <c r="F2193" s="68">
        <v>2.7</v>
      </c>
      <c r="G2193" s="67">
        <f t="shared" si="66"/>
        <v>4.32</v>
      </c>
      <c r="H2193" s="930" t="s">
        <v>1306</v>
      </c>
      <c r="I2193" s="1227"/>
    </row>
    <row r="2194" spans="1:9" s="78" customFormat="1" ht="18" customHeight="1">
      <c r="A2194" s="75"/>
      <c r="B2194" s="496" t="s">
        <v>1097</v>
      </c>
      <c r="C2194" s="70"/>
      <c r="D2194" s="68"/>
      <c r="E2194" s="68"/>
      <c r="F2194" s="68"/>
      <c r="G2194" s="67" t="str">
        <f t="shared" si="66"/>
        <v xml:space="preserve"> </v>
      </c>
      <c r="H2194" s="930" t="s">
        <v>1306</v>
      </c>
      <c r="I2194" s="1227"/>
    </row>
    <row r="2195" spans="1:9" s="78" customFormat="1" ht="18" customHeight="1">
      <c r="A2195" s="75"/>
      <c r="B2195" s="63" t="s">
        <v>1063</v>
      </c>
      <c r="C2195" s="70">
        <v>1</v>
      </c>
      <c r="D2195" s="567">
        <v>18.3</v>
      </c>
      <c r="E2195" s="68"/>
      <c r="F2195" s="68">
        <v>2.7</v>
      </c>
      <c r="G2195" s="67">
        <f t="shared" si="66"/>
        <v>49.41</v>
      </c>
      <c r="H2195" s="930" t="s">
        <v>1306</v>
      </c>
      <c r="I2195" s="1227"/>
    </row>
    <row r="2196" spans="1:9" s="78" customFormat="1" ht="18" customHeight="1">
      <c r="A2196" s="75"/>
      <c r="B2196" s="63" t="s">
        <v>1065</v>
      </c>
      <c r="C2196" s="70">
        <v>-1.5</v>
      </c>
      <c r="D2196" s="68">
        <v>1</v>
      </c>
      <c r="E2196" s="68"/>
      <c r="F2196" s="68">
        <v>1.8</v>
      </c>
      <c r="G2196" s="67">
        <f t="shared" si="66"/>
        <v>-2.7</v>
      </c>
      <c r="H2196" s="930" t="s">
        <v>1306</v>
      </c>
      <c r="I2196" s="1227"/>
    </row>
    <row r="2197" spans="1:9" s="78" customFormat="1" ht="18" customHeight="1">
      <c r="A2197" s="75"/>
      <c r="B2197" s="63" t="s">
        <v>1098</v>
      </c>
      <c r="C2197" s="70">
        <v>-1</v>
      </c>
      <c r="D2197" s="68">
        <v>1.85</v>
      </c>
      <c r="E2197" s="68"/>
      <c r="F2197" s="68">
        <v>2.4</v>
      </c>
      <c r="G2197" s="67">
        <f t="shared" si="66"/>
        <v>-4.4400000000000004</v>
      </c>
      <c r="H2197" s="930" t="s">
        <v>1306</v>
      </c>
      <c r="I2197" s="1227"/>
    </row>
    <row r="2198" spans="1:9" s="78" customFormat="1" ht="18" customHeight="1">
      <c r="A2198" s="75"/>
      <c r="B2198" s="63" t="s">
        <v>1069</v>
      </c>
      <c r="C2198" s="70">
        <v>-1</v>
      </c>
      <c r="D2198" s="68">
        <v>1.8</v>
      </c>
      <c r="E2198" s="68"/>
      <c r="F2198" s="68">
        <v>2.1</v>
      </c>
      <c r="G2198" s="67">
        <f t="shared" si="66"/>
        <v>-3.78</v>
      </c>
      <c r="H2198" s="930" t="s">
        <v>1306</v>
      </c>
      <c r="I2198" s="1227"/>
    </row>
    <row r="2199" spans="1:9" s="78" customFormat="1" ht="18" customHeight="1">
      <c r="A2199" s="75"/>
      <c r="B2199" s="63" t="s">
        <v>1099</v>
      </c>
      <c r="C2199" s="70">
        <v>1</v>
      </c>
      <c r="D2199" s="567">
        <v>18.3</v>
      </c>
      <c r="E2199" s="68"/>
      <c r="F2199" s="68">
        <v>2.7</v>
      </c>
      <c r="G2199" s="67">
        <f t="shared" si="66"/>
        <v>49.41</v>
      </c>
      <c r="H2199" s="930" t="s">
        <v>1306</v>
      </c>
      <c r="I2199" s="1227"/>
    </row>
    <row r="2200" spans="1:9" ht="18" customHeight="1">
      <c r="A2200" s="75"/>
      <c r="B2200" s="63" t="s">
        <v>1051</v>
      </c>
      <c r="C2200" s="70">
        <v>-1.5</v>
      </c>
      <c r="D2200" s="68">
        <v>1</v>
      </c>
      <c r="E2200" s="68"/>
      <c r="F2200" s="68">
        <v>1.8</v>
      </c>
      <c r="G2200" s="67">
        <f t="shared" si="66"/>
        <v>-2.7</v>
      </c>
      <c r="H2200" s="930" t="s">
        <v>1306</v>
      </c>
    </row>
    <row r="2201" spans="1:9" ht="18" customHeight="1">
      <c r="A2201" s="75"/>
      <c r="B2201" s="63" t="s">
        <v>1092</v>
      </c>
      <c r="C2201" s="70">
        <v>-1</v>
      </c>
      <c r="D2201" s="68">
        <v>1.85</v>
      </c>
      <c r="E2201" s="68"/>
      <c r="F2201" s="68">
        <v>2.4</v>
      </c>
      <c r="G2201" s="67">
        <f t="shared" si="66"/>
        <v>-4.4400000000000004</v>
      </c>
      <c r="H2201" s="930" t="s">
        <v>1306</v>
      </c>
    </row>
    <row r="2202" spans="1:9" ht="18" customHeight="1">
      <c r="A2202" s="75"/>
      <c r="B2202" s="63" t="s">
        <v>1069</v>
      </c>
      <c r="C2202" s="70">
        <v>-1</v>
      </c>
      <c r="D2202" s="68">
        <v>1.8</v>
      </c>
      <c r="E2202" s="68"/>
      <c r="F2202" s="68">
        <v>2.1</v>
      </c>
      <c r="G2202" s="67">
        <f t="shared" si="66"/>
        <v>-3.78</v>
      </c>
      <c r="H2202" s="930" t="s">
        <v>1306</v>
      </c>
    </row>
    <row r="2203" spans="1:9" ht="18" customHeight="1">
      <c r="A2203" s="75"/>
      <c r="B2203" s="63" t="s">
        <v>1976</v>
      </c>
      <c r="C2203" s="70">
        <v>2</v>
      </c>
      <c r="D2203" s="68">
        <f>1.425+3.175-0.38</f>
        <v>4.22</v>
      </c>
      <c r="E2203" s="68"/>
      <c r="F2203" s="68">
        <v>2.7</v>
      </c>
      <c r="G2203" s="67">
        <f t="shared" si="66"/>
        <v>22.79</v>
      </c>
      <c r="H2203" s="930" t="s">
        <v>1306</v>
      </c>
    </row>
    <row r="2204" spans="1:9" ht="18" customHeight="1">
      <c r="A2204" s="75"/>
      <c r="B2204" s="63" t="s">
        <v>1605</v>
      </c>
      <c r="C2204" s="70">
        <v>2</v>
      </c>
      <c r="D2204" s="68">
        <f>2.725+1.875-0.38</f>
        <v>4.22</v>
      </c>
      <c r="E2204" s="68"/>
      <c r="F2204" s="68">
        <v>2.7</v>
      </c>
      <c r="G2204" s="67">
        <f t="shared" si="66"/>
        <v>22.79</v>
      </c>
      <c r="H2204" s="930" t="s">
        <v>1306</v>
      </c>
    </row>
    <row r="2205" spans="1:9" ht="18" customHeight="1">
      <c r="A2205" s="75"/>
      <c r="B2205" s="496" t="s">
        <v>1076</v>
      </c>
      <c r="C2205" s="70"/>
      <c r="D2205" s="68"/>
      <c r="E2205" s="68"/>
      <c r="F2205" s="68"/>
      <c r="G2205" s="67" t="str">
        <f t="shared" si="66"/>
        <v xml:space="preserve"> </v>
      </c>
      <c r="H2205" s="930" t="s">
        <v>1306</v>
      </c>
    </row>
    <row r="2206" spans="1:9" ht="18" customHeight="1">
      <c r="A2206" s="75"/>
      <c r="B2206" s="63" t="s">
        <v>2059</v>
      </c>
      <c r="C2206" s="70">
        <v>1</v>
      </c>
      <c r="D2206" s="68">
        <v>2.0249999999999999</v>
      </c>
      <c r="E2206" s="68"/>
      <c r="F2206" s="68">
        <v>2.7</v>
      </c>
      <c r="G2206" s="67">
        <f t="shared" si="66"/>
        <v>5.47</v>
      </c>
      <c r="H2206" s="930" t="s">
        <v>1306</v>
      </c>
    </row>
    <row r="2207" spans="1:9" ht="18" customHeight="1">
      <c r="A2207" s="75"/>
      <c r="B2207" s="63" t="s">
        <v>2030</v>
      </c>
      <c r="C2207" s="70">
        <v>2</v>
      </c>
      <c r="D2207" s="68">
        <v>4.5999999999999996</v>
      </c>
      <c r="E2207" s="68"/>
      <c r="F2207" s="68">
        <v>2.7</v>
      </c>
      <c r="G2207" s="67">
        <f t="shared" si="66"/>
        <v>24.84</v>
      </c>
      <c r="H2207" s="930" t="s">
        <v>1306</v>
      </c>
    </row>
    <row r="2208" spans="1:9" ht="18" customHeight="1">
      <c r="A2208" s="75"/>
      <c r="B2208" s="63" t="s">
        <v>2021</v>
      </c>
      <c r="C2208" s="70">
        <v>2</v>
      </c>
      <c r="D2208" s="68">
        <f>1.525+3.075</f>
        <v>4.5999999999999996</v>
      </c>
      <c r="E2208" s="68"/>
      <c r="F2208" s="68">
        <v>2.7</v>
      </c>
      <c r="G2208" s="67">
        <f t="shared" si="66"/>
        <v>24.84</v>
      </c>
      <c r="H2208" s="930" t="s">
        <v>1306</v>
      </c>
    </row>
    <row r="2209" spans="1:15" ht="18" customHeight="1">
      <c r="A2209" s="75"/>
      <c r="B2209" s="63" t="s">
        <v>2058</v>
      </c>
      <c r="C2209" s="70">
        <v>1</v>
      </c>
      <c r="D2209" s="68">
        <v>1.6</v>
      </c>
      <c r="E2209" s="68"/>
      <c r="F2209" s="68">
        <v>2.7</v>
      </c>
      <c r="G2209" s="67">
        <f t="shared" si="66"/>
        <v>4.32</v>
      </c>
      <c r="H2209" s="930" t="s">
        <v>1306</v>
      </c>
    </row>
    <row r="2210" spans="1:15" ht="18" customHeight="1">
      <c r="A2210" s="75"/>
      <c r="B2210" s="63" t="s">
        <v>1982</v>
      </c>
      <c r="C2210" s="70">
        <v>2</v>
      </c>
      <c r="D2210" s="567">
        <v>4.9000000000000004</v>
      </c>
      <c r="E2210" s="68"/>
      <c r="F2210" s="68">
        <v>2.7</v>
      </c>
      <c r="G2210" s="67">
        <f t="shared" si="66"/>
        <v>26.46</v>
      </c>
      <c r="H2210" s="930" t="s">
        <v>1306</v>
      </c>
    </row>
    <row r="2211" spans="1:15" ht="18" customHeight="1">
      <c r="A2211" s="75"/>
      <c r="B2211" s="63" t="s">
        <v>1077</v>
      </c>
      <c r="C2211" s="70">
        <v>2</v>
      </c>
      <c r="D2211" s="68">
        <f>0.8+0.275+0.2</f>
        <v>1.2750000000000001</v>
      </c>
      <c r="E2211" s="68"/>
      <c r="F2211" s="68">
        <v>2.7</v>
      </c>
      <c r="G2211" s="67">
        <f t="shared" si="66"/>
        <v>6.89</v>
      </c>
      <c r="H2211" s="930" t="s">
        <v>1306</v>
      </c>
    </row>
    <row r="2212" spans="1:15" ht="18" customHeight="1">
      <c r="A2212" s="75"/>
      <c r="B2212" s="63" t="s">
        <v>1100</v>
      </c>
      <c r="C2212" s="70">
        <v>2</v>
      </c>
      <c r="D2212" s="68">
        <f>6.3</f>
        <v>6.3</v>
      </c>
      <c r="E2212" s="68"/>
      <c r="F2212" s="68">
        <v>2.7</v>
      </c>
      <c r="G2212" s="67">
        <f t="shared" si="66"/>
        <v>34.020000000000003</v>
      </c>
      <c r="H2212" s="930" t="s">
        <v>1306</v>
      </c>
    </row>
    <row r="2213" spans="1:15" ht="18" customHeight="1">
      <c r="A2213" s="75"/>
      <c r="B2213" s="63" t="s">
        <v>1101</v>
      </c>
      <c r="C2213" s="70">
        <v>-1</v>
      </c>
      <c r="D2213" s="68">
        <v>4.9000000000000004</v>
      </c>
      <c r="E2213" s="68"/>
      <c r="F2213" s="68">
        <v>1.8</v>
      </c>
      <c r="G2213" s="67">
        <f t="shared" si="66"/>
        <v>-8.82</v>
      </c>
      <c r="H2213" s="930" t="s">
        <v>1306</v>
      </c>
    </row>
    <row r="2214" spans="1:15" ht="18" customHeight="1">
      <c r="A2214" s="75"/>
      <c r="B2214" s="63" t="s">
        <v>1081</v>
      </c>
      <c r="C2214" s="70">
        <v>1</v>
      </c>
      <c r="D2214" s="68">
        <f>6.45+6.45-0.1</f>
        <v>12.8</v>
      </c>
      <c r="E2214" s="68"/>
      <c r="F2214" s="567">
        <v>2.7</v>
      </c>
      <c r="G2214" s="67">
        <f t="shared" si="66"/>
        <v>34.56</v>
      </c>
      <c r="H2214" s="930" t="s">
        <v>1306</v>
      </c>
    </row>
    <row r="2215" spans="1:15" ht="18" customHeight="1">
      <c r="A2215" s="75"/>
      <c r="B2215" s="63" t="s">
        <v>1051</v>
      </c>
      <c r="C2215" s="70">
        <v>-2</v>
      </c>
      <c r="D2215" s="68">
        <v>1</v>
      </c>
      <c r="E2215" s="68"/>
      <c r="F2215" s="68">
        <v>1.8</v>
      </c>
      <c r="G2215" s="67">
        <f t="shared" si="66"/>
        <v>-3.6</v>
      </c>
      <c r="H2215" s="930" t="s">
        <v>1306</v>
      </c>
    </row>
    <row r="2216" spans="1:15" ht="18" customHeight="1">
      <c r="A2216" s="75"/>
      <c r="B2216" s="63" t="s">
        <v>1082</v>
      </c>
      <c r="C2216" s="70">
        <v>1</v>
      </c>
      <c r="D2216" s="567">
        <v>12.7</v>
      </c>
      <c r="E2216" s="68"/>
      <c r="F2216" s="567">
        <v>2.7</v>
      </c>
      <c r="G2216" s="67">
        <f t="shared" si="66"/>
        <v>34.29</v>
      </c>
      <c r="H2216" s="930" t="s">
        <v>1306</v>
      </c>
    </row>
    <row r="2217" spans="1:15" ht="18" customHeight="1">
      <c r="A2217" s="75"/>
      <c r="B2217" s="63" t="s">
        <v>1051</v>
      </c>
      <c r="C2217" s="70">
        <v>-1.5</v>
      </c>
      <c r="D2217" s="68">
        <v>1</v>
      </c>
      <c r="E2217" s="68"/>
      <c r="F2217" s="68">
        <v>1.8</v>
      </c>
      <c r="G2217" s="67">
        <f t="shared" si="66"/>
        <v>-2.7</v>
      </c>
      <c r="H2217" s="930" t="s">
        <v>1306</v>
      </c>
    </row>
    <row r="2218" spans="1:15" ht="18" customHeight="1">
      <c r="A2218" s="75"/>
      <c r="B2218" s="63" t="s">
        <v>1083</v>
      </c>
      <c r="C2218" s="70">
        <v>-0.5</v>
      </c>
      <c r="D2218" s="68">
        <v>1</v>
      </c>
      <c r="E2218" s="68"/>
      <c r="F2218" s="68">
        <v>1.8</v>
      </c>
      <c r="G2218" s="67">
        <f t="shared" si="66"/>
        <v>-0.9</v>
      </c>
      <c r="H2218" s="930" t="s">
        <v>1306</v>
      </c>
    </row>
    <row r="2219" spans="1:15" ht="18" customHeight="1">
      <c r="A2219" s="75"/>
      <c r="B2219" s="80" t="s">
        <v>1102</v>
      </c>
      <c r="C2219" s="70"/>
      <c r="D2219" s="68"/>
      <c r="E2219" s="68"/>
      <c r="F2219" s="68"/>
      <c r="G2219" s="67" t="str">
        <f t="shared" si="66"/>
        <v xml:space="preserve"> </v>
      </c>
      <c r="H2219" s="930" t="s">
        <v>1306</v>
      </c>
    </row>
    <row r="2220" spans="1:15" ht="18" customHeight="1">
      <c r="A2220" s="75"/>
      <c r="B2220" s="496" t="s">
        <v>2031</v>
      </c>
      <c r="C2220" s="70"/>
      <c r="D2220" s="68"/>
      <c r="E2220" s="68"/>
      <c r="F2220" s="68"/>
      <c r="G2220" s="67" t="str">
        <f t="shared" si="66"/>
        <v xml:space="preserve"> </v>
      </c>
      <c r="H2220" s="930" t="s">
        <v>1306</v>
      </c>
    </row>
    <row r="2221" spans="1:15" s="78" customFormat="1" ht="18" customHeight="1">
      <c r="A2221" s="75"/>
      <c r="B2221" s="406" t="s">
        <v>940</v>
      </c>
      <c r="C2221" s="70">
        <v>1</v>
      </c>
      <c r="D2221" s="68">
        <v>3.194</v>
      </c>
      <c r="E2221" s="68"/>
      <c r="F2221" s="68">
        <v>2.7</v>
      </c>
      <c r="G2221" s="67">
        <f t="shared" si="66"/>
        <v>8.6199999999999992</v>
      </c>
      <c r="H2221" s="930" t="s">
        <v>1306</v>
      </c>
      <c r="I2221" s="1227"/>
    </row>
    <row r="2222" spans="1:15" s="78" customFormat="1" ht="18" customHeight="1">
      <c r="A2222" s="75"/>
      <c r="B2222" s="406" t="s">
        <v>2028</v>
      </c>
      <c r="C2222" s="70">
        <v>-0.5</v>
      </c>
      <c r="D2222" s="68">
        <v>1</v>
      </c>
      <c r="E2222" s="68"/>
      <c r="F2222" s="68">
        <v>1.8</v>
      </c>
      <c r="G2222" s="67">
        <f t="shared" si="66"/>
        <v>-0.9</v>
      </c>
      <c r="H2222" s="930" t="s">
        <v>1306</v>
      </c>
      <c r="I2222" s="1227"/>
    </row>
    <row r="2223" spans="1:15" s="78" customFormat="1" ht="18" customHeight="1">
      <c r="A2223" s="75"/>
      <c r="B2223" s="406" t="s">
        <v>1596</v>
      </c>
      <c r="C2223" s="70">
        <v>1</v>
      </c>
      <c r="D2223" s="68">
        <v>4.4089999999999998</v>
      </c>
      <c r="E2223" s="68"/>
      <c r="F2223" s="68">
        <v>2.7</v>
      </c>
      <c r="G2223" s="67">
        <f t="shared" si="66"/>
        <v>11.9</v>
      </c>
      <c r="H2223" s="930" t="s">
        <v>1306</v>
      </c>
      <c r="I2223" s="1227"/>
      <c r="O2223" s="220"/>
    </row>
    <row r="2224" spans="1:15" s="78" customFormat="1" ht="18" customHeight="1">
      <c r="A2224" s="75"/>
      <c r="B2224" s="63" t="s">
        <v>942</v>
      </c>
      <c r="C2224" s="70">
        <v>1</v>
      </c>
      <c r="D2224" s="68">
        <f>6.45+6.4+6.4+3.25+0.1-0.1</f>
        <v>22.5</v>
      </c>
      <c r="E2224" s="68"/>
      <c r="F2224" s="68">
        <v>2.7</v>
      </c>
      <c r="G2224" s="67">
        <f t="shared" si="66"/>
        <v>60.75</v>
      </c>
      <c r="H2224" s="930" t="s">
        <v>1306</v>
      </c>
      <c r="I2224" s="1227"/>
    </row>
    <row r="2225" spans="1:9" s="78" customFormat="1" ht="18" customHeight="1">
      <c r="A2225" s="75"/>
      <c r="B2225" s="409" t="s">
        <v>943</v>
      </c>
      <c r="C2225" s="70">
        <v>-3.5</v>
      </c>
      <c r="D2225" s="68">
        <v>1</v>
      </c>
      <c r="E2225" s="68"/>
      <c r="F2225" s="68">
        <v>1.8</v>
      </c>
      <c r="G2225" s="67">
        <f t="shared" si="66"/>
        <v>-6.3</v>
      </c>
      <c r="H2225" s="930" t="s">
        <v>1306</v>
      </c>
      <c r="I2225" s="1227"/>
    </row>
    <row r="2226" spans="1:9" s="78" customFormat="1" ht="18" customHeight="1">
      <c r="A2226" s="75"/>
      <c r="B2226" s="63" t="s">
        <v>1913</v>
      </c>
      <c r="C2226" s="70">
        <v>2</v>
      </c>
      <c r="D2226" s="68">
        <v>4.218</v>
      </c>
      <c r="E2226" s="68"/>
      <c r="F2226" s="68">
        <v>2.7</v>
      </c>
      <c r="G2226" s="67">
        <f t="shared" si="66"/>
        <v>22.78</v>
      </c>
      <c r="H2226" s="930" t="s">
        <v>1306</v>
      </c>
      <c r="I2226" s="1227"/>
    </row>
    <row r="2227" spans="1:9" s="78" customFormat="1" ht="18" customHeight="1">
      <c r="A2227" s="75"/>
      <c r="B2227" s="63" t="s">
        <v>945</v>
      </c>
      <c r="C2227" s="70">
        <v>1</v>
      </c>
      <c r="D2227" s="68">
        <v>3.1840000000000002</v>
      </c>
      <c r="E2227" s="68"/>
      <c r="F2227" s="68">
        <v>2.7</v>
      </c>
      <c r="G2227" s="67">
        <f t="shared" si="66"/>
        <v>8.6</v>
      </c>
      <c r="H2227" s="930" t="s">
        <v>1306</v>
      </c>
      <c r="I2227" s="1227"/>
    </row>
    <row r="2228" spans="1:9" s="78" customFormat="1" ht="18" customHeight="1">
      <c r="A2228" s="75"/>
      <c r="B2228" s="63" t="s">
        <v>946</v>
      </c>
      <c r="C2228" s="70">
        <v>-1</v>
      </c>
      <c r="D2228" s="68">
        <v>2.85</v>
      </c>
      <c r="E2228" s="68"/>
      <c r="F2228" s="68">
        <v>1.2</v>
      </c>
      <c r="G2228" s="67">
        <f t="shared" si="66"/>
        <v>-3.42</v>
      </c>
      <c r="H2228" s="930" t="s">
        <v>1306</v>
      </c>
      <c r="I2228" s="1227"/>
    </row>
    <row r="2229" spans="1:9" s="78" customFormat="1" ht="18" customHeight="1">
      <c r="A2229" s="75"/>
      <c r="B2229" s="63" t="s">
        <v>947</v>
      </c>
      <c r="C2229" s="70">
        <v>1</v>
      </c>
      <c r="D2229" s="567">
        <v>12.573</v>
      </c>
      <c r="E2229" s="68"/>
      <c r="F2229" s="68">
        <v>2.7</v>
      </c>
      <c r="G2229" s="67">
        <f t="shared" si="66"/>
        <v>33.950000000000003</v>
      </c>
      <c r="H2229" s="930" t="s">
        <v>1306</v>
      </c>
      <c r="I2229" s="1227"/>
    </row>
    <row r="2230" spans="1:9" s="78" customFormat="1" ht="18" customHeight="1">
      <c r="A2230" s="75"/>
      <c r="B2230" s="63" t="s">
        <v>948</v>
      </c>
      <c r="C2230" s="70">
        <v>-2</v>
      </c>
      <c r="D2230" s="68">
        <v>1</v>
      </c>
      <c r="E2230" s="68"/>
      <c r="F2230" s="68">
        <v>1.8</v>
      </c>
      <c r="G2230" s="67">
        <f t="shared" si="66"/>
        <v>-3.6</v>
      </c>
      <c r="H2230" s="930" t="s">
        <v>1306</v>
      </c>
      <c r="I2230" s="1227"/>
    </row>
    <row r="2231" spans="1:9" s="78" customFormat="1" ht="18" customHeight="1">
      <c r="A2231" s="75"/>
      <c r="B2231" s="63" t="s">
        <v>949</v>
      </c>
      <c r="C2231" s="70">
        <v>-0.5</v>
      </c>
      <c r="D2231" s="68">
        <v>1</v>
      </c>
      <c r="E2231" s="68"/>
      <c r="F2231" s="68">
        <v>1.8</v>
      </c>
      <c r="G2231" s="67">
        <f t="shared" si="66"/>
        <v>-0.9</v>
      </c>
      <c r="H2231" s="930" t="s">
        <v>1306</v>
      </c>
      <c r="I2231" s="1227"/>
    </row>
    <row r="2232" spans="1:9" s="78" customFormat="1" ht="18" customHeight="1">
      <c r="A2232" s="75"/>
      <c r="B2232" s="63" t="s">
        <v>1914</v>
      </c>
      <c r="C2232" s="70">
        <v>2</v>
      </c>
      <c r="D2232" s="68">
        <v>4.218</v>
      </c>
      <c r="E2232" s="68"/>
      <c r="F2232" s="68">
        <v>2.7</v>
      </c>
      <c r="G2232" s="67">
        <f t="shared" si="66"/>
        <v>22.78</v>
      </c>
      <c r="H2232" s="930" t="s">
        <v>1306</v>
      </c>
      <c r="I2232" s="1227"/>
    </row>
    <row r="2233" spans="1:9" s="674" customFormat="1" ht="18" customHeight="1">
      <c r="A2233" s="75"/>
      <c r="B2233" s="64" t="s">
        <v>1915</v>
      </c>
      <c r="C2233" s="410">
        <v>1</v>
      </c>
      <c r="D2233" s="352">
        <v>4.218</v>
      </c>
      <c r="E2233" s="352"/>
      <c r="F2233" s="352">
        <v>2.7</v>
      </c>
      <c r="G2233" s="67">
        <f t="shared" si="66"/>
        <v>11.39</v>
      </c>
      <c r="H2233" s="950" t="s">
        <v>1306</v>
      </c>
      <c r="I2233" s="1246"/>
    </row>
    <row r="2234" spans="1:9" s="674" customFormat="1" ht="18" customHeight="1">
      <c r="A2234" s="75"/>
      <c r="B2234" s="64" t="s">
        <v>1915</v>
      </c>
      <c r="C2234" s="410">
        <v>1</v>
      </c>
      <c r="D2234" s="352">
        <v>4.218</v>
      </c>
      <c r="E2234" s="352"/>
      <c r="F2234" s="677">
        <v>0.3</v>
      </c>
      <c r="G2234" s="67">
        <f t="shared" si="66"/>
        <v>1.27</v>
      </c>
      <c r="H2234" s="950" t="s">
        <v>1306</v>
      </c>
      <c r="I2234" s="1246"/>
    </row>
    <row r="2235" spans="1:9" s="674" customFormat="1" ht="18" customHeight="1">
      <c r="A2235" s="75"/>
      <c r="B2235" s="64" t="s">
        <v>1916</v>
      </c>
      <c r="C2235" s="410">
        <v>1</v>
      </c>
      <c r="D2235" s="352">
        <f>3.25-0.1+0.1</f>
        <v>3.25</v>
      </c>
      <c r="E2235" s="352"/>
      <c r="F2235" s="352">
        <v>2.7</v>
      </c>
      <c r="G2235" s="67">
        <f t="shared" si="66"/>
        <v>8.7799999999999994</v>
      </c>
      <c r="H2235" s="950" t="s">
        <v>1306</v>
      </c>
      <c r="I2235" s="1246"/>
    </row>
    <row r="2236" spans="1:9" s="674" customFormat="1" ht="18" customHeight="1">
      <c r="A2236" s="75"/>
      <c r="B2236" s="64" t="s">
        <v>1916</v>
      </c>
      <c r="C2236" s="410">
        <v>1</v>
      </c>
      <c r="D2236" s="352">
        <f>3.25-0.1+0.1</f>
        <v>3.25</v>
      </c>
      <c r="E2236" s="352"/>
      <c r="F2236" s="677">
        <v>0.3</v>
      </c>
      <c r="G2236" s="67">
        <f t="shared" si="66"/>
        <v>0.98</v>
      </c>
      <c r="H2236" s="950" t="s">
        <v>1306</v>
      </c>
      <c r="I2236" s="1246"/>
    </row>
    <row r="2237" spans="1:9" s="674" customFormat="1" ht="18" customHeight="1">
      <c r="A2237" s="75"/>
      <c r="B2237" s="64" t="s">
        <v>1917</v>
      </c>
      <c r="C2237" s="410">
        <v>1</v>
      </c>
      <c r="D2237" s="352">
        <v>4.22</v>
      </c>
      <c r="E2237" s="352"/>
      <c r="F2237" s="352">
        <v>2.7</v>
      </c>
      <c r="G2237" s="67">
        <f t="shared" si="66"/>
        <v>11.39</v>
      </c>
      <c r="H2237" s="950" t="s">
        <v>1306</v>
      </c>
      <c r="I2237" s="1246"/>
    </row>
    <row r="2238" spans="1:9" s="674" customFormat="1" ht="18" customHeight="1">
      <c r="A2238" s="75"/>
      <c r="B2238" s="64" t="s">
        <v>1917</v>
      </c>
      <c r="C2238" s="410">
        <v>1</v>
      </c>
      <c r="D2238" s="352">
        <v>4.22</v>
      </c>
      <c r="E2238" s="352"/>
      <c r="F2238" s="677">
        <v>0.3</v>
      </c>
      <c r="G2238" s="67">
        <f t="shared" si="66"/>
        <v>1.27</v>
      </c>
      <c r="H2238" s="950" t="s">
        <v>1306</v>
      </c>
      <c r="I2238" s="1246"/>
    </row>
    <row r="2239" spans="1:9" s="674" customFormat="1" ht="18" customHeight="1">
      <c r="A2239" s="75"/>
      <c r="B2239" s="64" t="s">
        <v>1918</v>
      </c>
      <c r="C2239" s="410">
        <v>2</v>
      </c>
      <c r="D2239" s="352">
        <v>2.91</v>
      </c>
      <c r="E2239" s="352"/>
      <c r="F2239" s="677">
        <v>0.3</v>
      </c>
      <c r="G2239" s="67">
        <f t="shared" si="66"/>
        <v>1.75</v>
      </c>
      <c r="H2239" s="950" t="s">
        <v>1306</v>
      </c>
      <c r="I2239" s="1246"/>
    </row>
    <row r="2240" spans="1:9" s="674" customFormat="1" ht="18" customHeight="1">
      <c r="A2240" s="75"/>
      <c r="B2240" s="64" t="s">
        <v>1919</v>
      </c>
      <c r="C2240" s="410">
        <v>1</v>
      </c>
      <c r="D2240" s="677">
        <v>3.05</v>
      </c>
      <c r="E2240" s="352"/>
      <c r="F2240" s="352">
        <v>2.7</v>
      </c>
      <c r="G2240" s="67">
        <f t="shared" ref="G2240:G2303" si="67">IF(C2240&lt;&gt;0,ROUND(PRODUCT(D2240:F2240)*C2240,2)," ")</f>
        <v>8.24</v>
      </c>
      <c r="H2240" s="950" t="s">
        <v>1306</v>
      </c>
      <c r="I2240" s="1246"/>
    </row>
    <row r="2241" spans="1:9" s="674" customFormat="1" ht="18" customHeight="1">
      <c r="A2241" s="75"/>
      <c r="B2241" s="64" t="s">
        <v>1919</v>
      </c>
      <c r="C2241" s="410">
        <v>1</v>
      </c>
      <c r="D2241" s="677">
        <v>3.05</v>
      </c>
      <c r="E2241" s="352"/>
      <c r="F2241" s="677">
        <v>0.3</v>
      </c>
      <c r="G2241" s="67">
        <f t="shared" si="67"/>
        <v>0.92</v>
      </c>
      <c r="H2241" s="950" t="s">
        <v>1306</v>
      </c>
      <c r="I2241" s="1246"/>
    </row>
    <row r="2242" spans="1:9" s="674" customFormat="1" ht="18" customHeight="1">
      <c r="A2242" s="75"/>
      <c r="B2242" s="64"/>
      <c r="C2242" s="410">
        <v>1</v>
      </c>
      <c r="D2242" s="352">
        <v>1.5</v>
      </c>
      <c r="E2242" s="352"/>
      <c r="F2242" s="352">
        <v>2.7</v>
      </c>
      <c r="G2242" s="67">
        <f t="shared" si="67"/>
        <v>4.05</v>
      </c>
      <c r="H2242" s="950" t="s">
        <v>1306</v>
      </c>
      <c r="I2242" s="1246"/>
    </row>
    <row r="2243" spans="1:9" s="674" customFormat="1" ht="18" customHeight="1">
      <c r="A2243" s="75"/>
      <c r="B2243" s="64"/>
      <c r="C2243" s="410">
        <v>1</v>
      </c>
      <c r="D2243" s="352">
        <v>1.5</v>
      </c>
      <c r="E2243" s="352"/>
      <c r="F2243" s="677">
        <v>0.3</v>
      </c>
      <c r="G2243" s="67">
        <f t="shared" si="67"/>
        <v>0.45</v>
      </c>
      <c r="H2243" s="950" t="s">
        <v>1306</v>
      </c>
      <c r="I2243" s="1246"/>
    </row>
    <row r="2244" spans="1:9" s="78" customFormat="1" ht="18" customHeight="1">
      <c r="A2244" s="75"/>
      <c r="B2244" s="63" t="s">
        <v>950</v>
      </c>
      <c r="C2244" s="70">
        <v>1</v>
      </c>
      <c r="D2244" s="68">
        <v>3.1</v>
      </c>
      <c r="E2244" s="68"/>
      <c r="F2244" s="68">
        <v>2.7</v>
      </c>
      <c r="G2244" s="67">
        <f t="shared" si="67"/>
        <v>8.3699999999999992</v>
      </c>
      <c r="H2244" s="930" t="s">
        <v>1306</v>
      </c>
      <c r="I2244" s="1227"/>
    </row>
    <row r="2245" spans="1:9" s="78" customFormat="1" ht="18" customHeight="1">
      <c r="A2245" s="75"/>
      <c r="B2245" s="63" t="s">
        <v>951</v>
      </c>
      <c r="C2245" s="70">
        <v>-0.5</v>
      </c>
      <c r="D2245" s="68">
        <v>1</v>
      </c>
      <c r="E2245" s="68"/>
      <c r="F2245" s="68">
        <v>1.8</v>
      </c>
      <c r="G2245" s="67">
        <f t="shared" si="67"/>
        <v>-0.9</v>
      </c>
      <c r="H2245" s="930" t="s">
        <v>1306</v>
      </c>
      <c r="I2245" s="1227"/>
    </row>
    <row r="2246" spans="1:9" s="78" customFormat="1" ht="18" customHeight="1">
      <c r="A2246" s="75"/>
      <c r="B2246" s="63" t="s">
        <v>2032</v>
      </c>
      <c r="C2246" s="70">
        <v>1</v>
      </c>
      <c r="D2246" s="567">
        <v>2.1230000000000002</v>
      </c>
      <c r="E2246" s="68"/>
      <c r="F2246" s="68">
        <v>2.7</v>
      </c>
      <c r="G2246" s="67">
        <f t="shared" si="67"/>
        <v>5.73</v>
      </c>
      <c r="H2246" s="930" t="s">
        <v>1306</v>
      </c>
      <c r="I2246" s="1227"/>
    </row>
    <row r="2247" spans="1:9" s="78" customFormat="1" ht="18" customHeight="1">
      <c r="A2247" s="75"/>
      <c r="B2247" s="63" t="s">
        <v>2014</v>
      </c>
      <c r="C2247" s="70">
        <v>2</v>
      </c>
      <c r="D2247" s="68">
        <v>4.5999999999999996</v>
      </c>
      <c r="E2247" s="68"/>
      <c r="F2247" s="68">
        <v>2.7</v>
      </c>
      <c r="G2247" s="67">
        <f t="shared" si="67"/>
        <v>24.84</v>
      </c>
      <c r="H2247" s="930" t="s">
        <v>1306</v>
      </c>
      <c r="I2247" s="1227"/>
    </row>
    <row r="2248" spans="1:9" s="78" customFormat="1" ht="18" customHeight="1">
      <c r="A2248" s="75"/>
      <c r="B2248" s="63" t="s">
        <v>953</v>
      </c>
      <c r="C2248" s="70">
        <v>-0.5</v>
      </c>
      <c r="D2248" s="68">
        <v>1.2</v>
      </c>
      <c r="E2248" s="68"/>
      <c r="F2248" s="68">
        <v>2.1</v>
      </c>
      <c r="G2248" s="67">
        <f t="shared" si="67"/>
        <v>-1.26</v>
      </c>
      <c r="H2248" s="930" t="s">
        <v>1306</v>
      </c>
      <c r="I2248" s="1227"/>
    </row>
    <row r="2249" spans="1:9" s="78" customFormat="1" ht="18" customHeight="1">
      <c r="A2249" s="75"/>
      <c r="B2249" s="63" t="s">
        <v>954</v>
      </c>
      <c r="C2249" s="70"/>
      <c r="D2249" s="68"/>
      <c r="E2249" s="68"/>
      <c r="F2249" s="68"/>
      <c r="G2249" s="67" t="str">
        <f t="shared" si="67"/>
        <v xml:space="preserve"> </v>
      </c>
      <c r="H2249" s="930" t="s">
        <v>1306</v>
      </c>
      <c r="I2249" s="1227"/>
    </row>
    <row r="2250" spans="1:9" s="78" customFormat="1" ht="18" customHeight="1">
      <c r="A2250" s="75"/>
      <c r="B2250" s="63" t="s">
        <v>955</v>
      </c>
      <c r="C2250" s="70">
        <v>2</v>
      </c>
      <c r="D2250" s="68">
        <f>3.175-0.2</f>
        <v>2.9749999999999996</v>
      </c>
      <c r="E2250" s="68"/>
      <c r="F2250" s="68">
        <v>2.7</v>
      </c>
      <c r="G2250" s="67">
        <f t="shared" si="67"/>
        <v>16.07</v>
      </c>
      <c r="H2250" s="930" t="s">
        <v>1306</v>
      </c>
      <c r="I2250" s="1227"/>
    </row>
    <row r="2251" spans="1:9" s="78" customFormat="1" ht="18" customHeight="1">
      <c r="A2251" s="75"/>
      <c r="B2251" s="63" t="s">
        <v>953</v>
      </c>
      <c r="C2251" s="70">
        <v>-0.5</v>
      </c>
      <c r="D2251" s="68">
        <v>1.2</v>
      </c>
      <c r="E2251" s="68"/>
      <c r="F2251" s="68">
        <v>2.1</v>
      </c>
      <c r="G2251" s="67">
        <f t="shared" si="67"/>
        <v>-1.26</v>
      </c>
      <c r="H2251" s="930" t="s">
        <v>1306</v>
      </c>
      <c r="I2251" s="1227"/>
    </row>
    <row r="2252" spans="1:9" s="78" customFormat="1" ht="18" customHeight="1">
      <c r="A2252" s="75"/>
      <c r="B2252" s="63" t="s">
        <v>956</v>
      </c>
      <c r="C2252" s="70">
        <v>-0.5</v>
      </c>
      <c r="D2252" s="68">
        <v>0.9</v>
      </c>
      <c r="E2252" s="68"/>
      <c r="F2252" s="68">
        <v>2</v>
      </c>
      <c r="G2252" s="67">
        <f t="shared" si="67"/>
        <v>-0.9</v>
      </c>
      <c r="H2252" s="930" t="s">
        <v>1306</v>
      </c>
      <c r="I2252" s="1227"/>
    </row>
    <row r="2253" spans="1:9" s="78" customFormat="1" ht="18" customHeight="1">
      <c r="A2253" s="75"/>
      <c r="B2253" s="63" t="s">
        <v>957</v>
      </c>
      <c r="C2253" s="70">
        <v>2</v>
      </c>
      <c r="D2253" s="567">
        <v>1.1000000000000001</v>
      </c>
      <c r="E2253" s="68"/>
      <c r="F2253" s="68">
        <v>2.7</v>
      </c>
      <c r="G2253" s="67">
        <f t="shared" si="67"/>
        <v>5.94</v>
      </c>
      <c r="H2253" s="930" t="s">
        <v>1306</v>
      </c>
      <c r="I2253" s="1227"/>
    </row>
    <row r="2254" spans="1:9" s="78" customFormat="1" ht="18" customHeight="1">
      <c r="A2254" s="75"/>
      <c r="B2254" s="63"/>
      <c r="C2254" s="70">
        <v>2</v>
      </c>
      <c r="D2254" s="567">
        <v>1.603</v>
      </c>
      <c r="E2254" s="68"/>
      <c r="F2254" s="68">
        <v>2.7</v>
      </c>
      <c r="G2254" s="67">
        <f t="shared" si="67"/>
        <v>8.66</v>
      </c>
      <c r="H2254" s="930" t="s">
        <v>1306</v>
      </c>
      <c r="I2254" s="1227"/>
    </row>
    <row r="2255" spans="1:9" s="456" customFormat="1" ht="18" customHeight="1">
      <c r="A2255" s="454"/>
      <c r="B2255" s="582" t="s">
        <v>1114</v>
      </c>
      <c r="C2255" s="455"/>
      <c r="D2255" s="452"/>
      <c r="E2255" s="452"/>
      <c r="F2255" s="452"/>
      <c r="G2255" s="67" t="str">
        <f t="shared" si="67"/>
        <v xml:space="preserve"> </v>
      </c>
      <c r="H2255" s="943" t="s">
        <v>1306</v>
      </c>
      <c r="I2255" s="1240"/>
    </row>
    <row r="2256" spans="1:9" s="456" customFormat="1" ht="18" customHeight="1">
      <c r="A2256" s="679"/>
      <c r="B2256" s="625" t="s">
        <v>960</v>
      </c>
      <c r="C2256" s="680">
        <v>1</v>
      </c>
      <c r="D2256" s="452">
        <v>6.5659999999999998</v>
      </c>
      <c r="E2256" s="452"/>
      <c r="F2256" s="452">
        <v>2.7</v>
      </c>
      <c r="G2256" s="67">
        <f t="shared" si="67"/>
        <v>17.73</v>
      </c>
      <c r="H2256" s="943" t="s">
        <v>1306</v>
      </c>
      <c r="I2256" s="1240"/>
    </row>
    <row r="2257" spans="1:9" s="456" customFormat="1" ht="18" customHeight="1">
      <c r="A2257" s="454"/>
      <c r="B2257" s="625"/>
      <c r="C2257" s="680">
        <v>1</v>
      </c>
      <c r="D2257" s="681">
        <v>6.5659999999999998</v>
      </c>
      <c r="E2257" s="681"/>
      <c r="F2257" s="681">
        <v>0.3</v>
      </c>
      <c r="G2257" s="67">
        <f t="shared" si="67"/>
        <v>1.97</v>
      </c>
      <c r="H2257" s="951" t="s">
        <v>1306</v>
      </c>
      <c r="I2257" s="1240"/>
    </row>
    <row r="2258" spans="1:9" s="456" customFormat="1" ht="18" customHeight="1">
      <c r="A2258" s="679"/>
      <c r="B2258" s="625" t="s">
        <v>961</v>
      </c>
      <c r="C2258" s="680">
        <v>1</v>
      </c>
      <c r="D2258" s="452">
        <v>4.3449999999999998</v>
      </c>
      <c r="E2258" s="452"/>
      <c r="F2258" s="452">
        <v>2.7</v>
      </c>
      <c r="G2258" s="67">
        <f t="shared" si="67"/>
        <v>11.73</v>
      </c>
      <c r="H2258" s="943" t="s">
        <v>1306</v>
      </c>
      <c r="I2258" s="1240"/>
    </row>
    <row r="2259" spans="1:9" s="456" customFormat="1" ht="18" customHeight="1">
      <c r="A2259" s="454"/>
      <c r="B2259" s="625"/>
      <c r="C2259" s="680">
        <v>1</v>
      </c>
      <c r="D2259" s="681">
        <v>4.3449999999999998</v>
      </c>
      <c r="E2259" s="681"/>
      <c r="F2259" s="681">
        <v>0.3</v>
      </c>
      <c r="G2259" s="67">
        <f t="shared" si="67"/>
        <v>1.3</v>
      </c>
      <c r="H2259" s="951" t="s">
        <v>1306</v>
      </c>
      <c r="I2259" s="1240"/>
    </row>
    <row r="2260" spans="1:9" s="456" customFormat="1" ht="18" customHeight="1">
      <c r="A2260" s="454"/>
      <c r="B2260" s="625" t="s">
        <v>962</v>
      </c>
      <c r="C2260" s="455">
        <v>2</v>
      </c>
      <c r="D2260" s="452">
        <v>9.7230000000000008</v>
      </c>
      <c r="E2260" s="452"/>
      <c r="F2260" s="681">
        <v>0.3</v>
      </c>
      <c r="G2260" s="67">
        <f t="shared" si="67"/>
        <v>5.83</v>
      </c>
      <c r="H2260" s="943" t="s">
        <v>1306</v>
      </c>
      <c r="I2260" s="1240"/>
    </row>
    <row r="2261" spans="1:9" s="456" customFormat="1" ht="18" customHeight="1">
      <c r="A2261" s="454"/>
      <c r="B2261" s="625" t="s">
        <v>965</v>
      </c>
      <c r="C2261" s="455">
        <v>1</v>
      </c>
      <c r="D2261" s="452">
        <v>9.7230000000000008</v>
      </c>
      <c r="E2261" s="452"/>
      <c r="F2261" s="681">
        <v>0.3</v>
      </c>
      <c r="G2261" s="67">
        <f t="shared" si="67"/>
        <v>2.92</v>
      </c>
      <c r="H2261" s="943" t="s">
        <v>1306</v>
      </c>
      <c r="I2261" s="1240"/>
    </row>
    <row r="2262" spans="1:9" s="456" customFormat="1" ht="18" customHeight="1">
      <c r="A2262" s="454"/>
      <c r="B2262" s="625" t="s">
        <v>967</v>
      </c>
      <c r="C2262" s="455">
        <v>1</v>
      </c>
      <c r="D2262" s="452">
        <v>8.6170000000000009</v>
      </c>
      <c r="E2262" s="452"/>
      <c r="F2262" s="681">
        <v>0.3</v>
      </c>
      <c r="G2262" s="67">
        <f t="shared" si="67"/>
        <v>2.59</v>
      </c>
      <c r="H2262" s="943" t="s">
        <v>1306</v>
      </c>
      <c r="I2262" s="1240"/>
    </row>
    <row r="2263" spans="1:9" s="456" customFormat="1" ht="18" customHeight="1">
      <c r="A2263" s="454"/>
      <c r="B2263" s="625" t="s">
        <v>968</v>
      </c>
      <c r="C2263" s="455">
        <v>1</v>
      </c>
      <c r="D2263" s="452">
        <v>4.9870000000000001</v>
      </c>
      <c r="E2263" s="452"/>
      <c r="F2263" s="452">
        <v>0.3</v>
      </c>
      <c r="G2263" s="67">
        <f t="shared" si="67"/>
        <v>1.5</v>
      </c>
      <c r="H2263" s="943" t="s">
        <v>1306</v>
      </c>
      <c r="I2263" s="1240"/>
    </row>
    <row r="2264" spans="1:9" s="456" customFormat="1" ht="18" customHeight="1">
      <c r="A2264" s="454"/>
      <c r="B2264" s="625" t="s">
        <v>970</v>
      </c>
      <c r="C2264" s="455">
        <v>1</v>
      </c>
      <c r="D2264" s="452">
        <v>4.9870000000000001</v>
      </c>
      <c r="E2264" s="452"/>
      <c r="F2264" s="452">
        <v>0.3</v>
      </c>
      <c r="G2264" s="67">
        <f t="shared" si="67"/>
        <v>1.5</v>
      </c>
      <c r="H2264" s="943" t="s">
        <v>1306</v>
      </c>
      <c r="I2264" s="1240"/>
    </row>
    <row r="2265" spans="1:9" s="456" customFormat="1" ht="18" customHeight="1">
      <c r="A2265" s="454"/>
      <c r="B2265" s="625" t="s">
        <v>2143</v>
      </c>
      <c r="C2265" s="455">
        <v>1</v>
      </c>
      <c r="D2265" s="452">
        <f>1.875+2.725</f>
        <v>4.5999999999999996</v>
      </c>
      <c r="E2265" s="452"/>
      <c r="F2265" s="452">
        <v>2.7</v>
      </c>
      <c r="G2265" s="67">
        <f t="shared" si="67"/>
        <v>12.42</v>
      </c>
      <c r="H2265" s="943" t="s">
        <v>1306</v>
      </c>
      <c r="I2265" s="1240"/>
    </row>
    <row r="2266" spans="1:9" s="456" customFormat="1" ht="18" customHeight="1">
      <c r="A2266" s="454"/>
      <c r="B2266" s="625"/>
      <c r="C2266" s="455">
        <v>1</v>
      </c>
      <c r="D2266" s="452">
        <f>1.875+2.725</f>
        <v>4.5999999999999996</v>
      </c>
      <c r="E2266" s="452"/>
      <c r="F2266" s="681">
        <v>0.3</v>
      </c>
      <c r="G2266" s="67">
        <f t="shared" si="67"/>
        <v>1.38</v>
      </c>
      <c r="H2266" s="943" t="s">
        <v>1306</v>
      </c>
      <c r="I2266" s="1240"/>
    </row>
    <row r="2267" spans="1:9" s="456" customFormat="1" ht="18" customHeight="1">
      <c r="A2267" s="454"/>
      <c r="B2267" s="625" t="s">
        <v>2144</v>
      </c>
      <c r="C2267" s="455">
        <v>1</v>
      </c>
      <c r="D2267" s="452">
        <v>2.3620000000000001</v>
      </c>
      <c r="E2267" s="452"/>
      <c r="F2267" s="681">
        <v>0.3</v>
      </c>
      <c r="G2267" s="67">
        <f t="shared" si="67"/>
        <v>0.71</v>
      </c>
      <c r="H2267" s="943" t="s">
        <v>1306</v>
      </c>
      <c r="I2267" s="1240"/>
    </row>
    <row r="2268" spans="1:9" s="456" customFormat="1" ht="18" customHeight="1">
      <c r="A2268" s="454"/>
      <c r="B2268" s="625"/>
      <c r="C2268" s="455"/>
      <c r="D2268" s="452"/>
      <c r="E2268" s="452"/>
      <c r="F2268" s="452"/>
      <c r="G2268" s="67" t="str">
        <f t="shared" si="67"/>
        <v xml:space="preserve"> </v>
      </c>
      <c r="H2268" s="943" t="s">
        <v>1306</v>
      </c>
      <c r="I2268" s="1240"/>
    </row>
    <row r="2269" spans="1:9" s="78" customFormat="1" ht="18" customHeight="1">
      <c r="A2269" s="75"/>
      <c r="B2269" s="63"/>
      <c r="C2269" s="70"/>
      <c r="D2269" s="68"/>
      <c r="E2269" s="68"/>
      <c r="F2269" s="68"/>
      <c r="G2269" s="67" t="str">
        <f t="shared" si="67"/>
        <v xml:space="preserve"> </v>
      </c>
      <c r="H2269" s="930" t="s">
        <v>1306</v>
      </c>
      <c r="I2269" s="1227"/>
    </row>
    <row r="2270" spans="1:9" s="78" customFormat="1" ht="18" customHeight="1">
      <c r="A2270" s="75"/>
      <c r="B2270" s="387" t="s">
        <v>938</v>
      </c>
      <c r="C2270" s="70"/>
      <c r="D2270" s="68"/>
      <c r="E2270" s="68"/>
      <c r="F2270" s="68"/>
      <c r="G2270" s="67" t="str">
        <f t="shared" si="67"/>
        <v xml:space="preserve"> </v>
      </c>
      <c r="H2270" s="930" t="s">
        <v>1306</v>
      </c>
      <c r="I2270" s="1227"/>
    </row>
    <row r="2271" spans="1:9" ht="18" customHeight="1">
      <c r="A2271" s="75"/>
      <c r="B2271" s="607" t="s">
        <v>1180</v>
      </c>
      <c r="C2271" s="70"/>
      <c r="D2271" s="68"/>
      <c r="E2271" s="68"/>
      <c r="F2271" s="68"/>
      <c r="G2271" s="67" t="str">
        <f t="shared" si="67"/>
        <v xml:space="preserve"> </v>
      </c>
      <c r="H2271" s="930" t="s">
        <v>1306</v>
      </c>
    </row>
    <row r="2272" spans="1:9" ht="18" customHeight="1">
      <c r="A2272" s="75"/>
      <c r="B2272" s="406" t="s">
        <v>940</v>
      </c>
      <c r="C2272" s="70">
        <v>1</v>
      </c>
      <c r="D2272" s="68">
        <v>3.194</v>
      </c>
      <c r="E2272" s="68"/>
      <c r="F2272" s="68">
        <v>4.5</v>
      </c>
      <c r="G2272" s="67">
        <f t="shared" si="67"/>
        <v>14.37</v>
      </c>
      <c r="H2272" s="930" t="s">
        <v>1306</v>
      </c>
    </row>
    <row r="2273" spans="1:11" ht="18" customHeight="1">
      <c r="A2273" s="75"/>
      <c r="B2273" s="406" t="s">
        <v>941</v>
      </c>
      <c r="C2273" s="70">
        <v>-0.5</v>
      </c>
      <c r="D2273" s="68">
        <v>1</v>
      </c>
      <c r="E2273" s="68"/>
      <c r="F2273" s="68">
        <v>1.8</v>
      </c>
      <c r="G2273" s="67">
        <f t="shared" si="67"/>
        <v>-0.9</v>
      </c>
      <c r="H2273" s="930" t="s">
        <v>1306</v>
      </c>
    </row>
    <row r="2274" spans="1:11" ht="18" customHeight="1">
      <c r="A2274" s="75"/>
      <c r="B2274" s="406" t="s">
        <v>1596</v>
      </c>
      <c r="C2274" s="70">
        <v>1</v>
      </c>
      <c r="D2274" s="68">
        <v>4.4089999999999998</v>
      </c>
      <c r="E2274" s="68"/>
      <c r="F2274" s="68">
        <v>4.5</v>
      </c>
      <c r="G2274" s="67">
        <f t="shared" si="67"/>
        <v>19.84</v>
      </c>
      <c r="H2274" s="930" t="s">
        <v>1306</v>
      </c>
    </row>
    <row r="2275" spans="1:11" ht="18" customHeight="1">
      <c r="A2275" s="75"/>
      <c r="B2275" s="63" t="s">
        <v>942</v>
      </c>
      <c r="C2275" s="70">
        <v>1</v>
      </c>
      <c r="D2275" s="68">
        <f>6.45+6.4+6.4+3.25+0.1-0.1</f>
        <v>22.5</v>
      </c>
      <c r="E2275" s="68"/>
      <c r="F2275" s="68">
        <v>4.5</v>
      </c>
      <c r="G2275" s="67">
        <f t="shared" si="67"/>
        <v>101.25</v>
      </c>
      <c r="H2275" s="930" t="s">
        <v>1306</v>
      </c>
    </row>
    <row r="2276" spans="1:11" ht="18" customHeight="1">
      <c r="A2276" s="75"/>
      <c r="B2276" s="409" t="s">
        <v>943</v>
      </c>
      <c r="C2276" s="70">
        <v>-3.5</v>
      </c>
      <c r="D2276" s="68">
        <v>1</v>
      </c>
      <c r="E2276" s="68"/>
      <c r="F2276" s="68">
        <v>1.8</v>
      </c>
      <c r="G2276" s="67">
        <f t="shared" si="67"/>
        <v>-6.3</v>
      </c>
      <c r="H2276" s="930" t="s">
        <v>1306</v>
      </c>
    </row>
    <row r="2277" spans="1:11" ht="18" customHeight="1">
      <c r="A2277" s="75"/>
      <c r="B2277" s="63" t="s">
        <v>1913</v>
      </c>
      <c r="C2277" s="70">
        <v>2</v>
      </c>
      <c r="D2277" s="68">
        <v>4.218</v>
      </c>
      <c r="E2277" s="68"/>
      <c r="F2277" s="68">
        <v>2.7</v>
      </c>
      <c r="G2277" s="67">
        <f t="shared" si="67"/>
        <v>22.78</v>
      </c>
      <c r="H2277" s="930" t="s">
        <v>1306</v>
      </c>
    </row>
    <row r="2278" spans="1:11" ht="18" customHeight="1">
      <c r="A2278" s="75"/>
      <c r="B2278" s="63" t="s">
        <v>945</v>
      </c>
      <c r="C2278" s="70">
        <v>1</v>
      </c>
      <c r="D2278" s="68">
        <v>3.1840000000000002</v>
      </c>
      <c r="E2278" s="68"/>
      <c r="F2278" s="68">
        <v>3.2</v>
      </c>
      <c r="G2278" s="67">
        <f t="shared" si="67"/>
        <v>10.19</v>
      </c>
      <c r="H2278" s="930" t="s">
        <v>1306</v>
      </c>
    </row>
    <row r="2279" spans="1:11" ht="18" customHeight="1">
      <c r="A2279" s="75"/>
      <c r="B2279" s="63" t="s">
        <v>946</v>
      </c>
      <c r="C2279" s="70">
        <v>-1</v>
      </c>
      <c r="D2279" s="68">
        <v>2.85</v>
      </c>
      <c r="E2279" s="68"/>
      <c r="F2279" s="68">
        <v>1.2</v>
      </c>
      <c r="G2279" s="67">
        <f t="shared" si="67"/>
        <v>-3.42</v>
      </c>
      <c r="H2279" s="930" t="s">
        <v>1306</v>
      </c>
    </row>
    <row r="2280" spans="1:11" ht="18" customHeight="1">
      <c r="A2280" s="75"/>
      <c r="B2280" s="63" t="s">
        <v>947</v>
      </c>
      <c r="C2280" s="70">
        <v>1</v>
      </c>
      <c r="D2280" s="567">
        <v>12.573</v>
      </c>
      <c r="E2280" s="68"/>
      <c r="F2280" s="68">
        <v>3.2</v>
      </c>
      <c r="G2280" s="67">
        <f t="shared" si="67"/>
        <v>40.229999999999997</v>
      </c>
      <c r="H2280" s="930" t="s">
        <v>1306</v>
      </c>
    </row>
    <row r="2281" spans="1:11" ht="18" customHeight="1">
      <c r="A2281" s="75"/>
      <c r="B2281" s="63" t="s">
        <v>948</v>
      </c>
      <c r="C2281" s="70">
        <v>-2</v>
      </c>
      <c r="D2281" s="68">
        <v>1</v>
      </c>
      <c r="E2281" s="68"/>
      <c r="F2281" s="68">
        <v>1.8</v>
      </c>
      <c r="G2281" s="67">
        <f t="shared" si="67"/>
        <v>-3.6</v>
      </c>
      <c r="H2281" s="930" t="s">
        <v>1306</v>
      </c>
    </row>
    <row r="2282" spans="1:11" ht="18" customHeight="1">
      <c r="A2282" s="75"/>
      <c r="B2282" s="63" t="s">
        <v>949</v>
      </c>
      <c r="C2282" s="70">
        <v>-0.5</v>
      </c>
      <c r="D2282" s="68">
        <v>1</v>
      </c>
      <c r="E2282" s="68"/>
      <c r="F2282" s="68">
        <v>1.8</v>
      </c>
      <c r="G2282" s="67">
        <f t="shared" si="67"/>
        <v>-0.9</v>
      </c>
      <c r="H2282" s="930" t="s">
        <v>1306</v>
      </c>
    </row>
    <row r="2283" spans="1:11" ht="18" customHeight="1">
      <c r="A2283" s="75"/>
      <c r="B2283" s="63" t="s">
        <v>1914</v>
      </c>
      <c r="C2283" s="70">
        <v>2</v>
      </c>
      <c r="D2283" s="68">
        <v>4.218</v>
      </c>
      <c r="E2283" s="68"/>
      <c r="F2283" s="68">
        <v>3.37</v>
      </c>
      <c r="G2283" s="67">
        <f t="shared" si="67"/>
        <v>28.43</v>
      </c>
      <c r="H2283" s="930" t="s">
        <v>1306</v>
      </c>
    </row>
    <row r="2284" spans="1:11" ht="18" customHeight="1">
      <c r="A2284" s="75"/>
      <c r="B2284" s="63" t="s">
        <v>1915</v>
      </c>
      <c r="C2284" s="410">
        <v>1</v>
      </c>
      <c r="D2284" s="68">
        <v>4.218</v>
      </c>
      <c r="E2284" s="68"/>
      <c r="F2284" s="68">
        <v>3.37</v>
      </c>
      <c r="G2284" s="67">
        <f t="shared" si="67"/>
        <v>14.21</v>
      </c>
      <c r="H2284" s="930" t="s">
        <v>1306</v>
      </c>
    </row>
    <row r="2285" spans="1:11" ht="18" customHeight="1">
      <c r="A2285" s="75"/>
      <c r="B2285" s="63"/>
      <c r="C2285" s="410">
        <v>1</v>
      </c>
      <c r="D2285" s="352">
        <v>4.218</v>
      </c>
      <c r="E2285" s="352"/>
      <c r="F2285" s="352">
        <f>3.37-2.4</f>
        <v>0.9700000000000002</v>
      </c>
      <c r="G2285" s="67">
        <f t="shared" si="67"/>
        <v>4.09</v>
      </c>
      <c r="H2285" s="950" t="s">
        <v>1306</v>
      </c>
      <c r="I2285" s="1239"/>
      <c r="J2285" s="355"/>
    </row>
    <row r="2286" spans="1:11" ht="18" customHeight="1">
      <c r="A2286" s="75"/>
      <c r="B2286" s="63" t="s">
        <v>1916</v>
      </c>
      <c r="C2286" s="70">
        <v>1</v>
      </c>
      <c r="D2286" s="567">
        <v>3.45</v>
      </c>
      <c r="E2286" s="68"/>
      <c r="F2286" s="68">
        <v>3.5</v>
      </c>
      <c r="G2286" s="67">
        <f t="shared" si="67"/>
        <v>12.08</v>
      </c>
      <c r="H2286" s="930" t="s">
        <v>1306</v>
      </c>
    </row>
    <row r="2287" spans="1:11" ht="18" customHeight="1">
      <c r="A2287" s="75"/>
      <c r="B2287" s="63"/>
      <c r="C2287" s="410">
        <f>0*1</f>
        <v>0</v>
      </c>
      <c r="D2287" s="677">
        <v>3.05</v>
      </c>
      <c r="E2287" s="352"/>
      <c r="F2287" s="352">
        <f>3.5-2.4</f>
        <v>1.1000000000000001</v>
      </c>
      <c r="G2287" s="67" t="str">
        <f t="shared" si="67"/>
        <v xml:space="preserve"> </v>
      </c>
      <c r="H2287" s="950" t="s">
        <v>1306</v>
      </c>
      <c r="I2287" s="1239"/>
      <c r="J2287" s="355"/>
      <c r="K2287" s="355"/>
    </row>
    <row r="2288" spans="1:11" ht="18" customHeight="1">
      <c r="A2288" s="75"/>
      <c r="B2288" s="63" t="s">
        <v>1917</v>
      </c>
      <c r="C2288" s="410">
        <v>1</v>
      </c>
      <c r="D2288" s="68">
        <v>4.22</v>
      </c>
      <c r="E2288" s="68"/>
      <c r="F2288" s="68">
        <v>3.37</v>
      </c>
      <c r="G2288" s="67">
        <f t="shared" si="67"/>
        <v>14.22</v>
      </c>
      <c r="H2288" s="930" t="s">
        <v>1306</v>
      </c>
    </row>
    <row r="2289" spans="1:9" s="674" customFormat="1" ht="18" customHeight="1">
      <c r="A2289" s="75"/>
      <c r="B2289" s="64" t="s">
        <v>1917</v>
      </c>
      <c r="C2289" s="410">
        <v>1</v>
      </c>
      <c r="D2289" s="352">
        <v>4.22</v>
      </c>
      <c r="E2289" s="352"/>
      <c r="F2289" s="352">
        <f>3.37-2.4</f>
        <v>0.9700000000000002</v>
      </c>
      <c r="G2289" s="67">
        <f t="shared" si="67"/>
        <v>4.09</v>
      </c>
      <c r="H2289" s="950" t="s">
        <v>1306</v>
      </c>
      <c r="I2289" s="1246"/>
    </row>
    <row r="2290" spans="1:9" ht="18" customHeight="1">
      <c r="A2290" s="75"/>
      <c r="B2290" s="63" t="s">
        <v>1918</v>
      </c>
      <c r="C2290" s="70">
        <v>2</v>
      </c>
      <c r="D2290" s="68">
        <v>2.91</v>
      </c>
      <c r="E2290" s="68"/>
      <c r="F2290" s="352">
        <f>3.37-2.4</f>
        <v>0.9700000000000002</v>
      </c>
      <c r="G2290" s="67">
        <f t="shared" si="67"/>
        <v>5.65</v>
      </c>
      <c r="H2290" s="930" t="s">
        <v>1306</v>
      </c>
    </row>
    <row r="2291" spans="1:9" ht="18" customHeight="1">
      <c r="A2291" s="75"/>
      <c r="B2291" s="63" t="s">
        <v>1919</v>
      </c>
      <c r="C2291" s="410">
        <v>1</v>
      </c>
      <c r="D2291" s="68">
        <v>3.3</v>
      </c>
      <c r="E2291" s="68"/>
      <c r="F2291" s="68">
        <v>3.37</v>
      </c>
      <c r="G2291" s="67">
        <f t="shared" si="67"/>
        <v>11.12</v>
      </c>
      <c r="H2291" s="930" t="s">
        <v>1306</v>
      </c>
    </row>
    <row r="2292" spans="1:9" ht="18" customHeight="1">
      <c r="A2292" s="75"/>
      <c r="B2292" s="63"/>
      <c r="C2292" s="410">
        <v>1</v>
      </c>
      <c r="D2292" s="68">
        <v>3.3</v>
      </c>
      <c r="E2292" s="68"/>
      <c r="F2292" s="352">
        <f>3.37-2.4</f>
        <v>0.9700000000000002</v>
      </c>
      <c r="G2292" s="67">
        <f t="shared" si="67"/>
        <v>3.2</v>
      </c>
      <c r="H2292" s="930" t="s">
        <v>1306</v>
      </c>
    </row>
    <row r="2293" spans="1:9" ht="18" customHeight="1">
      <c r="A2293" s="75"/>
      <c r="B2293" s="63"/>
      <c r="C2293" s="410">
        <v>1</v>
      </c>
      <c r="D2293" s="68">
        <v>1.5</v>
      </c>
      <c r="E2293" s="68"/>
      <c r="F2293" s="68">
        <v>3.37</v>
      </c>
      <c r="G2293" s="67">
        <f t="shared" si="67"/>
        <v>5.0599999999999996</v>
      </c>
      <c r="H2293" s="930" t="s">
        <v>1306</v>
      </c>
    </row>
    <row r="2294" spans="1:9" ht="18" customHeight="1">
      <c r="A2294" s="75"/>
      <c r="B2294" s="63"/>
      <c r="C2294" s="410">
        <v>1</v>
      </c>
      <c r="D2294" s="68">
        <v>1.5</v>
      </c>
      <c r="E2294" s="68"/>
      <c r="F2294" s="352">
        <f>3.37-2.4</f>
        <v>0.9700000000000002</v>
      </c>
      <c r="G2294" s="67">
        <f t="shared" si="67"/>
        <v>1.46</v>
      </c>
      <c r="H2294" s="930" t="s">
        <v>1306</v>
      </c>
    </row>
    <row r="2295" spans="1:9" ht="18" customHeight="1">
      <c r="A2295" s="75"/>
      <c r="B2295" s="63" t="s">
        <v>950</v>
      </c>
      <c r="C2295" s="70">
        <v>1</v>
      </c>
      <c r="D2295" s="68">
        <v>3.1</v>
      </c>
      <c r="E2295" s="68"/>
      <c r="F2295" s="68">
        <v>4.5</v>
      </c>
      <c r="G2295" s="67">
        <f t="shared" si="67"/>
        <v>13.95</v>
      </c>
      <c r="H2295" s="930" t="s">
        <v>1306</v>
      </c>
    </row>
    <row r="2296" spans="1:9" ht="18" customHeight="1">
      <c r="A2296" s="75"/>
      <c r="B2296" s="63" t="s">
        <v>951</v>
      </c>
      <c r="C2296" s="70">
        <v>-0.5</v>
      </c>
      <c r="D2296" s="68">
        <v>1</v>
      </c>
      <c r="E2296" s="68"/>
      <c r="F2296" s="68">
        <v>1.8</v>
      </c>
      <c r="G2296" s="67">
        <f t="shared" si="67"/>
        <v>-0.9</v>
      </c>
      <c r="H2296" s="930" t="s">
        <v>1306</v>
      </c>
    </row>
    <row r="2297" spans="1:9" ht="18" customHeight="1">
      <c r="A2297" s="75"/>
      <c r="B2297" s="63" t="s">
        <v>2032</v>
      </c>
      <c r="C2297" s="70">
        <v>1</v>
      </c>
      <c r="D2297" s="567">
        <v>2.1230000000000002</v>
      </c>
      <c r="E2297" s="68"/>
      <c r="F2297" s="68">
        <v>3.2</v>
      </c>
      <c r="G2297" s="67">
        <f t="shared" si="67"/>
        <v>6.79</v>
      </c>
      <c r="H2297" s="930" t="s">
        <v>1306</v>
      </c>
    </row>
    <row r="2298" spans="1:9" ht="18" customHeight="1">
      <c r="A2298" s="75"/>
      <c r="B2298" s="63" t="s">
        <v>2014</v>
      </c>
      <c r="C2298" s="70">
        <v>2</v>
      </c>
      <c r="D2298" s="68">
        <v>4.5999999999999996</v>
      </c>
      <c r="E2298" s="68"/>
      <c r="F2298" s="68">
        <v>3.2</v>
      </c>
      <c r="G2298" s="67">
        <f t="shared" si="67"/>
        <v>29.44</v>
      </c>
      <c r="H2298" s="930" t="s">
        <v>1306</v>
      </c>
    </row>
    <row r="2299" spans="1:9" ht="18" customHeight="1">
      <c r="A2299" s="75"/>
      <c r="B2299" s="63" t="s">
        <v>954</v>
      </c>
      <c r="C2299" s="70"/>
      <c r="D2299" s="68"/>
      <c r="E2299" s="68"/>
      <c r="F2299" s="68"/>
      <c r="G2299" s="67" t="str">
        <f t="shared" si="67"/>
        <v xml:space="preserve"> </v>
      </c>
      <c r="H2299" s="930" t="s">
        <v>1306</v>
      </c>
    </row>
    <row r="2300" spans="1:9" ht="18" customHeight="1">
      <c r="A2300" s="75"/>
      <c r="B2300" s="63" t="s">
        <v>955</v>
      </c>
      <c r="C2300" s="70">
        <v>2</v>
      </c>
      <c r="D2300" s="68">
        <f>3.175-0.2</f>
        <v>2.9749999999999996</v>
      </c>
      <c r="E2300" s="68"/>
      <c r="F2300" s="68">
        <v>3.37</v>
      </c>
      <c r="G2300" s="67">
        <f t="shared" si="67"/>
        <v>20.05</v>
      </c>
      <c r="H2300" s="930" t="s">
        <v>1306</v>
      </c>
    </row>
    <row r="2301" spans="1:9" ht="18" customHeight="1">
      <c r="A2301" s="75"/>
      <c r="B2301" s="63" t="s">
        <v>953</v>
      </c>
      <c r="C2301" s="70">
        <v>-1</v>
      </c>
      <c r="D2301" s="68">
        <v>1.2</v>
      </c>
      <c r="E2301" s="68"/>
      <c r="F2301" s="68">
        <v>2.1</v>
      </c>
      <c r="G2301" s="67">
        <f t="shared" si="67"/>
        <v>-2.52</v>
      </c>
      <c r="H2301" s="930" t="s">
        <v>1306</v>
      </c>
    </row>
    <row r="2302" spans="1:9" ht="18" customHeight="1">
      <c r="A2302" s="75"/>
      <c r="B2302" s="63" t="s">
        <v>956</v>
      </c>
      <c r="C2302" s="70">
        <v>-1</v>
      </c>
      <c r="D2302" s="68">
        <v>0.9</v>
      </c>
      <c r="E2302" s="68"/>
      <c r="F2302" s="68">
        <v>2</v>
      </c>
      <c r="G2302" s="67">
        <f t="shared" si="67"/>
        <v>-1.8</v>
      </c>
      <c r="H2302" s="930" t="s">
        <v>1306</v>
      </c>
    </row>
    <row r="2303" spans="1:9" ht="18" customHeight="1">
      <c r="A2303" s="75"/>
      <c r="B2303" s="63" t="s">
        <v>957</v>
      </c>
      <c r="C2303" s="70">
        <v>2</v>
      </c>
      <c r="D2303" s="567">
        <v>1.1000000000000001</v>
      </c>
      <c r="E2303" s="68"/>
      <c r="F2303" s="68">
        <v>3.37</v>
      </c>
      <c r="G2303" s="67">
        <f t="shared" si="67"/>
        <v>7.41</v>
      </c>
      <c r="H2303" s="930" t="s">
        <v>1306</v>
      </c>
    </row>
    <row r="2304" spans="1:9" ht="18" customHeight="1">
      <c r="A2304" s="75"/>
      <c r="B2304" s="63"/>
      <c r="C2304" s="70">
        <v>2</v>
      </c>
      <c r="D2304" s="567">
        <v>1.603</v>
      </c>
      <c r="E2304" s="68"/>
      <c r="F2304" s="68">
        <v>3.37</v>
      </c>
      <c r="G2304" s="67">
        <f t="shared" ref="G2304:G2367" si="68">IF(C2304&lt;&gt;0,ROUND(PRODUCT(D2304:F2304)*C2304,2)," ")</f>
        <v>10.8</v>
      </c>
      <c r="H2304" s="930" t="s">
        <v>1306</v>
      </c>
    </row>
    <row r="2305" spans="1:9" s="623" customFormat="1" ht="18" customHeight="1">
      <c r="A2305" s="454"/>
      <c r="B2305" s="582" t="s">
        <v>959</v>
      </c>
      <c r="C2305" s="455"/>
      <c r="D2305" s="452"/>
      <c r="E2305" s="452"/>
      <c r="F2305" s="452"/>
      <c r="G2305" s="67" t="str">
        <f t="shared" si="68"/>
        <v xml:space="preserve"> </v>
      </c>
      <c r="H2305" s="943" t="s">
        <v>1306</v>
      </c>
      <c r="I2305" s="1234"/>
    </row>
    <row r="2306" spans="1:9" s="623" customFormat="1" ht="18" customHeight="1">
      <c r="A2306" s="454"/>
      <c r="B2306" s="625" t="s">
        <v>960</v>
      </c>
      <c r="C2306" s="680">
        <v>1</v>
      </c>
      <c r="D2306" s="567">
        <v>6.5659999999999998</v>
      </c>
      <c r="E2306" s="452"/>
      <c r="F2306" s="452">
        <v>3.2</v>
      </c>
      <c r="G2306" s="67">
        <f t="shared" si="68"/>
        <v>21.01</v>
      </c>
      <c r="H2306" s="943" t="s">
        <v>1306</v>
      </c>
      <c r="I2306" s="1234"/>
    </row>
    <row r="2307" spans="1:9" s="623" customFormat="1" ht="18" customHeight="1">
      <c r="A2307" s="454"/>
      <c r="B2307" s="625"/>
      <c r="C2307" s="680">
        <v>1</v>
      </c>
      <c r="D2307" s="677">
        <v>6.5659999999999998</v>
      </c>
      <c r="E2307" s="681"/>
      <c r="F2307" s="677">
        <f>3.2-2.4</f>
        <v>0.80000000000000027</v>
      </c>
      <c r="G2307" s="67">
        <f t="shared" si="68"/>
        <v>5.25</v>
      </c>
      <c r="H2307" s="951" t="s">
        <v>1306</v>
      </c>
      <c r="I2307" s="1245"/>
    </row>
    <row r="2308" spans="1:9" s="623" customFormat="1" ht="18" customHeight="1">
      <c r="A2308" s="454"/>
      <c r="B2308" s="625" t="s">
        <v>961</v>
      </c>
      <c r="C2308" s="680">
        <v>1</v>
      </c>
      <c r="D2308" s="452">
        <v>4.3449999999999998</v>
      </c>
      <c r="E2308" s="452"/>
      <c r="F2308" s="452">
        <v>3.2</v>
      </c>
      <c r="G2308" s="67">
        <f t="shared" si="68"/>
        <v>13.9</v>
      </c>
      <c r="H2308" s="943" t="s">
        <v>1306</v>
      </c>
      <c r="I2308" s="1234"/>
    </row>
    <row r="2309" spans="1:9" s="623" customFormat="1" ht="18" customHeight="1">
      <c r="A2309" s="454"/>
      <c r="B2309" s="625"/>
      <c r="C2309" s="680">
        <v>1</v>
      </c>
      <c r="D2309" s="452">
        <v>4.3449999999999998</v>
      </c>
      <c r="E2309" s="452"/>
      <c r="F2309" s="677">
        <f>3.2-2.4</f>
        <v>0.80000000000000027</v>
      </c>
      <c r="G2309" s="67">
        <f t="shared" si="68"/>
        <v>3.48</v>
      </c>
      <c r="H2309" s="943" t="s">
        <v>1306</v>
      </c>
      <c r="I2309" s="1234"/>
    </row>
    <row r="2310" spans="1:9" s="623" customFormat="1" ht="18" customHeight="1">
      <c r="A2310" s="454"/>
      <c r="B2310" s="625" t="s">
        <v>962</v>
      </c>
      <c r="C2310" s="455">
        <v>2</v>
      </c>
      <c r="D2310" s="567">
        <v>9.7230000000000008</v>
      </c>
      <c r="E2310" s="452"/>
      <c r="F2310" s="677">
        <f>3.2-2.4</f>
        <v>0.80000000000000027</v>
      </c>
      <c r="G2310" s="67">
        <f t="shared" si="68"/>
        <v>15.56</v>
      </c>
      <c r="H2310" s="943" t="s">
        <v>1306</v>
      </c>
      <c r="I2310" s="1234"/>
    </row>
    <row r="2311" spans="1:9" s="623" customFormat="1" ht="18" customHeight="1">
      <c r="A2311" s="454"/>
      <c r="B2311" s="625" t="s">
        <v>965</v>
      </c>
      <c r="C2311" s="455">
        <v>1</v>
      </c>
      <c r="D2311" s="567">
        <v>9.7230000000000008</v>
      </c>
      <c r="E2311" s="452"/>
      <c r="F2311" s="677">
        <f>3.2-2.4</f>
        <v>0.80000000000000027</v>
      </c>
      <c r="G2311" s="67">
        <f t="shared" si="68"/>
        <v>7.78</v>
      </c>
      <c r="H2311" s="943" t="s">
        <v>1306</v>
      </c>
      <c r="I2311" s="1234"/>
    </row>
    <row r="2312" spans="1:9" s="623" customFormat="1" ht="18" customHeight="1">
      <c r="A2312" s="454"/>
      <c r="B2312" s="625" t="s">
        <v>967</v>
      </c>
      <c r="C2312" s="455">
        <v>1</v>
      </c>
      <c r="D2312" s="452">
        <v>8.6170000000000009</v>
      </c>
      <c r="E2312" s="452"/>
      <c r="F2312" s="677">
        <f>3.2-2.4</f>
        <v>0.80000000000000027</v>
      </c>
      <c r="G2312" s="67">
        <f t="shared" si="68"/>
        <v>6.89</v>
      </c>
      <c r="H2312" s="943" t="s">
        <v>1306</v>
      </c>
      <c r="I2312" s="1234"/>
    </row>
    <row r="2313" spans="1:9" s="623" customFormat="1" ht="18" customHeight="1">
      <c r="A2313" s="454"/>
      <c r="B2313" s="625" t="s">
        <v>968</v>
      </c>
      <c r="C2313" s="455">
        <v>1</v>
      </c>
      <c r="D2313" s="567">
        <v>4.9870000000000001</v>
      </c>
      <c r="E2313" s="452"/>
      <c r="F2313" s="567">
        <v>0.8</v>
      </c>
      <c r="G2313" s="67">
        <f t="shared" si="68"/>
        <v>3.99</v>
      </c>
      <c r="H2313" s="943" t="s">
        <v>1306</v>
      </c>
      <c r="I2313" s="1234"/>
    </row>
    <row r="2314" spans="1:9" s="623" customFormat="1" ht="18" customHeight="1">
      <c r="A2314" s="454"/>
      <c r="B2314" s="625" t="s">
        <v>970</v>
      </c>
      <c r="C2314" s="455">
        <v>1</v>
      </c>
      <c r="D2314" s="567">
        <v>4.9870000000000001</v>
      </c>
      <c r="E2314" s="452"/>
      <c r="F2314" s="567">
        <v>0.8</v>
      </c>
      <c r="G2314" s="67">
        <f t="shared" si="68"/>
        <v>3.99</v>
      </c>
      <c r="H2314" s="943" t="s">
        <v>1306</v>
      </c>
      <c r="I2314" s="1234"/>
    </row>
    <row r="2315" spans="1:9" s="623" customFormat="1" ht="18" customHeight="1">
      <c r="A2315" s="454"/>
      <c r="B2315" s="625" t="s">
        <v>2143</v>
      </c>
      <c r="C2315" s="455">
        <v>1</v>
      </c>
      <c r="D2315" s="452">
        <f>1.875+2.725</f>
        <v>4.5999999999999996</v>
      </c>
      <c r="E2315" s="452"/>
      <c r="F2315" s="452">
        <v>3.2</v>
      </c>
      <c r="G2315" s="67">
        <f t="shared" si="68"/>
        <v>14.72</v>
      </c>
      <c r="H2315" s="943" t="s">
        <v>1306</v>
      </c>
      <c r="I2315" s="1234"/>
    </row>
    <row r="2316" spans="1:9" s="623" customFormat="1" ht="18" customHeight="1">
      <c r="A2316" s="454"/>
      <c r="B2316" s="625"/>
      <c r="C2316" s="455">
        <v>1</v>
      </c>
      <c r="D2316" s="452">
        <f>1.875+2.725</f>
        <v>4.5999999999999996</v>
      </c>
      <c r="E2316" s="452"/>
      <c r="F2316" s="677">
        <f>3.2-2.4</f>
        <v>0.80000000000000027</v>
      </c>
      <c r="G2316" s="67">
        <f t="shared" si="68"/>
        <v>3.68</v>
      </c>
      <c r="H2316" s="943" t="s">
        <v>1306</v>
      </c>
      <c r="I2316" s="1234"/>
    </row>
    <row r="2317" spans="1:9" s="623" customFormat="1" ht="18" customHeight="1">
      <c r="A2317" s="454"/>
      <c r="B2317" s="625" t="s">
        <v>2144</v>
      </c>
      <c r="C2317" s="455">
        <v>1</v>
      </c>
      <c r="D2317" s="567">
        <v>2.3620000000000001</v>
      </c>
      <c r="E2317" s="452"/>
      <c r="F2317" s="677">
        <f>3.2-2.4</f>
        <v>0.80000000000000027</v>
      </c>
      <c r="G2317" s="67">
        <f t="shared" si="68"/>
        <v>1.89</v>
      </c>
      <c r="H2317" s="943" t="s">
        <v>1306</v>
      </c>
      <c r="I2317" s="1234"/>
    </row>
    <row r="2318" spans="1:9" ht="18" customHeight="1">
      <c r="A2318" s="75"/>
      <c r="B2318" s="64" t="s">
        <v>1106</v>
      </c>
      <c r="C2318" s="70"/>
      <c r="D2318" s="68"/>
      <c r="E2318" s="68"/>
      <c r="F2318" s="68"/>
      <c r="G2318" s="67" t="str">
        <f t="shared" si="68"/>
        <v xml:space="preserve"> </v>
      </c>
      <c r="H2318" s="930" t="s">
        <v>1306</v>
      </c>
    </row>
    <row r="2319" spans="1:9" ht="18" customHeight="1">
      <c r="A2319" s="75"/>
      <c r="B2319" s="406" t="s">
        <v>1049</v>
      </c>
      <c r="C2319" s="70">
        <v>1</v>
      </c>
      <c r="D2319" s="567">
        <v>10.275</v>
      </c>
      <c r="E2319" s="68"/>
      <c r="F2319" s="68">
        <v>4.5</v>
      </c>
      <c r="G2319" s="67">
        <f t="shared" si="68"/>
        <v>46.24</v>
      </c>
      <c r="H2319" s="930" t="s">
        <v>1306</v>
      </c>
    </row>
    <row r="2320" spans="1:9" ht="18" customHeight="1">
      <c r="A2320" s="75"/>
      <c r="B2320" s="406" t="s">
        <v>941</v>
      </c>
      <c r="C2320" s="70">
        <v>-1.5</v>
      </c>
      <c r="D2320" s="68">
        <v>1</v>
      </c>
      <c r="E2320" s="68"/>
      <c r="F2320" s="68">
        <v>1.8</v>
      </c>
      <c r="G2320" s="67">
        <f t="shared" si="68"/>
        <v>-2.7</v>
      </c>
      <c r="H2320" s="930" t="s">
        <v>1306</v>
      </c>
    </row>
    <row r="2321" spans="1:8" ht="18" customHeight="1">
      <c r="A2321" s="75"/>
      <c r="B2321" s="406" t="s">
        <v>1092</v>
      </c>
      <c r="C2321" s="70">
        <v>-1</v>
      </c>
      <c r="D2321" s="68">
        <v>1.85</v>
      </c>
      <c r="E2321" s="68"/>
      <c r="F2321" s="68">
        <v>2.4</v>
      </c>
      <c r="G2321" s="67">
        <f t="shared" si="68"/>
        <v>-4.4400000000000004</v>
      </c>
      <c r="H2321" s="930" t="s">
        <v>1306</v>
      </c>
    </row>
    <row r="2322" spans="1:8" ht="18" customHeight="1">
      <c r="A2322" s="75"/>
      <c r="B2322" s="406" t="s">
        <v>1050</v>
      </c>
      <c r="C2322" s="70">
        <v>1</v>
      </c>
      <c r="D2322" s="567">
        <v>13.4</v>
      </c>
      <c r="E2322" s="68"/>
      <c r="F2322" s="68">
        <v>3.2</v>
      </c>
      <c r="G2322" s="67">
        <f t="shared" si="68"/>
        <v>42.88</v>
      </c>
      <c r="H2322" s="930" t="s">
        <v>1306</v>
      </c>
    </row>
    <row r="2323" spans="1:8" ht="18" customHeight="1">
      <c r="A2323" s="75"/>
      <c r="B2323" s="406" t="s">
        <v>1093</v>
      </c>
      <c r="C2323" s="70">
        <v>-1.5</v>
      </c>
      <c r="D2323" s="68">
        <v>1</v>
      </c>
      <c r="E2323" s="68"/>
      <c r="F2323" s="68">
        <v>1.8</v>
      </c>
      <c r="G2323" s="67">
        <f t="shared" si="68"/>
        <v>-2.7</v>
      </c>
      <c r="H2323" s="930" t="s">
        <v>1306</v>
      </c>
    </row>
    <row r="2324" spans="1:8" ht="18" customHeight="1">
      <c r="A2324" s="75"/>
      <c r="B2324" s="406" t="s">
        <v>1094</v>
      </c>
      <c r="C2324" s="70">
        <v>-1</v>
      </c>
      <c r="D2324" s="68">
        <v>1.85</v>
      </c>
      <c r="E2324" s="68"/>
      <c r="F2324" s="68">
        <v>2.4</v>
      </c>
      <c r="G2324" s="67">
        <f t="shared" si="68"/>
        <v>-4.4400000000000004</v>
      </c>
      <c r="H2324" s="930" t="s">
        <v>1306</v>
      </c>
    </row>
    <row r="2325" spans="1:8" ht="18" customHeight="1">
      <c r="A2325" s="75"/>
      <c r="B2325" s="63" t="s">
        <v>1969</v>
      </c>
      <c r="C2325" s="70">
        <v>2</v>
      </c>
      <c r="D2325" s="68">
        <f>1.425+3.175+0.275-0.2</f>
        <v>4.6749999999999998</v>
      </c>
      <c r="E2325" s="68"/>
      <c r="F2325" s="68">
        <v>3.37</v>
      </c>
      <c r="G2325" s="67">
        <f t="shared" si="68"/>
        <v>31.51</v>
      </c>
      <c r="H2325" s="930" t="s">
        <v>1306</v>
      </c>
    </row>
    <row r="2326" spans="1:8" ht="18" customHeight="1">
      <c r="A2326" s="75"/>
      <c r="B2326" s="409" t="s">
        <v>2008</v>
      </c>
      <c r="C2326" s="70">
        <v>2</v>
      </c>
      <c r="D2326" s="68">
        <f>1.875+2.725+0.275-0.2</f>
        <v>4.6749999999999998</v>
      </c>
      <c r="E2326" s="68"/>
      <c r="F2326" s="68">
        <v>3.37</v>
      </c>
      <c r="G2326" s="67">
        <f t="shared" si="68"/>
        <v>31.51</v>
      </c>
      <c r="H2326" s="930" t="s">
        <v>1306</v>
      </c>
    </row>
    <row r="2327" spans="1:8" ht="18" customHeight="1">
      <c r="A2327" s="75"/>
      <c r="B2327" s="411" t="s">
        <v>1095</v>
      </c>
      <c r="C2327" s="70"/>
      <c r="D2327" s="68"/>
      <c r="E2327" s="68"/>
      <c r="F2327" s="68"/>
      <c r="G2327" s="67" t="str">
        <f t="shared" si="68"/>
        <v xml:space="preserve"> </v>
      </c>
      <c r="H2327" s="930" t="s">
        <v>1306</v>
      </c>
    </row>
    <row r="2328" spans="1:8" ht="18" customHeight="1">
      <c r="A2328" s="75"/>
      <c r="B2328" s="409" t="s">
        <v>1056</v>
      </c>
      <c r="C2328" s="70">
        <v>1</v>
      </c>
      <c r="D2328" s="567">
        <v>12.75</v>
      </c>
      <c r="E2328" s="68"/>
      <c r="F2328" s="68">
        <v>4.5</v>
      </c>
      <c r="G2328" s="67">
        <f t="shared" si="68"/>
        <v>57.38</v>
      </c>
      <c r="H2328" s="930" t="s">
        <v>1306</v>
      </c>
    </row>
    <row r="2329" spans="1:8" ht="18" customHeight="1">
      <c r="A2329" s="75"/>
      <c r="B2329" s="409" t="s">
        <v>1051</v>
      </c>
      <c r="C2329" s="70">
        <v>-2</v>
      </c>
      <c r="D2329" s="68">
        <v>1</v>
      </c>
      <c r="E2329" s="68"/>
      <c r="F2329" s="68">
        <v>1.8</v>
      </c>
      <c r="G2329" s="67">
        <f t="shared" si="68"/>
        <v>-3.6</v>
      </c>
      <c r="H2329" s="930" t="s">
        <v>1306</v>
      </c>
    </row>
    <row r="2330" spans="1:8" ht="18" customHeight="1">
      <c r="A2330" s="75"/>
      <c r="B2330" s="63" t="s">
        <v>1057</v>
      </c>
      <c r="C2330" s="70">
        <v>1</v>
      </c>
      <c r="D2330" s="567">
        <v>12.75</v>
      </c>
      <c r="E2330" s="68"/>
      <c r="F2330" s="68">
        <v>3.2</v>
      </c>
      <c r="G2330" s="67">
        <f t="shared" si="68"/>
        <v>40.799999999999997</v>
      </c>
      <c r="H2330" s="930" t="s">
        <v>1306</v>
      </c>
    </row>
    <row r="2331" spans="1:8" ht="18" customHeight="1">
      <c r="A2331" s="75"/>
      <c r="B2331" s="63" t="s">
        <v>1051</v>
      </c>
      <c r="C2331" s="70">
        <v>-2</v>
      </c>
      <c r="D2331" s="68">
        <v>1</v>
      </c>
      <c r="E2331" s="68"/>
      <c r="F2331" s="68">
        <v>1.8</v>
      </c>
      <c r="G2331" s="67">
        <f t="shared" si="68"/>
        <v>-3.6</v>
      </c>
      <c r="H2331" s="930" t="s">
        <v>1306</v>
      </c>
    </row>
    <row r="2332" spans="1:8" ht="18" customHeight="1">
      <c r="A2332" s="75"/>
      <c r="B2332" s="63" t="s">
        <v>2029</v>
      </c>
      <c r="C2332" s="70">
        <v>1</v>
      </c>
      <c r="D2332" s="68">
        <v>2.0249999999999999</v>
      </c>
      <c r="E2332" s="68"/>
      <c r="F2332" s="68">
        <v>3.2</v>
      </c>
      <c r="G2332" s="67">
        <f t="shared" si="68"/>
        <v>6.48</v>
      </c>
      <c r="H2332" s="930" t="s">
        <v>1306</v>
      </c>
    </row>
    <row r="2333" spans="1:8" ht="18" customHeight="1">
      <c r="A2333" s="75"/>
      <c r="B2333" s="63" t="s">
        <v>2017</v>
      </c>
      <c r="C2333" s="70">
        <v>2</v>
      </c>
      <c r="D2333" s="68">
        <v>4.5999999999999996</v>
      </c>
      <c r="E2333" s="68"/>
      <c r="F2333" s="68">
        <v>3.2</v>
      </c>
      <c r="G2333" s="67">
        <f t="shared" si="68"/>
        <v>29.44</v>
      </c>
      <c r="H2333" s="930" t="s">
        <v>1306</v>
      </c>
    </row>
    <row r="2334" spans="1:8" ht="18" customHeight="1">
      <c r="A2334" s="75"/>
      <c r="B2334" s="63" t="s">
        <v>2018</v>
      </c>
      <c r="C2334" s="70">
        <v>2</v>
      </c>
      <c r="D2334" s="68">
        <f>1.525+3.075</f>
        <v>4.5999999999999996</v>
      </c>
      <c r="E2334" s="68"/>
      <c r="F2334" s="68">
        <v>3.2</v>
      </c>
      <c r="G2334" s="67">
        <f t="shared" si="68"/>
        <v>29.44</v>
      </c>
      <c r="H2334" s="930" t="s">
        <v>1306</v>
      </c>
    </row>
    <row r="2335" spans="1:8" ht="18" customHeight="1">
      <c r="A2335" s="75"/>
      <c r="B2335" s="63" t="s">
        <v>2019</v>
      </c>
      <c r="C2335" s="70">
        <v>1</v>
      </c>
      <c r="D2335" s="68">
        <v>1.6</v>
      </c>
      <c r="E2335" s="68"/>
      <c r="F2335" s="68">
        <v>3.2</v>
      </c>
      <c r="G2335" s="67">
        <f t="shared" si="68"/>
        <v>5.12</v>
      </c>
      <c r="H2335" s="930" t="s">
        <v>1306</v>
      </c>
    </row>
    <row r="2336" spans="1:8" ht="18" customHeight="1">
      <c r="A2336" s="75"/>
      <c r="B2336" s="64" t="s">
        <v>1097</v>
      </c>
      <c r="C2336" s="70"/>
      <c r="D2336" s="68"/>
      <c r="E2336" s="68"/>
      <c r="F2336" s="68"/>
      <c r="G2336" s="67" t="str">
        <f t="shared" si="68"/>
        <v xml:space="preserve"> </v>
      </c>
      <c r="H2336" s="930" t="s">
        <v>1306</v>
      </c>
    </row>
    <row r="2337" spans="1:8" ht="18" customHeight="1">
      <c r="A2337" s="75"/>
      <c r="B2337" s="63" t="s">
        <v>1063</v>
      </c>
      <c r="C2337" s="70">
        <v>1</v>
      </c>
      <c r="D2337" s="567">
        <v>18.399999999999999</v>
      </c>
      <c r="E2337" s="68"/>
      <c r="F2337" s="68">
        <v>3.2</v>
      </c>
      <c r="G2337" s="67">
        <f t="shared" si="68"/>
        <v>58.88</v>
      </c>
      <c r="H2337" s="930" t="s">
        <v>1306</v>
      </c>
    </row>
    <row r="2338" spans="1:8" ht="18" customHeight="1">
      <c r="A2338" s="75"/>
      <c r="B2338" s="63" t="s">
        <v>1065</v>
      </c>
      <c r="C2338" s="70">
        <v>-1.5</v>
      </c>
      <c r="D2338" s="68">
        <v>1</v>
      </c>
      <c r="E2338" s="68"/>
      <c r="F2338" s="68">
        <v>1.8</v>
      </c>
      <c r="G2338" s="67">
        <f t="shared" si="68"/>
        <v>-2.7</v>
      </c>
      <c r="H2338" s="930" t="s">
        <v>1306</v>
      </c>
    </row>
    <row r="2339" spans="1:8" ht="18" customHeight="1">
      <c r="A2339" s="75"/>
      <c r="B2339" s="63" t="s">
        <v>1098</v>
      </c>
      <c r="C2339" s="70">
        <v>-1</v>
      </c>
      <c r="D2339" s="68">
        <v>1.85</v>
      </c>
      <c r="E2339" s="68"/>
      <c r="F2339" s="68">
        <v>2.4</v>
      </c>
      <c r="G2339" s="67">
        <f t="shared" si="68"/>
        <v>-4.4400000000000004</v>
      </c>
      <c r="H2339" s="930" t="s">
        <v>1306</v>
      </c>
    </row>
    <row r="2340" spans="1:8" ht="18" customHeight="1">
      <c r="A2340" s="75"/>
      <c r="B2340" s="63" t="s">
        <v>1069</v>
      </c>
      <c r="C2340" s="70">
        <v>-1</v>
      </c>
      <c r="D2340" s="68">
        <v>1.8</v>
      </c>
      <c r="E2340" s="68"/>
      <c r="F2340" s="68">
        <v>2.1</v>
      </c>
      <c r="G2340" s="67">
        <f t="shared" si="68"/>
        <v>-3.78</v>
      </c>
      <c r="H2340" s="930" t="s">
        <v>1306</v>
      </c>
    </row>
    <row r="2341" spans="1:8" ht="18" customHeight="1">
      <c r="A2341" s="75"/>
      <c r="B2341" s="63" t="s">
        <v>1107</v>
      </c>
      <c r="C2341" s="70">
        <v>2</v>
      </c>
      <c r="D2341" s="68">
        <f>12.5+0.4</f>
        <v>12.9</v>
      </c>
      <c r="E2341" s="68"/>
      <c r="F2341" s="68">
        <v>3.5</v>
      </c>
      <c r="G2341" s="67">
        <f t="shared" si="68"/>
        <v>90.3</v>
      </c>
      <c r="H2341" s="930" t="s">
        <v>1306</v>
      </c>
    </row>
    <row r="2342" spans="1:8" ht="18" customHeight="1">
      <c r="A2342" s="75"/>
      <c r="B2342" s="63" t="s">
        <v>1092</v>
      </c>
      <c r="C2342" s="70">
        <v>-2</v>
      </c>
      <c r="D2342" s="68">
        <v>1.85</v>
      </c>
      <c r="E2342" s="68"/>
      <c r="F2342" s="68">
        <v>2.4</v>
      </c>
      <c r="G2342" s="67">
        <f t="shared" si="68"/>
        <v>-8.8800000000000008</v>
      </c>
      <c r="H2342" s="930" t="s">
        <v>1306</v>
      </c>
    </row>
    <row r="2343" spans="1:8" ht="18" customHeight="1">
      <c r="A2343" s="75"/>
      <c r="B2343" s="63" t="s">
        <v>1069</v>
      </c>
      <c r="C2343" s="70">
        <v>-1</v>
      </c>
      <c r="D2343" s="68">
        <v>1.8</v>
      </c>
      <c r="E2343" s="68"/>
      <c r="F2343" s="68">
        <v>2.1</v>
      </c>
      <c r="G2343" s="67">
        <f t="shared" si="68"/>
        <v>-3.78</v>
      </c>
      <c r="H2343" s="930" t="s">
        <v>1306</v>
      </c>
    </row>
    <row r="2344" spans="1:8" ht="18" customHeight="1">
      <c r="A2344" s="75"/>
      <c r="B2344" s="63" t="s">
        <v>2009</v>
      </c>
      <c r="C2344" s="70">
        <v>1</v>
      </c>
      <c r="D2344" s="68">
        <f>12.5</f>
        <v>12.5</v>
      </c>
      <c r="E2344" s="68"/>
      <c r="F2344" s="68">
        <v>1.1000000000000001</v>
      </c>
      <c r="G2344" s="67">
        <f t="shared" si="68"/>
        <v>13.75</v>
      </c>
      <c r="H2344" s="930" t="s">
        <v>1306</v>
      </c>
    </row>
    <row r="2345" spans="1:8" ht="18" customHeight="1">
      <c r="A2345" s="75"/>
      <c r="B2345" s="63" t="s">
        <v>1976</v>
      </c>
      <c r="C2345" s="70">
        <v>2</v>
      </c>
      <c r="D2345" s="68">
        <f>1.425+3.175-0.38</f>
        <v>4.22</v>
      </c>
      <c r="E2345" s="68"/>
      <c r="F2345" s="68">
        <v>3.37</v>
      </c>
      <c r="G2345" s="67">
        <f t="shared" si="68"/>
        <v>28.44</v>
      </c>
      <c r="H2345" s="930" t="s">
        <v>1306</v>
      </c>
    </row>
    <row r="2346" spans="1:8" ht="18" customHeight="1">
      <c r="A2346" s="75"/>
      <c r="B2346" s="63" t="s">
        <v>1605</v>
      </c>
      <c r="C2346" s="70">
        <v>2</v>
      </c>
      <c r="D2346" s="68">
        <f>2.725+1.875-0.38</f>
        <v>4.22</v>
      </c>
      <c r="E2346" s="68"/>
      <c r="F2346" s="68">
        <v>3.37</v>
      </c>
      <c r="G2346" s="67">
        <f t="shared" si="68"/>
        <v>28.44</v>
      </c>
      <c r="H2346" s="930" t="s">
        <v>1306</v>
      </c>
    </row>
    <row r="2347" spans="1:8" ht="18" customHeight="1">
      <c r="A2347" s="75"/>
      <c r="B2347" s="64" t="s">
        <v>1076</v>
      </c>
      <c r="C2347" s="70"/>
      <c r="D2347" s="68"/>
      <c r="E2347" s="68"/>
      <c r="F2347" s="68"/>
      <c r="G2347" s="67" t="str">
        <f t="shared" si="68"/>
        <v xml:space="preserve"> </v>
      </c>
      <c r="H2347" s="930" t="s">
        <v>1306</v>
      </c>
    </row>
    <row r="2348" spans="1:8" ht="18" customHeight="1">
      <c r="A2348" s="75"/>
      <c r="B2348" s="63" t="s">
        <v>2059</v>
      </c>
      <c r="C2348" s="70">
        <v>1</v>
      </c>
      <c r="D2348" s="68">
        <v>2.0249999999999999</v>
      </c>
      <c r="E2348" s="68"/>
      <c r="F2348" s="68">
        <v>3.2</v>
      </c>
      <c r="G2348" s="67">
        <f t="shared" si="68"/>
        <v>6.48</v>
      </c>
      <c r="H2348" s="930" t="s">
        <v>1306</v>
      </c>
    </row>
    <row r="2349" spans="1:8" ht="18" customHeight="1">
      <c r="A2349" s="75"/>
      <c r="B2349" s="63" t="s">
        <v>2030</v>
      </c>
      <c r="C2349" s="70">
        <v>2</v>
      </c>
      <c r="D2349" s="68">
        <v>4.5999999999999996</v>
      </c>
      <c r="E2349" s="68"/>
      <c r="F2349" s="68">
        <v>3.2</v>
      </c>
      <c r="G2349" s="67">
        <f t="shared" si="68"/>
        <v>29.44</v>
      </c>
      <c r="H2349" s="930" t="s">
        <v>1306</v>
      </c>
    </row>
    <row r="2350" spans="1:8" ht="18" customHeight="1">
      <c r="A2350" s="75"/>
      <c r="B2350" s="63" t="s">
        <v>2021</v>
      </c>
      <c r="C2350" s="70">
        <v>2</v>
      </c>
      <c r="D2350" s="68">
        <f>1.525+3.075</f>
        <v>4.5999999999999996</v>
      </c>
      <c r="E2350" s="68"/>
      <c r="F2350" s="68">
        <v>3.2</v>
      </c>
      <c r="G2350" s="67">
        <f t="shared" si="68"/>
        <v>29.44</v>
      </c>
      <c r="H2350" s="930" t="s">
        <v>1306</v>
      </c>
    </row>
    <row r="2351" spans="1:8" ht="18" customHeight="1">
      <c r="A2351" s="75"/>
      <c r="B2351" s="63" t="s">
        <v>2058</v>
      </c>
      <c r="C2351" s="70">
        <v>1</v>
      </c>
      <c r="D2351" s="68">
        <v>1.6</v>
      </c>
      <c r="E2351" s="68"/>
      <c r="F2351" s="68">
        <v>3.2</v>
      </c>
      <c r="G2351" s="67">
        <f t="shared" si="68"/>
        <v>5.12</v>
      </c>
      <c r="H2351" s="930" t="s">
        <v>1306</v>
      </c>
    </row>
    <row r="2352" spans="1:8" ht="18" customHeight="1">
      <c r="A2352" s="75"/>
      <c r="B2352" s="63" t="s">
        <v>1982</v>
      </c>
      <c r="C2352" s="70">
        <v>2</v>
      </c>
      <c r="D2352" s="68">
        <f>1.525+3.075+0.275-0.2+0.275</f>
        <v>4.95</v>
      </c>
      <c r="E2352" s="68"/>
      <c r="F2352" s="68">
        <v>3.37</v>
      </c>
      <c r="G2352" s="67">
        <f t="shared" si="68"/>
        <v>33.36</v>
      </c>
      <c r="H2352" s="930" t="s">
        <v>1306</v>
      </c>
    </row>
    <row r="2353" spans="1:8" ht="18" customHeight="1">
      <c r="A2353" s="75"/>
      <c r="B2353" s="63" t="s">
        <v>1077</v>
      </c>
      <c r="C2353" s="70">
        <v>2</v>
      </c>
      <c r="D2353" s="68">
        <f>0.8+0.275+0.2</f>
        <v>1.2750000000000001</v>
      </c>
      <c r="E2353" s="68"/>
      <c r="F2353" s="68">
        <v>3.2</v>
      </c>
      <c r="G2353" s="67">
        <f t="shared" si="68"/>
        <v>8.16</v>
      </c>
      <c r="H2353" s="930" t="s">
        <v>1306</v>
      </c>
    </row>
    <row r="2354" spans="1:8" ht="18" customHeight="1">
      <c r="A2354" s="75"/>
      <c r="B2354" s="63" t="s">
        <v>1100</v>
      </c>
      <c r="C2354" s="70">
        <v>1</v>
      </c>
      <c r="D2354" s="68">
        <f>6.3</f>
        <v>6.3</v>
      </c>
      <c r="E2354" s="68"/>
      <c r="F2354" s="68">
        <v>3.2</v>
      </c>
      <c r="G2354" s="67">
        <f t="shared" si="68"/>
        <v>20.16</v>
      </c>
      <c r="H2354" s="930" t="s">
        <v>1306</v>
      </c>
    </row>
    <row r="2355" spans="1:8" ht="18" customHeight="1">
      <c r="A2355" s="75"/>
      <c r="B2355" s="63" t="s">
        <v>1101</v>
      </c>
      <c r="C2355" s="70">
        <v>-1</v>
      </c>
      <c r="D2355" s="68">
        <v>4.9000000000000004</v>
      </c>
      <c r="E2355" s="68"/>
      <c r="F2355" s="68">
        <v>1.8</v>
      </c>
      <c r="G2355" s="67">
        <f t="shared" si="68"/>
        <v>-8.82</v>
      </c>
      <c r="H2355" s="930" t="s">
        <v>1306</v>
      </c>
    </row>
    <row r="2356" spans="1:8" ht="18" customHeight="1">
      <c r="A2356" s="75"/>
      <c r="B2356" s="63" t="s">
        <v>1081</v>
      </c>
      <c r="C2356" s="70">
        <v>1</v>
      </c>
      <c r="D2356" s="567">
        <v>12.75</v>
      </c>
      <c r="E2356" s="68"/>
      <c r="F2356" s="68">
        <v>4.5</v>
      </c>
      <c r="G2356" s="67">
        <f t="shared" si="68"/>
        <v>57.38</v>
      </c>
      <c r="H2356" s="930" t="s">
        <v>1306</v>
      </c>
    </row>
    <row r="2357" spans="1:8" ht="18" customHeight="1">
      <c r="A2357" s="75"/>
      <c r="B2357" s="63" t="s">
        <v>1051</v>
      </c>
      <c r="C2357" s="70">
        <v>-2</v>
      </c>
      <c r="D2357" s="68">
        <v>1</v>
      </c>
      <c r="E2357" s="68"/>
      <c r="F2357" s="68">
        <v>1.8</v>
      </c>
      <c r="G2357" s="67">
        <f t="shared" si="68"/>
        <v>-3.6</v>
      </c>
      <c r="H2357" s="930" t="s">
        <v>1306</v>
      </c>
    </row>
    <row r="2358" spans="1:8" ht="18" customHeight="1">
      <c r="A2358" s="75"/>
      <c r="B2358" s="63" t="s">
        <v>1082</v>
      </c>
      <c r="C2358" s="70">
        <v>1</v>
      </c>
      <c r="D2358" s="567">
        <v>12.75</v>
      </c>
      <c r="E2358" s="68"/>
      <c r="F2358" s="68">
        <v>3.2</v>
      </c>
      <c r="G2358" s="67">
        <f t="shared" si="68"/>
        <v>40.799999999999997</v>
      </c>
      <c r="H2358" s="930" t="s">
        <v>1306</v>
      </c>
    </row>
    <row r="2359" spans="1:8" ht="18" customHeight="1">
      <c r="A2359" s="75"/>
      <c r="B2359" s="63" t="s">
        <v>1051</v>
      </c>
      <c r="C2359" s="70">
        <v>-1.5</v>
      </c>
      <c r="D2359" s="68">
        <v>1</v>
      </c>
      <c r="E2359" s="68"/>
      <c r="F2359" s="68">
        <v>1.8</v>
      </c>
      <c r="G2359" s="67">
        <f t="shared" si="68"/>
        <v>-2.7</v>
      </c>
      <c r="H2359" s="930" t="s">
        <v>1306</v>
      </c>
    </row>
    <row r="2360" spans="1:8" ht="18" customHeight="1">
      <c r="A2360" s="75"/>
      <c r="B2360" s="63" t="s">
        <v>1083</v>
      </c>
      <c r="C2360" s="70">
        <v>-0.5</v>
      </c>
      <c r="D2360" s="68">
        <v>1</v>
      </c>
      <c r="E2360" s="68"/>
      <c r="F2360" s="68">
        <v>1.8</v>
      </c>
      <c r="G2360" s="67">
        <f t="shared" si="68"/>
        <v>-0.9</v>
      </c>
      <c r="H2360" s="930" t="s">
        <v>1306</v>
      </c>
    </row>
    <row r="2361" spans="1:8" ht="18" customHeight="1">
      <c r="A2361" s="75"/>
      <c r="B2361" s="64" t="s">
        <v>1102</v>
      </c>
      <c r="C2361" s="70"/>
      <c r="D2361" s="68"/>
      <c r="E2361" s="68"/>
      <c r="F2361" s="68"/>
      <c r="G2361" s="67" t="str">
        <f t="shared" si="68"/>
        <v xml:space="preserve"> </v>
      </c>
      <c r="H2361" s="930" t="s">
        <v>1306</v>
      </c>
    </row>
    <row r="2362" spans="1:8" ht="18" customHeight="1">
      <c r="A2362" s="75"/>
      <c r="B2362" s="607" t="s">
        <v>2060</v>
      </c>
      <c r="C2362" s="70"/>
      <c r="D2362" s="68"/>
      <c r="E2362" s="68"/>
      <c r="F2362" s="68"/>
      <c r="G2362" s="67" t="str">
        <f t="shared" si="68"/>
        <v xml:space="preserve"> </v>
      </c>
      <c r="H2362" s="930" t="s">
        <v>1306</v>
      </c>
    </row>
    <row r="2363" spans="1:8" ht="18" customHeight="1">
      <c r="A2363" s="75"/>
      <c r="B2363" s="607" t="s">
        <v>1180</v>
      </c>
      <c r="C2363" s="70"/>
      <c r="D2363" s="68"/>
      <c r="E2363" s="68"/>
      <c r="F2363" s="68"/>
      <c r="G2363" s="67" t="str">
        <f t="shared" si="68"/>
        <v xml:space="preserve"> </v>
      </c>
      <c r="H2363" s="930" t="s">
        <v>1306</v>
      </c>
    </row>
    <row r="2364" spans="1:8" ht="18" customHeight="1">
      <c r="A2364" s="75"/>
      <c r="B2364" s="406" t="s">
        <v>940</v>
      </c>
      <c r="C2364" s="70">
        <v>1</v>
      </c>
      <c r="D2364" s="68">
        <v>3.194</v>
      </c>
      <c r="E2364" s="68"/>
      <c r="F2364" s="68">
        <v>4.5</v>
      </c>
      <c r="G2364" s="67">
        <f t="shared" si="68"/>
        <v>14.37</v>
      </c>
      <c r="H2364" s="930" t="s">
        <v>1306</v>
      </c>
    </row>
    <row r="2365" spans="1:8" ht="18" customHeight="1">
      <c r="A2365" s="75"/>
      <c r="B2365" s="406" t="s">
        <v>941</v>
      </c>
      <c r="C2365" s="70">
        <v>-0.5</v>
      </c>
      <c r="D2365" s="68">
        <v>1</v>
      </c>
      <c r="E2365" s="68"/>
      <c r="F2365" s="68">
        <v>1.8</v>
      </c>
      <c r="G2365" s="67">
        <f t="shared" si="68"/>
        <v>-0.9</v>
      </c>
      <c r="H2365" s="930" t="s">
        <v>1306</v>
      </c>
    </row>
    <row r="2366" spans="1:8" ht="18" customHeight="1">
      <c r="A2366" s="75"/>
      <c r="B2366" s="406" t="s">
        <v>1596</v>
      </c>
      <c r="C2366" s="70">
        <v>1</v>
      </c>
      <c r="D2366" s="68">
        <v>4.4089999999999998</v>
      </c>
      <c r="E2366" s="68"/>
      <c r="F2366" s="68">
        <v>4.5</v>
      </c>
      <c r="G2366" s="67">
        <f t="shared" si="68"/>
        <v>19.84</v>
      </c>
      <c r="H2366" s="930" t="s">
        <v>1306</v>
      </c>
    </row>
    <row r="2367" spans="1:8" ht="18" customHeight="1">
      <c r="A2367" s="75"/>
      <c r="B2367" s="63" t="s">
        <v>942</v>
      </c>
      <c r="C2367" s="70">
        <v>1</v>
      </c>
      <c r="D2367" s="68">
        <f>6.45+6.4+6.4+3.25+0.1-0.1</f>
        <v>22.5</v>
      </c>
      <c r="E2367" s="68"/>
      <c r="F2367" s="68">
        <v>4.5</v>
      </c>
      <c r="G2367" s="67">
        <f t="shared" si="68"/>
        <v>101.25</v>
      </c>
      <c r="H2367" s="930" t="s">
        <v>1306</v>
      </c>
    </row>
    <row r="2368" spans="1:8" ht="18" customHeight="1">
      <c r="A2368" s="75"/>
      <c r="B2368" s="409" t="s">
        <v>943</v>
      </c>
      <c r="C2368" s="70">
        <v>-3.5</v>
      </c>
      <c r="D2368" s="68">
        <v>1</v>
      </c>
      <c r="E2368" s="68"/>
      <c r="F2368" s="68">
        <v>1.8</v>
      </c>
      <c r="G2368" s="67">
        <f t="shared" ref="G2368:G2431" si="69">IF(C2368&lt;&gt;0,ROUND(PRODUCT(D2368:F2368)*C2368,2)," ")</f>
        <v>-6.3</v>
      </c>
      <c r="H2368" s="930" t="s">
        <v>1306</v>
      </c>
    </row>
    <row r="2369" spans="1:10" ht="18" customHeight="1">
      <c r="A2369" s="75"/>
      <c r="B2369" s="63" t="s">
        <v>1913</v>
      </c>
      <c r="C2369" s="70">
        <v>2</v>
      </c>
      <c r="D2369" s="68">
        <v>4.218</v>
      </c>
      <c r="E2369" s="68"/>
      <c r="F2369" s="68">
        <v>2.7</v>
      </c>
      <c r="G2369" s="67">
        <f t="shared" si="69"/>
        <v>22.78</v>
      </c>
      <c r="H2369" s="930" t="s">
        <v>1306</v>
      </c>
    </row>
    <row r="2370" spans="1:10" ht="18" customHeight="1">
      <c r="A2370" s="75"/>
      <c r="B2370" s="63" t="s">
        <v>945</v>
      </c>
      <c r="C2370" s="70">
        <v>1</v>
      </c>
      <c r="D2370" s="68">
        <v>3.1840000000000002</v>
      </c>
      <c r="E2370" s="68"/>
      <c r="F2370" s="68">
        <v>3.2</v>
      </c>
      <c r="G2370" s="67">
        <f t="shared" si="69"/>
        <v>10.19</v>
      </c>
      <c r="H2370" s="930" t="s">
        <v>1306</v>
      </c>
    </row>
    <row r="2371" spans="1:10" ht="18" customHeight="1">
      <c r="A2371" s="75"/>
      <c r="B2371" s="63" t="s">
        <v>946</v>
      </c>
      <c r="C2371" s="70">
        <v>-1</v>
      </c>
      <c r="D2371" s="68">
        <v>2.85</v>
      </c>
      <c r="E2371" s="68"/>
      <c r="F2371" s="68">
        <v>1.2</v>
      </c>
      <c r="G2371" s="67">
        <f t="shared" si="69"/>
        <v>-3.42</v>
      </c>
      <c r="H2371" s="930" t="s">
        <v>1306</v>
      </c>
    </row>
    <row r="2372" spans="1:10" ht="18" customHeight="1">
      <c r="A2372" s="75"/>
      <c r="B2372" s="63" t="s">
        <v>947</v>
      </c>
      <c r="C2372" s="70">
        <v>1</v>
      </c>
      <c r="D2372" s="68">
        <v>14.433999999999999</v>
      </c>
      <c r="E2372" s="68"/>
      <c r="F2372" s="68">
        <v>3.2</v>
      </c>
      <c r="G2372" s="67">
        <f t="shared" si="69"/>
        <v>46.19</v>
      </c>
      <c r="H2372" s="930" t="s">
        <v>1306</v>
      </c>
    </row>
    <row r="2373" spans="1:10" ht="18" customHeight="1">
      <c r="A2373" s="75"/>
      <c r="B2373" s="63" t="s">
        <v>948</v>
      </c>
      <c r="C2373" s="70">
        <v>-2</v>
      </c>
      <c r="D2373" s="68">
        <v>1</v>
      </c>
      <c r="E2373" s="68"/>
      <c r="F2373" s="68">
        <v>1.8</v>
      </c>
      <c r="G2373" s="67">
        <f t="shared" si="69"/>
        <v>-3.6</v>
      </c>
      <c r="H2373" s="930" t="s">
        <v>1306</v>
      </c>
    </row>
    <row r="2374" spans="1:10" ht="18" customHeight="1">
      <c r="A2374" s="75"/>
      <c r="B2374" s="63" t="s">
        <v>949</v>
      </c>
      <c r="C2374" s="70">
        <v>-0.5</v>
      </c>
      <c r="D2374" s="68">
        <v>1</v>
      </c>
      <c r="E2374" s="68"/>
      <c r="F2374" s="68">
        <v>1.8</v>
      </c>
      <c r="G2374" s="67">
        <f t="shared" si="69"/>
        <v>-0.9</v>
      </c>
      <c r="H2374" s="930" t="s">
        <v>1306</v>
      </c>
    </row>
    <row r="2375" spans="1:10" ht="18" customHeight="1">
      <c r="A2375" s="75"/>
      <c r="B2375" s="63" t="s">
        <v>1914</v>
      </c>
      <c r="C2375" s="70">
        <v>2</v>
      </c>
      <c r="D2375" s="68">
        <v>4.218</v>
      </c>
      <c r="E2375" s="68"/>
      <c r="F2375" s="68">
        <v>3.37</v>
      </c>
      <c r="G2375" s="67">
        <f t="shared" si="69"/>
        <v>28.43</v>
      </c>
      <c r="H2375" s="930" t="s">
        <v>1306</v>
      </c>
    </row>
    <row r="2376" spans="1:10" ht="18" customHeight="1">
      <c r="A2376" s="75"/>
      <c r="B2376" s="63" t="s">
        <v>1915</v>
      </c>
      <c r="C2376" s="410">
        <v>1</v>
      </c>
      <c r="D2376" s="68">
        <v>4.218</v>
      </c>
      <c r="E2376" s="68"/>
      <c r="F2376" s="68">
        <v>3.37</v>
      </c>
      <c r="G2376" s="67">
        <f t="shared" si="69"/>
        <v>14.21</v>
      </c>
      <c r="H2376" s="930" t="s">
        <v>1306</v>
      </c>
    </row>
    <row r="2377" spans="1:10" ht="18" customHeight="1">
      <c r="A2377" s="75"/>
      <c r="B2377" s="63"/>
      <c r="C2377" s="410">
        <v>1</v>
      </c>
      <c r="D2377" s="352">
        <v>4.218</v>
      </c>
      <c r="E2377" s="352"/>
      <c r="F2377" s="352">
        <f>3.37-2.4</f>
        <v>0.9700000000000002</v>
      </c>
      <c r="G2377" s="67">
        <f t="shared" si="69"/>
        <v>4.09</v>
      </c>
      <c r="H2377" s="950" t="s">
        <v>1306</v>
      </c>
      <c r="I2377" s="1239"/>
      <c r="J2377" s="355"/>
    </row>
    <row r="2378" spans="1:10" ht="18" customHeight="1">
      <c r="A2378" s="75"/>
      <c r="B2378" s="63" t="s">
        <v>1916</v>
      </c>
      <c r="C2378" s="70">
        <v>1</v>
      </c>
      <c r="D2378" s="567">
        <v>3.45</v>
      </c>
      <c r="E2378" s="68"/>
      <c r="F2378" s="68">
        <v>3.5</v>
      </c>
      <c r="G2378" s="67">
        <f t="shared" si="69"/>
        <v>12.08</v>
      </c>
      <c r="H2378" s="930" t="s">
        <v>1306</v>
      </c>
    </row>
    <row r="2379" spans="1:10" ht="18" customHeight="1">
      <c r="A2379" s="75"/>
      <c r="B2379" s="63" t="s">
        <v>1917</v>
      </c>
      <c r="C2379" s="410">
        <v>1</v>
      </c>
      <c r="D2379" s="68">
        <v>4.22</v>
      </c>
      <c r="E2379" s="68"/>
      <c r="F2379" s="68">
        <v>3.37</v>
      </c>
      <c r="G2379" s="67">
        <f t="shared" si="69"/>
        <v>14.22</v>
      </c>
      <c r="H2379" s="930" t="s">
        <v>1306</v>
      </c>
    </row>
    <row r="2380" spans="1:10" s="674" customFormat="1" ht="18" customHeight="1">
      <c r="A2380" s="75"/>
      <c r="B2380" s="64" t="s">
        <v>1917</v>
      </c>
      <c r="C2380" s="410">
        <v>1</v>
      </c>
      <c r="D2380" s="352">
        <v>4.22</v>
      </c>
      <c r="E2380" s="352"/>
      <c r="F2380" s="352">
        <f>3.37-2.4</f>
        <v>0.9700000000000002</v>
      </c>
      <c r="G2380" s="67">
        <f t="shared" si="69"/>
        <v>4.09</v>
      </c>
      <c r="H2380" s="950" t="s">
        <v>1306</v>
      </c>
      <c r="I2380" s="1246"/>
    </row>
    <row r="2381" spans="1:10" ht="18" customHeight="1">
      <c r="A2381" s="75"/>
      <c r="B2381" s="63" t="s">
        <v>1918</v>
      </c>
      <c r="C2381" s="70">
        <v>2</v>
      </c>
      <c r="D2381" s="68">
        <v>2.91</v>
      </c>
      <c r="E2381" s="68"/>
      <c r="F2381" s="352">
        <f>3.37-2.4</f>
        <v>0.9700000000000002</v>
      </c>
      <c r="G2381" s="67">
        <f t="shared" si="69"/>
        <v>5.65</v>
      </c>
      <c r="H2381" s="930" t="s">
        <v>1306</v>
      </c>
    </row>
    <row r="2382" spans="1:10" ht="18" customHeight="1">
      <c r="A2382" s="75"/>
      <c r="B2382" s="63" t="s">
        <v>1919</v>
      </c>
      <c r="C2382" s="410">
        <v>1</v>
      </c>
      <c r="D2382" s="68">
        <v>3.3</v>
      </c>
      <c r="E2382" s="68"/>
      <c r="F2382" s="68">
        <v>3.37</v>
      </c>
      <c r="G2382" s="67">
        <f t="shared" si="69"/>
        <v>11.12</v>
      </c>
      <c r="H2382" s="930" t="s">
        <v>1306</v>
      </c>
    </row>
    <row r="2383" spans="1:10" ht="18" customHeight="1">
      <c r="A2383" s="75"/>
      <c r="B2383" s="63"/>
      <c r="C2383" s="410">
        <v>1</v>
      </c>
      <c r="D2383" s="68">
        <v>3.3</v>
      </c>
      <c r="E2383" s="68"/>
      <c r="F2383" s="352">
        <f>3.37-2.4</f>
        <v>0.9700000000000002</v>
      </c>
      <c r="G2383" s="67">
        <f t="shared" si="69"/>
        <v>3.2</v>
      </c>
      <c r="H2383" s="930" t="s">
        <v>1306</v>
      </c>
    </row>
    <row r="2384" spans="1:10" ht="18" customHeight="1">
      <c r="A2384" s="75"/>
      <c r="B2384" s="63"/>
      <c r="C2384" s="410">
        <v>1</v>
      </c>
      <c r="D2384" s="68">
        <v>1.5</v>
      </c>
      <c r="E2384" s="68"/>
      <c r="F2384" s="68">
        <v>3.37</v>
      </c>
      <c r="G2384" s="67">
        <f t="shared" si="69"/>
        <v>5.0599999999999996</v>
      </c>
      <c r="H2384" s="930" t="s">
        <v>1306</v>
      </c>
    </row>
    <row r="2385" spans="1:9" ht="18" customHeight="1">
      <c r="A2385" s="75"/>
      <c r="B2385" s="63"/>
      <c r="C2385" s="410">
        <v>1</v>
      </c>
      <c r="D2385" s="68">
        <v>1.5</v>
      </c>
      <c r="E2385" s="68"/>
      <c r="F2385" s="352">
        <f>3.37-2.4</f>
        <v>0.9700000000000002</v>
      </c>
      <c r="G2385" s="67">
        <f t="shared" si="69"/>
        <v>1.46</v>
      </c>
      <c r="H2385" s="930" t="s">
        <v>1306</v>
      </c>
    </row>
    <row r="2386" spans="1:9" ht="18" customHeight="1">
      <c r="A2386" s="75"/>
      <c r="B2386" s="63" t="s">
        <v>950</v>
      </c>
      <c r="C2386" s="70">
        <v>1</v>
      </c>
      <c r="D2386" s="68">
        <v>3.1</v>
      </c>
      <c r="E2386" s="68"/>
      <c r="F2386" s="68">
        <v>4.5</v>
      </c>
      <c r="G2386" s="67">
        <f t="shared" si="69"/>
        <v>13.95</v>
      </c>
      <c r="H2386" s="930" t="s">
        <v>1306</v>
      </c>
    </row>
    <row r="2387" spans="1:9" ht="18" customHeight="1">
      <c r="A2387" s="75"/>
      <c r="B2387" s="63" t="s">
        <v>951</v>
      </c>
      <c r="C2387" s="70">
        <v>-0.5</v>
      </c>
      <c r="D2387" s="68">
        <v>1</v>
      </c>
      <c r="E2387" s="68"/>
      <c r="F2387" s="68">
        <v>1.8</v>
      </c>
      <c r="G2387" s="67">
        <f t="shared" si="69"/>
        <v>-0.9</v>
      </c>
      <c r="H2387" s="930" t="s">
        <v>1306</v>
      </c>
    </row>
    <row r="2388" spans="1:9" ht="18" customHeight="1">
      <c r="A2388" s="75"/>
      <c r="B2388" s="63" t="s">
        <v>2032</v>
      </c>
      <c r="C2388" s="70">
        <v>1</v>
      </c>
      <c r="D2388" s="567">
        <v>2.1230000000000002</v>
      </c>
      <c r="E2388" s="68"/>
      <c r="F2388" s="68">
        <v>3.2</v>
      </c>
      <c r="G2388" s="67">
        <f t="shared" si="69"/>
        <v>6.79</v>
      </c>
      <c r="H2388" s="930" t="s">
        <v>1306</v>
      </c>
    </row>
    <row r="2389" spans="1:9" ht="18" customHeight="1">
      <c r="A2389" s="75"/>
      <c r="B2389" s="63" t="s">
        <v>2014</v>
      </c>
      <c r="C2389" s="70">
        <v>2</v>
      </c>
      <c r="D2389" s="68">
        <v>4.5999999999999996</v>
      </c>
      <c r="E2389" s="68"/>
      <c r="F2389" s="68">
        <v>3.2</v>
      </c>
      <c r="G2389" s="67">
        <f t="shared" si="69"/>
        <v>29.44</v>
      </c>
      <c r="H2389" s="930" t="s">
        <v>1306</v>
      </c>
    </row>
    <row r="2390" spans="1:9" ht="18" customHeight="1">
      <c r="A2390" s="75"/>
      <c r="B2390" s="63" t="s">
        <v>954</v>
      </c>
      <c r="C2390" s="70"/>
      <c r="D2390" s="68"/>
      <c r="E2390" s="68"/>
      <c r="F2390" s="68"/>
      <c r="G2390" s="67" t="str">
        <f t="shared" si="69"/>
        <v xml:space="preserve"> </v>
      </c>
      <c r="H2390" s="930" t="s">
        <v>1306</v>
      </c>
    </row>
    <row r="2391" spans="1:9" ht="18" customHeight="1">
      <c r="A2391" s="75"/>
      <c r="B2391" s="63" t="s">
        <v>955</v>
      </c>
      <c r="C2391" s="70">
        <v>2</v>
      </c>
      <c r="D2391" s="68">
        <f>3.175-0.2</f>
        <v>2.9749999999999996</v>
      </c>
      <c r="E2391" s="68"/>
      <c r="F2391" s="68">
        <v>3.37</v>
      </c>
      <c r="G2391" s="67">
        <f t="shared" si="69"/>
        <v>20.05</v>
      </c>
      <c r="H2391" s="930" t="s">
        <v>1306</v>
      </c>
    </row>
    <row r="2392" spans="1:9" ht="18" customHeight="1">
      <c r="A2392" s="75"/>
      <c r="B2392" s="63" t="s">
        <v>953</v>
      </c>
      <c r="C2392" s="70">
        <v>-1</v>
      </c>
      <c r="D2392" s="68">
        <v>1.2</v>
      </c>
      <c r="E2392" s="68"/>
      <c r="F2392" s="68">
        <v>2.1</v>
      </c>
      <c r="G2392" s="67">
        <f t="shared" si="69"/>
        <v>-2.52</v>
      </c>
      <c r="H2392" s="930" t="s">
        <v>1306</v>
      </c>
    </row>
    <row r="2393" spans="1:9" ht="18" customHeight="1">
      <c r="A2393" s="75"/>
      <c r="B2393" s="63" t="s">
        <v>956</v>
      </c>
      <c r="C2393" s="70">
        <v>-1</v>
      </c>
      <c r="D2393" s="68">
        <v>0.9</v>
      </c>
      <c r="E2393" s="68"/>
      <c r="F2393" s="68">
        <v>2</v>
      </c>
      <c r="G2393" s="67">
        <f t="shared" si="69"/>
        <v>-1.8</v>
      </c>
      <c r="H2393" s="930" t="s">
        <v>1306</v>
      </c>
    </row>
    <row r="2394" spans="1:9" ht="18" customHeight="1">
      <c r="A2394" s="75"/>
      <c r="B2394" s="63" t="s">
        <v>957</v>
      </c>
      <c r="C2394" s="70">
        <v>2</v>
      </c>
      <c r="D2394" s="567">
        <v>1.1000000000000001</v>
      </c>
      <c r="E2394" s="68"/>
      <c r="F2394" s="68">
        <v>3.37</v>
      </c>
      <c r="G2394" s="67">
        <f t="shared" si="69"/>
        <v>7.41</v>
      </c>
      <c r="H2394" s="930" t="s">
        <v>1306</v>
      </c>
    </row>
    <row r="2395" spans="1:9" ht="18" customHeight="1">
      <c r="A2395" s="75"/>
      <c r="B2395" s="63"/>
      <c r="C2395" s="70">
        <v>2</v>
      </c>
      <c r="D2395" s="567">
        <v>1.603</v>
      </c>
      <c r="E2395" s="68"/>
      <c r="F2395" s="68">
        <v>3.37</v>
      </c>
      <c r="G2395" s="67">
        <f t="shared" si="69"/>
        <v>10.8</v>
      </c>
      <c r="H2395" s="930" t="s">
        <v>1306</v>
      </c>
    </row>
    <row r="2396" spans="1:9" ht="18" customHeight="1">
      <c r="A2396" s="75"/>
      <c r="B2396" s="64" t="s">
        <v>1114</v>
      </c>
      <c r="C2396" s="70"/>
      <c r="D2396" s="68"/>
      <c r="E2396" s="68"/>
      <c r="F2396" s="68"/>
      <c r="G2396" s="67" t="str">
        <f t="shared" si="69"/>
        <v xml:space="preserve"> </v>
      </c>
      <c r="H2396" s="930" t="s">
        <v>1306</v>
      </c>
    </row>
    <row r="2397" spans="1:9" ht="18" customHeight="1">
      <c r="A2397" s="75"/>
      <c r="B2397" s="63" t="s">
        <v>960</v>
      </c>
      <c r="C2397" s="410">
        <v>1</v>
      </c>
      <c r="D2397" s="567">
        <v>6.5659999999999998</v>
      </c>
      <c r="E2397" s="68"/>
      <c r="F2397" s="68">
        <v>3.2</v>
      </c>
      <c r="G2397" s="67">
        <f t="shared" si="69"/>
        <v>21.01</v>
      </c>
      <c r="H2397" s="930" t="s">
        <v>1306</v>
      </c>
    </row>
    <row r="2398" spans="1:9" ht="18" customHeight="1">
      <c r="A2398" s="75"/>
      <c r="B2398" s="63"/>
      <c r="C2398" s="410">
        <v>1</v>
      </c>
      <c r="D2398" s="567">
        <v>6.5659999999999998</v>
      </c>
      <c r="E2398" s="352"/>
      <c r="F2398" s="677">
        <f>3.2-2.4</f>
        <v>0.80000000000000027</v>
      </c>
      <c r="G2398" s="67">
        <f t="shared" si="69"/>
        <v>5.25</v>
      </c>
      <c r="H2398" s="950" t="s">
        <v>1306</v>
      </c>
      <c r="I2398" s="1239"/>
    </row>
    <row r="2399" spans="1:9" ht="18" customHeight="1">
      <c r="A2399" s="75"/>
      <c r="B2399" s="63" t="s">
        <v>961</v>
      </c>
      <c r="C2399" s="410">
        <v>1</v>
      </c>
      <c r="D2399" s="68">
        <v>4.3449999999999998</v>
      </c>
      <c r="E2399" s="68"/>
      <c r="F2399" s="68">
        <v>3.2</v>
      </c>
      <c r="G2399" s="67">
        <f t="shared" si="69"/>
        <v>13.9</v>
      </c>
      <c r="H2399" s="930" t="s">
        <v>1306</v>
      </c>
    </row>
    <row r="2400" spans="1:9" ht="18" customHeight="1">
      <c r="A2400" s="75"/>
      <c r="B2400" s="63"/>
      <c r="C2400" s="410">
        <v>1</v>
      </c>
      <c r="D2400" s="68">
        <v>4.3449999999999998</v>
      </c>
      <c r="E2400" s="68"/>
      <c r="F2400" s="677">
        <f>3.2-2.4</f>
        <v>0.80000000000000027</v>
      </c>
      <c r="G2400" s="67">
        <f t="shared" si="69"/>
        <v>3.48</v>
      </c>
      <c r="H2400" s="930" t="s">
        <v>1306</v>
      </c>
    </row>
    <row r="2401" spans="1:9" ht="18" customHeight="1">
      <c r="A2401" s="75"/>
      <c r="B2401" s="63" t="s">
        <v>962</v>
      </c>
      <c r="C2401" s="70">
        <v>2</v>
      </c>
      <c r="D2401" s="567">
        <v>9.7230000000000008</v>
      </c>
      <c r="E2401" s="68"/>
      <c r="F2401" s="677">
        <f>3.2-2.4</f>
        <v>0.80000000000000027</v>
      </c>
      <c r="G2401" s="67">
        <f t="shared" si="69"/>
        <v>15.56</v>
      </c>
      <c r="H2401" s="930" t="s">
        <v>1306</v>
      </c>
    </row>
    <row r="2402" spans="1:9" ht="18" customHeight="1">
      <c r="A2402" s="75"/>
      <c r="B2402" s="63" t="s">
        <v>965</v>
      </c>
      <c r="C2402" s="70">
        <v>1</v>
      </c>
      <c r="D2402" s="567">
        <v>9.7230000000000008</v>
      </c>
      <c r="E2402" s="68"/>
      <c r="F2402" s="677">
        <f>3.2-2.4</f>
        <v>0.80000000000000027</v>
      </c>
      <c r="G2402" s="67">
        <f t="shared" si="69"/>
        <v>7.78</v>
      </c>
      <c r="H2402" s="930" t="s">
        <v>1306</v>
      </c>
    </row>
    <row r="2403" spans="1:9" ht="18" customHeight="1">
      <c r="A2403" s="75"/>
      <c r="B2403" s="63" t="s">
        <v>967</v>
      </c>
      <c r="C2403" s="70">
        <v>1</v>
      </c>
      <c r="D2403" s="68">
        <v>8.6170000000000009</v>
      </c>
      <c r="E2403" s="68"/>
      <c r="F2403" s="677">
        <f>3.2-2.4</f>
        <v>0.80000000000000027</v>
      </c>
      <c r="G2403" s="67">
        <f t="shared" si="69"/>
        <v>6.89</v>
      </c>
      <c r="H2403" s="930" t="s">
        <v>1306</v>
      </c>
    </row>
    <row r="2404" spans="1:9" ht="18" customHeight="1">
      <c r="A2404" s="75"/>
      <c r="B2404" s="63" t="s">
        <v>968</v>
      </c>
      <c r="C2404" s="70">
        <v>1</v>
      </c>
      <c r="D2404" s="567">
        <v>4.9870000000000001</v>
      </c>
      <c r="E2404" s="68"/>
      <c r="F2404" s="68">
        <v>0.8</v>
      </c>
      <c r="G2404" s="67">
        <f t="shared" si="69"/>
        <v>3.99</v>
      </c>
      <c r="H2404" s="930" t="s">
        <v>1306</v>
      </c>
    </row>
    <row r="2405" spans="1:9" ht="18" customHeight="1">
      <c r="A2405" s="75"/>
      <c r="B2405" s="63" t="s">
        <v>970</v>
      </c>
      <c r="C2405" s="70">
        <v>2</v>
      </c>
      <c r="D2405" s="567">
        <v>4.9870000000000001</v>
      </c>
      <c r="E2405" s="68"/>
      <c r="F2405" s="68">
        <v>0.8</v>
      </c>
      <c r="G2405" s="67">
        <f t="shared" si="69"/>
        <v>7.98</v>
      </c>
      <c r="H2405" s="930" t="s">
        <v>1306</v>
      </c>
    </row>
    <row r="2406" spans="1:9" ht="18" customHeight="1">
      <c r="A2406" s="75"/>
      <c r="B2406" s="63" t="s">
        <v>2143</v>
      </c>
      <c r="C2406" s="410">
        <v>1</v>
      </c>
      <c r="D2406" s="68">
        <f>1.875+2.725</f>
        <v>4.5999999999999996</v>
      </c>
      <c r="E2406" s="68"/>
      <c r="F2406" s="68">
        <v>3.2</v>
      </c>
      <c r="G2406" s="67">
        <f t="shared" si="69"/>
        <v>14.72</v>
      </c>
      <c r="H2406" s="930" t="s">
        <v>1306</v>
      </c>
    </row>
    <row r="2407" spans="1:9" ht="18" customHeight="1">
      <c r="A2407" s="75"/>
      <c r="B2407" s="63"/>
      <c r="C2407" s="410">
        <v>1</v>
      </c>
      <c r="D2407" s="68">
        <f>1.875+2.725</f>
        <v>4.5999999999999996</v>
      </c>
      <c r="E2407" s="68"/>
      <c r="F2407" s="677">
        <f>3.2-2.4</f>
        <v>0.80000000000000027</v>
      </c>
      <c r="G2407" s="67">
        <f t="shared" si="69"/>
        <v>3.68</v>
      </c>
      <c r="H2407" s="930" t="s">
        <v>1306</v>
      </c>
    </row>
    <row r="2408" spans="1:9" ht="18" customHeight="1">
      <c r="A2408" s="75"/>
      <c r="B2408" s="63" t="s">
        <v>2144</v>
      </c>
      <c r="C2408" s="70">
        <v>1</v>
      </c>
      <c r="D2408" s="567">
        <v>2.3620000000000001</v>
      </c>
      <c r="E2408" s="68"/>
      <c r="F2408" s="677">
        <f>3.2-2.4</f>
        <v>0.80000000000000027</v>
      </c>
      <c r="G2408" s="67">
        <f t="shared" si="69"/>
        <v>1.89</v>
      </c>
      <c r="H2408" s="930" t="s">
        <v>1306</v>
      </c>
    </row>
    <row r="2409" spans="1:9" ht="18" customHeight="1">
      <c r="A2409" s="75"/>
      <c r="B2409" s="63"/>
      <c r="C2409" s="70"/>
      <c r="D2409" s="68"/>
      <c r="E2409" s="68"/>
      <c r="F2409" s="68"/>
      <c r="G2409" s="67" t="str">
        <f t="shared" si="69"/>
        <v xml:space="preserve"> </v>
      </c>
      <c r="H2409" s="930" t="s">
        <v>1306</v>
      </c>
    </row>
    <row r="2410" spans="1:9" ht="18" customHeight="1">
      <c r="A2410" s="75"/>
      <c r="B2410" s="63"/>
      <c r="C2410" s="70"/>
      <c r="D2410" s="68"/>
      <c r="E2410" s="68"/>
      <c r="F2410" s="68"/>
      <c r="G2410" s="67" t="str">
        <f t="shared" si="69"/>
        <v xml:space="preserve"> </v>
      </c>
      <c r="H2410" s="930" t="s">
        <v>1306</v>
      </c>
    </row>
    <row r="2411" spans="1:9" ht="18" customHeight="1">
      <c r="A2411" s="75"/>
      <c r="B2411" s="80" t="s">
        <v>2061</v>
      </c>
      <c r="C2411" s="70"/>
      <c r="D2411" s="68"/>
      <c r="E2411" s="68"/>
      <c r="F2411" s="68"/>
      <c r="G2411" s="67" t="str">
        <f t="shared" si="69"/>
        <v xml:space="preserve"> </v>
      </c>
      <c r="H2411" s="930" t="s">
        <v>1306</v>
      </c>
    </row>
    <row r="2412" spans="1:9" s="78" customFormat="1" ht="18" customHeight="1">
      <c r="A2412" s="75"/>
      <c r="B2412" s="362" t="s">
        <v>939</v>
      </c>
      <c r="C2412" s="76"/>
      <c r="D2412" s="77"/>
      <c r="E2412" s="68"/>
      <c r="F2412" s="68"/>
      <c r="G2412" s="67" t="str">
        <f t="shared" si="69"/>
        <v xml:space="preserve"> </v>
      </c>
      <c r="H2412" s="930" t="s">
        <v>1306</v>
      </c>
      <c r="I2412" s="1227"/>
    </row>
    <row r="2413" spans="1:9" s="78" customFormat="1" ht="18" customHeight="1">
      <c r="A2413" s="75"/>
      <c r="B2413" s="63" t="s">
        <v>2062</v>
      </c>
      <c r="C2413" s="70">
        <v>4</v>
      </c>
      <c r="D2413" s="68">
        <v>0.9</v>
      </c>
      <c r="E2413" s="677">
        <v>0.3</v>
      </c>
      <c r="F2413" s="68"/>
      <c r="G2413" s="67">
        <f t="shared" si="69"/>
        <v>1.08</v>
      </c>
      <c r="H2413" s="930" t="s">
        <v>1306</v>
      </c>
      <c r="I2413" s="1227"/>
    </row>
    <row r="2414" spans="1:9" s="78" customFormat="1" ht="18" customHeight="1">
      <c r="A2414" s="75"/>
      <c r="B2414" s="63"/>
      <c r="C2414" s="70">
        <v>2</v>
      </c>
      <c r="D2414" s="68">
        <v>0.1</v>
      </c>
      <c r="E2414" s="677">
        <v>0.3</v>
      </c>
      <c r="F2414" s="68"/>
      <c r="G2414" s="67">
        <f t="shared" si="69"/>
        <v>0.06</v>
      </c>
      <c r="H2414" s="930" t="s">
        <v>1306</v>
      </c>
      <c r="I2414" s="1227"/>
    </row>
    <row r="2415" spans="1:9" s="78" customFormat="1" ht="18" customHeight="1">
      <c r="A2415" s="75"/>
      <c r="B2415" s="362" t="s">
        <v>937</v>
      </c>
      <c r="C2415" s="76"/>
      <c r="D2415" s="77"/>
      <c r="E2415" s="352"/>
      <c r="F2415" s="68"/>
      <c r="G2415" s="67" t="str">
        <f t="shared" si="69"/>
        <v xml:space="preserve"> </v>
      </c>
      <c r="H2415" s="930" t="s">
        <v>1306</v>
      </c>
      <c r="I2415" s="1227"/>
    </row>
    <row r="2416" spans="1:9" s="78" customFormat="1" ht="18" customHeight="1">
      <c r="A2416" s="75"/>
      <c r="B2416" s="63" t="s">
        <v>2062</v>
      </c>
      <c r="C2416" s="70">
        <v>4</v>
      </c>
      <c r="D2416" s="68">
        <v>0.9</v>
      </c>
      <c r="E2416" s="677">
        <v>0.3</v>
      </c>
      <c r="F2416" s="68"/>
      <c r="G2416" s="67">
        <f t="shared" si="69"/>
        <v>1.08</v>
      </c>
      <c r="H2416" s="930" t="s">
        <v>1306</v>
      </c>
      <c r="I2416" s="1227"/>
    </row>
    <row r="2417" spans="1:9" s="78" customFormat="1" ht="18" customHeight="1">
      <c r="A2417" s="75"/>
      <c r="B2417" s="63"/>
      <c r="C2417" s="70">
        <v>2</v>
      </c>
      <c r="D2417" s="68">
        <v>0.1</v>
      </c>
      <c r="E2417" s="677">
        <v>0.3</v>
      </c>
      <c r="F2417" s="68"/>
      <c r="G2417" s="67">
        <f t="shared" si="69"/>
        <v>0.06</v>
      </c>
      <c r="H2417" s="930" t="s">
        <v>1306</v>
      </c>
      <c r="I2417" s="1227"/>
    </row>
    <row r="2418" spans="1:9" s="78" customFormat="1" ht="18" customHeight="1">
      <c r="A2418" s="75"/>
      <c r="B2418" s="362" t="s">
        <v>938</v>
      </c>
      <c r="C2418" s="76"/>
      <c r="D2418" s="77"/>
      <c r="E2418" s="352"/>
      <c r="F2418" s="68"/>
      <c r="G2418" s="67" t="str">
        <f t="shared" si="69"/>
        <v xml:space="preserve"> </v>
      </c>
      <c r="H2418" s="930" t="s">
        <v>1306</v>
      </c>
      <c r="I2418" s="1227"/>
    </row>
    <row r="2419" spans="1:9" s="78" customFormat="1" ht="18" customHeight="1">
      <c r="A2419" s="75"/>
      <c r="B2419" s="63" t="s">
        <v>2062</v>
      </c>
      <c r="C2419" s="70">
        <v>4</v>
      </c>
      <c r="D2419" s="68">
        <v>0.9</v>
      </c>
      <c r="E2419" s="677">
        <v>0.87</v>
      </c>
      <c r="F2419" s="68"/>
      <c r="G2419" s="67">
        <f t="shared" si="69"/>
        <v>3.13</v>
      </c>
      <c r="H2419" s="930" t="s">
        <v>1306</v>
      </c>
      <c r="I2419" s="1227"/>
    </row>
    <row r="2420" spans="1:9" s="78" customFormat="1" ht="18" customHeight="1">
      <c r="A2420" s="75"/>
      <c r="B2420" s="63"/>
      <c r="C2420" s="70">
        <v>2</v>
      </c>
      <c r="D2420" s="68">
        <v>0.1</v>
      </c>
      <c r="E2420" s="677">
        <v>0.3</v>
      </c>
      <c r="F2420" s="68"/>
      <c r="G2420" s="67">
        <f t="shared" si="69"/>
        <v>0.06</v>
      </c>
      <c r="H2420" s="930" t="s">
        <v>1306</v>
      </c>
      <c r="I2420" s="1227"/>
    </row>
    <row r="2421" spans="1:9" s="78" customFormat="1" ht="18" customHeight="1">
      <c r="A2421" s="75"/>
      <c r="B2421" s="63"/>
      <c r="C2421" s="70"/>
      <c r="D2421" s="68"/>
      <c r="E2421" s="68"/>
      <c r="F2421" s="68"/>
      <c r="G2421" s="67" t="str">
        <f t="shared" si="69"/>
        <v xml:space="preserve"> </v>
      </c>
      <c r="H2421" s="930" t="s">
        <v>1306</v>
      </c>
      <c r="I2421" s="1227"/>
    </row>
    <row r="2422" spans="1:9" s="78" customFormat="1" ht="18" customHeight="1">
      <c r="A2422" s="75"/>
      <c r="B2422" s="80" t="s">
        <v>2145</v>
      </c>
      <c r="C2422" s="70"/>
      <c r="D2422" s="68"/>
      <c r="E2422" s="68"/>
      <c r="F2422" s="68"/>
      <c r="G2422" s="67" t="str">
        <f t="shared" si="69"/>
        <v xml:space="preserve"> </v>
      </c>
      <c r="H2422" s="930" t="s">
        <v>1306</v>
      </c>
      <c r="I2422" s="1227"/>
    </row>
    <row r="2423" spans="1:9" s="78" customFormat="1" ht="18" customHeight="1">
      <c r="A2423" s="75"/>
      <c r="B2423" s="64" t="s">
        <v>958</v>
      </c>
      <c r="C2423" s="70"/>
      <c r="D2423" s="68"/>
      <c r="E2423" s="68"/>
      <c r="F2423" s="68"/>
      <c r="G2423" s="67" t="str">
        <f t="shared" si="69"/>
        <v xml:space="preserve"> </v>
      </c>
      <c r="H2423" s="930" t="s">
        <v>1306</v>
      </c>
      <c r="I2423" s="1227"/>
    </row>
    <row r="2424" spans="1:9" s="78" customFormat="1" ht="18" customHeight="1">
      <c r="A2424" s="75"/>
      <c r="B2424" s="64" t="s">
        <v>959</v>
      </c>
      <c r="C2424" s="70"/>
      <c r="D2424" s="68"/>
      <c r="E2424" s="68"/>
      <c r="F2424" s="68"/>
      <c r="G2424" s="67" t="str">
        <f t="shared" si="69"/>
        <v xml:space="preserve"> </v>
      </c>
      <c r="H2424" s="930" t="s">
        <v>1306</v>
      </c>
      <c r="I2424" s="1227"/>
    </row>
    <row r="2425" spans="1:9" s="674" customFormat="1" ht="18" customHeight="1">
      <c r="A2425" s="75"/>
      <c r="B2425" s="64" t="s">
        <v>960</v>
      </c>
      <c r="C2425" s="410">
        <v>1</v>
      </c>
      <c r="D2425" s="352">
        <v>6.5659999999999998</v>
      </c>
      <c r="E2425" s="352"/>
      <c r="F2425" s="352">
        <v>2.7</v>
      </c>
      <c r="G2425" s="67">
        <f t="shared" si="69"/>
        <v>17.73</v>
      </c>
      <c r="H2425" s="950" t="s">
        <v>1306</v>
      </c>
      <c r="I2425" s="1246"/>
    </row>
    <row r="2426" spans="1:9" s="674" customFormat="1" ht="18" customHeight="1">
      <c r="A2426" s="75"/>
      <c r="B2426" s="64" t="s">
        <v>960</v>
      </c>
      <c r="C2426" s="410">
        <v>1</v>
      </c>
      <c r="D2426" s="352">
        <v>6.5659999999999998</v>
      </c>
      <c r="E2426" s="352"/>
      <c r="F2426" s="677">
        <v>0.3</v>
      </c>
      <c r="G2426" s="67">
        <f t="shared" si="69"/>
        <v>1.97</v>
      </c>
      <c r="H2426" s="950" t="s">
        <v>1306</v>
      </c>
      <c r="I2426" s="1246"/>
    </row>
    <row r="2427" spans="1:9" s="674" customFormat="1" ht="18" customHeight="1">
      <c r="A2427" s="75"/>
      <c r="B2427" s="64" t="s">
        <v>961</v>
      </c>
      <c r="C2427" s="410">
        <v>1</v>
      </c>
      <c r="D2427" s="352">
        <v>4.3449999999999998</v>
      </c>
      <c r="E2427" s="352"/>
      <c r="F2427" s="352">
        <v>2.7</v>
      </c>
      <c r="G2427" s="67">
        <f t="shared" si="69"/>
        <v>11.73</v>
      </c>
      <c r="H2427" s="950" t="s">
        <v>1306</v>
      </c>
      <c r="I2427" s="1246"/>
    </row>
    <row r="2428" spans="1:9" s="674" customFormat="1" ht="18" customHeight="1">
      <c r="A2428" s="75"/>
      <c r="B2428" s="64" t="s">
        <v>961</v>
      </c>
      <c r="C2428" s="410">
        <v>1</v>
      </c>
      <c r="D2428" s="352">
        <v>4.3449999999999998</v>
      </c>
      <c r="E2428" s="352"/>
      <c r="F2428" s="677">
        <v>0.3</v>
      </c>
      <c r="G2428" s="67">
        <f t="shared" si="69"/>
        <v>1.3</v>
      </c>
      <c r="H2428" s="950" t="s">
        <v>1306</v>
      </c>
      <c r="I2428" s="1246"/>
    </row>
    <row r="2429" spans="1:9" s="78" customFormat="1" ht="18" customHeight="1">
      <c r="A2429" s="75"/>
      <c r="B2429" s="63" t="s">
        <v>962</v>
      </c>
      <c r="C2429" s="70">
        <v>2</v>
      </c>
      <c r="D2429" s="68">
        <v>10.462999999999999</v>
      </c>
      <c r="E2429" s="68"/>
      <c r="F2429" s="677">
        <v>0.3</v>
      </c>
      <c r="G2429" s="67">
        <f t="shared" si="69"/>
        <v>6.28</v>
      </c>
      <c r="H2429" s="930" t="s">
        <v>1306</v>
      </c>
      <c r="I2429" s="1227"/>
    </row>
    <row r="2430" spans="1:9" s="78" customFormat="1" ht="18" customHeight="1">
      <c r="A2430" s="75"/>
      <c r="B2430" s="63" t="s">
        <v>965</v>
      </c>
      <c r="C2430" s="70">
        <v>1</v>
      </c>
      <c r="D2430" s="68">
        <f>2.298+4.6+3.825+0.1-0.1</f>
        <v>10.722999999999999</v>
      </c>
      <c r="E2430" s="68"/>
      <c r="F2430" s="677">
        <v>0.3</v>
      </c>
      <c r="G2430" s="67">
        <f t="shared" si="69"/>
        <v>3.22</v>
      </c>
      <c r="H2430" s="930" t="s">
        <v>1306</v>
      </c>
      <c r="I2430" s="1227"/>
    </row>
    <row r="2431" spans="1:9" s="78" customFormat="1" ht="18" customHeight="1">
      <c r="A2431" s="75"/>
      <c r="B2431" s="63" t="s">
        <v>1920</v>
      </c>
      <c r="C2431" s="70">
        <v>2</v>
      </c>
      <c r="D2431" s="68">
        <v>0.8</v>
      </c>
      <c r="E2431" s="68"/>
      <c r="F2431" s="68">
        <v>2.7</v>
      </c>
      <c r="G2431" s="67">
        <f t="shared" si="69"/>
        <v>4.32</v>
      </c>
      <c r="H2431" s="930" t="s">
        <v>1306</v>
      </c>
      <c r="I2431" s="1227"/>
    </row>
    <row r="2432" spans="1:9" s="78" customFormat="1" ht="18" customHeight="1">
      <c r="A2432" s="75"/>
      <c r="B2432" s="63" t="s">
        <v>967</v>
      </c>
      <c r="C2432" s="70">
        <v>1</v>
      </c>
      <c r="D2432" s="68">
        <v>8.6170000000000009</v>
      </c>
      <c r="E2432" s="68"/>
      <c r="F2432" s="677">
        <v>0.3</v>
      </c>
      <c r="G2432" s="67">
        <f t="shared" ref="G2432:G2495" si="70">IF(C2432&lt;&gt;0,ROUND(PRODUCT(D2432:F2432)*C2432,2)," ")</f>
        <v>2.59</v>
      </c>
      <c r="H2432" s="930" t="s">
        <v>1306</v>
      </c>
      <c r="I2432" s="1227"/>
    </row>
    <row r="2433" spans="1:9" s="674" customFormat="1" ht="18" customHeight="1">
      <c r="A2433" s="75"/>
      <c r="B2433" s="64" t="s">
        <v>968</v>
      </c>
      <c r="C2433" s="410">
        <v>1</v>
      </c>
      <c r="D2433" s="352">
        <v>5</v>
      </c>
      <c r="E2433" s="352"/>
      <c r="F2433" s="352">
        <v>2.7</v>
      </c>
      <c r="G2433" s="67">
        <f t="shared" si="70"/>
        <v>13.5</v>
      </c>
      <c r="H2433" s="950" t="s">
        <v>1306</v>
      </c>
      <c r="I2433" s="1246"/>
    </row>
    <row r="2434" spans="1:9" s="674" customFormat="1" ht="18" customHeight="1">
      <c r="A2434" s="75"/>
      <c r="B2434" s="64" t="s">
        <v>968</v>
      </c>
      <c r="C2434" s="410">
        <v>1</v>
      </c>
      <c r="D2434" s="352">
        <v>5</v>
      </c>
      <c r="E2434" s="352"/>
      <c r="F2434" s="677">
        <v>0.3</v>
      </c>
      <c r="G2434" s="67">
        <f t="shared" si="70"/>
        <v>1.5</v>
      </c>
      <c r="H2434" s="950" t="s">
        <v>1306</v>
      </c>
      <c r="I2434" s="1246"/>
    </row>
    <row r="2435" spans="1:9" s="674" customFormat="1" ht="18" customHeight="1">
      <c r="A2435" s="75"/>
      <c r="B2435" s="64" t="s">
        <v>970</v>
      </c>
      <c r="C2435" s="410">
        <v>1</v>
      </c>
      <c r="D2435" s="352">
        <v>5</v>
      </c>
      <c r="E2435" s="352"/>
      <c r="F2435" s="352">
        <v>2.7</v>
      </c>
      <c r="G2435" s="67">
        <f t="shared" si="70"/>
        <v>13.5</v>
      </c>
      <c r="H2435" s="950" t="s">
        <v>1306</v>
      </c>
      <c r="I2435" s="1246"/>
    </row>
    <row r="2436" spans="1:9" s="674" customFormat="1" ht="18" customHeight="1">
      <c r="A2436" s="75"/>
      <c r="B2436" s="64" t="s">
        <v>970</v>
      </c>
      <c r="C2436" s="410">
        <v>1</v>
      </c>
      <c r="D2436" s="352">
        <v>5</v>
      </c>
      <c r="E2436" s="352"/>
      <c r="F2436" s="677">
        <v>0.3</v>
      </c>
      <c r="G2436" s="67">
        <f t="shared" si="70"/>
        <v>1.5</v>
      </c>
      <c r="H2436" s="950" t="s">
        <v>1306</v>
      </c>
      <c r="I2436" s="1246"/>
    </row>
    <row r="2437" spans="1:9" s="674" customFormat="1" ht="18" customHeight="1">
      <c r="A2437" s="75"/>
      <c r="B2437" s="64" t="s">
        <v>2143</v>
      </c>
      <c r="C2437" s="410">
        <v>1</v>
      </c>
      <c r="D2437" s="352">
        <f>1.875+2.725</f>
        <v>4.5999999999999996</v>
      </c>
      <c r="E2437" s="352"/>
      <c r="F2437" s="352">
        <v>2.7</v>
      </c>
      <c r="G2437" s="67">
        <f t="shared" si="70"/>
        <v>12.42</v>
      </c>
      <c r="H2437" s="950" t="s">
        <v>1306</v>
      </c>
      <c r="I2437" s="1246"/>
    </row>
    <row r="2438" spans="1:9" s="674" customFormat="1" ht="18" customHeight="1">
      <c r="A2438" s="75"/>
      <c r="B2438" s="64" t="s">
        <v>2143</v>
      </c>
      <c r="C2438" s="410">
        <v>1</v>
      </c>
      <c r="D2438" s="352">
        <f>1.875+2.725</f>
        <v>4.5999999999999996</v>
      </c>
      <c r="E2438" s="352"/>
      <c r="F2438" s="677">
        <v>0.3</v>
      </c>
      <c r="G2438" s="67">
        <f t="shared" si="70"/>
        <v>1.38</v>
      </c>
      <c r="H2438" s="950" t="s">
        <v>1306</v>
      </c>
      <c r="I2438" s="1246"/>
    </row>
    <row r="2439" spans="1:9" s="78" customFormat="1" ht="18" customHeight="1">
      <c r="A2439" s="75"/>
      <c r="B2439" s="63" t="s">
        <v>2144</v>
      </c>
      <c r="C2439" s="70">
        <v>1</v>
      </c>
      <c r="D2439" s="68">
        <v>2.4620000000000002</v>
      </c>
      <c r="E2439" s="68"/>
      <c r="F2439" s="677">
        <v>0.3</v>
      </c>
      <c r="G2439" s="67">
        <f t="shared" si="70"/>
        <v>0.74</v>
      </c>
      <c r="H2439" s="930" t="s">
        <v>1306</v>
      </c>
      <c r="I2439" s="1227"/>
    </row>
    <row r="2440" spans="1:9" s="78" customFormat="1" ht="18" customHeight="1">
      <c r="A2440" s="75"/>
      <c r="B2440" s="362" t="s">
        <v>2146</v>
      </c>
      <c r="C2440" s="70"/>
      <c r="D2440" s="68"/>
      <c r="E2440" s="68"/>
      <c r="F2440" s="68"/>
      <c r="G2440" s="67" t="str">
        <f t="shared" si="70"/>
        <v xml:space="preserve"> </v>
      </c>
      <c r="H2440" s="930" t="s">
        <v>1306</v>
      </c>
      <c r="I2440" s="1227"/>
    </row>
    <row r="2441" spans="1:9" s="674" customFormat="1" ht="18" customHeight="1">
      <c r="A2441" s="75"/>
      <c r="B2441" s="64" t="s">
        <v>960</v>
      </c>
      <c r="C2441" s="410">
        <v>1</v>
      </c>
      <c r="D2441" s="352">
        <v>6.5659999999999998</v>
      </c>
      <c r="E2441" s="352"/>
      <c r="F2441" s="677">
        <v>2.7</v>
      </c>
      <c r="G2441" s="67">
        <f t="shared" si="70"/>
        <v>17.73</v>
      </c>
      <c r="H2441" s="950" t="s">
        <v>1306</v>
      </c>
      <c r="I2441" s="1246"/>
    </row>
    <row r="2442" spans="1:9" s="674" customFormat="1" ht="18" customHeight="1">
      <c r="A2442" s="75"/>
      <c r="B2442" s="64" t="s">
        <v>960</v>
      </c>
      <c r="C2442" s="410">
        <v>1</v>
      </c>
      <c r="D2442" s="352">
        <v>6.5659999999999998</v>
      </c>
      <c r="E2442" s="352"/>
      <c r="F2442" s="677">
        <v>0.3</v>
      </c>
      <c r="G2442" s="67">
        <f t="shared" si="70"/>
        <v>1.97</v>
      </c>
      <c r="H2442" s="950" t="s">
        <v>1306</v>
      </c>
      <c r="I2442" s="1246"/>
    </row>
    <row r="2443" spans="1:9" s="674" customFormat="1" ht="18" customHeight="1">
      <c r="A2443" s="75"/>
      <c r="B2443" s="64" t="s">
        <v>961</v>
      </c>
      <c r="C2443" s="410">
        <v>1</v>
      </c>
      <c r="D2443" s="352">
        <v>4.3449999999999998</v>
      </c>
      <c r="E2443" s="352"/>
      <c r="F2443" s="352">
        <v>2.7</v>
      </c>
      <c r="G2443" s="67">
        <f t="shared" si="70"/>
        <v>11.73</v>
      </c>
      <c r="H2443" s="950" t="s">
        <v>1306</v>
      </c>
      <c r="I2443" s="1246"/>
    </row>
    <row r="2444" spans="1:9" s="674" customFormat="1" ht="18" customHeight="1">
      <c r="A2444" s="75"/>
      <c r="B2444" s="64" t="s">
        <v>961</v>
      </c>
      <c r="C2444" s="410">
        <v>1</v>
      </c>
      <c r="D2444" s="352">
        <v>4.3449999999999998</v>
      </c>
      <c r="E2444" s="352"/>
      <c r="F2444" s="677">
        <v>0.3</v>
      </c>
      <c r="G2444" s="67">
        <f t="shared" si="70"/>
        <v>1.3</v>
      </c>
      <c r="H2444" s="950" t="s">
        <v>1306</v>
      </c>
      <c r="I2444" s="1246"/>
    </row>
    <row r="2445" spans="1:9" s="78" customFormat="1" ht="18" customHeight="1">
      <c r="A2445" s="75"/>
      <c r="B2445" s="63" t="s">
        <v>962</v>
      </c>
      <c r="C2445" s="70">
        <v>2</v>
      </c>
      <c r="D2445" s="68">
        <v>10.462999999999999</v>
      </c>
      <c r="E2445" s="68"/>
      <c r="F2445" s="677">
        <v>0.3</v>
      </c>
      <c r="G2445" s="67">
        <f t="shared" si="70"/>
        <v>6.28</v>
      </c>
      <c r="H2445" s="930" t="s">
        <v>1306</v>
      </c>
      <c r="I2445" s="1227"/>
    </row>
    <row r="2446" spans="1:9" s="78" customFormat="1" ht="18" customHeight="1">
      <c r="A2446" s="75"/>
      <c r="B2446" s="63" t="s">
        <v>965</v>
      </c>
      <c r="C2446" s="70">
        <v>1</v>
      </c>
      <c r="D2446" s="68">
        <f>2.298+4.6+3.825+0.1-0.1</f>
        <v>10.722999999999999</v>
      </c>
      <c r="E2446" s="68"/>
      <c r="F2446" s="677">
        <v>0.3</v>
      </c>
      <c r="G2446" s="67">
        <f t="shared" si="70"/>
        <v>3.22</v>
      </c>
      <c r="H2446" s="930" t="s">
        <v>1306</v>
      </c>
      <c r="I2446" s="1227"/>
    </row>
    <row r="2447" spans="1:9" s="78" customFormat="1" ht="18" customHeight="1">
      <c r="A2447" s="75"/>
      <c r="B2447" s="63" t="s">
        <v>967</v>
      </c>
      <c r="C2447" s="70">
        <v>1</v>
      </c>
      <c r="D2447" s="68">
        <v>8.6170000000000009</v>
      </c>
      <c r="E2447" s="68"/>
      <c r="F2447" s="677">
        <v>0.3</v>
      </c>
      <c r="G2447" s="67">
        <f t="shared" si="70"/>
        <v>2.59</v>
      </c>
      <c r="H2447" s="930" t="s">
        <v>1306</v>
      </c>
      <c r="I2447" s="1227"/>
    </row>
    <row r="2448" spans="1:9" s="674" customFormat="1" ht="18" customHeight="1">
      <c r="A2448" s="75"/>
      <c r="B2448" s="64" t="s">
        <v>968</v>
      </c>
      <c r="C2448" s="410">
        <v>1</v>
      </c>
      <c r="D2448" s="352">
        <v>5</v>
      </c>
      <c r="E2448" s="352"/>
      <c r="F2448" s="677">
        <v>0.3</v>
      </c>
      <c r="G2448" s="67">
        <f t="shared" si="70"/>
        <v>1.5</v>
      </c>
      <c r="H2448" s="950" t="s">
        <v>1306</v>
      </c>
      <c r="I2448" s="1246"/>
    </row>
    <row r="2449" spans="1:9" s="674" customFormat="1" ht="18" customHeight="1">
      <c r="A2449" s="75"/>
      <c r="B2449" s="64" t="s">
        <v>970</v>
      </c>
      <c r="C2449" s="410">
        <v>1</v>
      </c>
      <c r="D2449" s="352">
        <v>5</v>
      </c>
      <c r="E2449" s="352"/>
      <c r="F2449" s="352">
        <v>2.7</v>
      </c>
      <c r="G2449" s="67">
        <f t="shared" si="70"/>
        <v>13.5</v>
      </c>
      <c r="H2449" s="950" t="s">
        <v>1306</v>
      </c>
      <c r="I2449" s="1246"/>
    </row>
    <row r="2450" spans="1:9" s="674" customFormat="1" ht="18" customHeight="1">
      <c r="A2450" s="75"/>
      <c r="B2450" s="64" t="s">
        <v>970</v>
      </c>
      <c r="C2450" s="410">
        <v>1</v>
      </c>
      <c r="D2450" s="352">
        <v>5</v>
      </c>
      <c r="E2450" s="352"/>
      <c r="F2450" s="677">
        <v>0.3</v>
      </c>
      <c r="G2450" s="67">
        <f t="shared" si="70"/>
        <v>1.5</v>
      </c>
      <c r="H2450" s="950" t="s">
        <v>1306</v>
      </c>
      <c r="I2450" s="1246"/>
    </row>
    <row r="2451" spans="1:9" s="674" customFormat="1" ht="18" customHeight="1">
      <c r="A2451" s="75"/>
      <c r="B2451" s="64" t="s">
        <v>2143</v>
      </c>
      <c r="C2451" s="410">
        <v>1</v>
      </c>
      <c r="D2451" s="352">
        <f>1.875+2.725</f>
        <v>4.5999999999999996</v>
      </c>
      <c r="E2451" s="352"/>
      <c r="F2451" s="352">
        <v>2.7</v>
      </c>
      <c r="G2451" s="67">
        <f t="shared" si="70"/>
        <v>12.42</v>
      </c>
      <c r="H2451" s="950" t="s">
        <v>1306</v>
      </c>
      <c r="I2451" s="1246"/>
    </row>
    <row r="2452" spans="1:9" s="674" customFormat="1" ht="18" customHeight="1">
      <c r="A2452" s="75"/>
      <c r="B2452" s="64" t="s">
        <v>2143</v>
      </c>
      <c r="C2452" s="410">
        <v>1</v>
      </c>
      <c r="D2452" s="352">
        <f>1.875+2.725</f>
        <v>4.5999999999999996</v>
      </c>
      <c r="E2452" s="352"/>
      <c r="F2452" s="677">
        <v>0.3</v>
      </c>
      <c r="G2452" s="67">
        <f t="shared" si="70"/>
        <v>1.38</v>
      </c>
      <c r="H2452" s="950" t="s">
        <v>1306</v>
      </c>
      <c r="I2452" s="1246"/>
    </row>
    <row r="2453" spans="1:9" s="78" customFormat="1" ht="18" customHeight="1">
      <c r="A2453" s="75"/>
      <c r="B2453" s="63" t="s">
        <v>2144</v>
      </c>
      <c r="C2453" s="70">
        <v>1</v>
      </c>
      <c r="D2453" s="567">
        <v>2.3620000000000001</v>
      </c>
      <c r="E2453" s="68"/>
      <c r="F2453" s="677">
        <v>0.3</v>
      </c>
      <c r="G2453" s="67">
        <f t="shared" si="70"/>
        <v>0.71</v>
      </c>
      <c r="H2453" s="930" t="s">
        <v>1306</v>
      </c>
      <c r="I2453" s="1227"/>
    </row>
    <row r="2454" spans="1:9" s="78" customFormat="1" ht="18" customHeight="1">
      <c r="A2454" s="75"/>
      <c r="B2454" s="63"/>
      <c r="C2454" s="70"/>
      <c r="D2454" s="68"/>
      <c r="E2454" s="68"/>
      <c r="F2454" s="68"/>
      <c r="G2454" s="67" t="str">
        <f t="shared" si="70"/>
        <v xml:space="preserve"> </v>
      </c>
      <c r="H2454" s="930" t="s">
        <v>1306</v>
      </c>
      <c r="I2454" s="1227"/>
    </row>
    <row r="2455" spans="1:9" s="78" customFormat="1" ht="18" customHeight="1">
      <c r="A2455" s="75"/>
      <c r="B2455" s="64" t="s">
        <v>1115</v>
      </c>
      <c r="C2455" s="70"/>
      <c r="D2455" s="68"/>
      <c r="E2455" s="68"/>
      <c r="F2455" s="68"/>
      <c r="G2455" s="67" t="str">
        <f t="shared" si="70"/>
        <v xml:space="preserve"> </v>
      </c>
      <c r="H2455" s="930" t="s">
        <v>1306</v>
      </c>
      <c r="I2455" s="1227"/>
    </row>
    <row r="2456" spans="1:9" s="674" customFormat="1" ht="18" customHeight="1">
      <c r="A2456" s="75"/>
      <c r="B2456" s="64" t="s">
        <v>1116</v>
      </c>
      <c r="C2456" s="410">
        <v>1</v>
      </c>
      <c r="D2456" s="352">
        <f>3.2+6.3-0.7-2.245</f>
        <v>6.5550000000000006</v>
      </c>
      <c r="E2456" s="352"/>
      <c r="F2456" s="352">
        <v>2.7</v>
      </c>
      <c r="G2456" s="67">
        <f t="shared" si="70"/>
        <v>17.7</v>
      </c>
      <c r="H2456" s="950" t="s">
        <v>1306</v>
      </c>
      <c r="I2456" s="1246"/>
    </row>
    <row r="2457" spans="1:9" s="674" customFormat="1" ht="18" customHeight="1">
      <c r="A2457" s="75"/>
      <c r="B2457" s="64" t="s">
        <v>1116</v>
      </c>
      <c r="C2457" s="410">
        <v>1</v>
      </c>
      <c r="D2457" s="352">
        <f>3.2+6.3-0.7-2.245</f>
        <v>6.5550000000000006</v>
      </c>
      <c r="E2457" s="352"/>
      <c r="F2457" s="677">
        <v>0.3</v>
      </c>
      <c r="G2457" s="67">
        <f t="shared" si="70"/>
        <v>1.97</v>
      </c>
      <c r="H2457" s="950" t="s">
        <v>1306</v>
      </c>
      <c r="I2457" s="1246"/>
    </row>
    <row r="2458" spans="1:9" s="78" customFormat="1" ht="18" customHeight="1">
      <c r="A2458" s="75"/>
      <c r="B2458" s="63" t="s">
        <v>2135</v>
      </c>
      <c r="C2458" s="70">
        <v>2</v>
      </c>
      <c r="D2458" s="68">
        <v>0.85</v>
      </c>
      <c r="E2458" s="68"/>
      <c r="F2458" s="68">
        <v>2.7</v>
      </c>
      <c r="G2458" s="67">
        <f t="shared" si="70"/>
        <v>4.59</v>
      </c>
      <c r="H2458" s="930" t="s">
        <v>1306</v>
      </c>
      <c r="I2458" s="1227"/>
    </row>
    <row r="2459" spans="1:9" s="78" customFormat="1" ht="18" customHeight="1">
      <c r="A2459" s="75"/>
      <c r="B2459" s="63"/>
      <c r="C2459" s="70">
        <v>2</v>
      </c>
      <c r="D2459" s="68">
        <f>1.485+0.115</f>
        <v>1.6</v>
      </c>
      <c r="E2459" s="68"/>
      <c r="F2459" s="68">
        <v>2.7</v>
      </c>
      <c r="G2459" s="67">
        <f t="shared" si="70"/>
        <v>8.64</v>
      </c>
      <c r="H2459" s="930" t="s">
        <v>1306</v>
      </c>
      <c r="I2459" s="1227"/>
    </row>
    <row r="2460" spans="1:9" s="78" customFormat="1" ht="18" customHeight="1">
      <c r="A2460" s="75"/>
      <c r="B2460" s="63" t="s">
        <v>1096</v>
      </c>
      <c r="C2460" s="70">
        <v>1</v>
      </c>
      <c r="D2460" s="68">
        <f>3.2+6.3+3.2+0.23</f>
        <v>12.93</v>
      </c>
      <c r="E2460" s="68"/>
      <c r="F2460" s="677">
        <v>0.3</v>
      </c>
      <c r="G2460" s="67">
        <f t="shared" si="70"/>
        <v>3.88</v>
      </c>
      <c r="H2460" s="930" t="s">
        <v>1306</v>
      </c>
      <c r="I2460" s="1227"/>
    </row>
    <row r="2461" spans="1:9" s="78" customFormat="1" ht="18" customHeight="1">
      <c r="A2461" s="75"/>
      <c r="B2461" s="63"/>
      <c r="C2461" s="70"/>
      <c r="D2461" s="68"/>
      <c r="E2461" s="68"/>
      <c r="F2461" s="68"/>
      <c r="G2461" s="67" t="str">
        <f t="shared" si="70"/>
        <v xml:space="preserve"> </v>
      </c>
      <c r="H2461" s="930" t="s">
        <v>1306</v>
      </c>
      <c r="I2461" s="1227"/>
    </row>
    <row r="2462" spans="1:9" s="674" customFormat="1" ht="18" customHeight="1">
      <c r="A2462" s="75"/>
      <c r="B2462" s="643" t="s">
        <v>2147</v>
      </c>
      <c r="C2462" s="410">
        <v>1</v>
      </c>
      <c r="D2462" s="352">
        <v>2.27</v>
      </c>
      <c r="E2462" s="352"/>
      <c r="F2462" s="352">
        <v>2.7</v>
      </c>
      <c r="G2462" s="67">
        <f t="shared" si="70"/>
        <v>6.13</v>
      </c>
      <c r="H2462" s="950" t="s">
        <v>1306</v>
      </c>
      <c r="I2462" s="1246"/>
    </row>
    <row r="2463" spans="1:9" s="674" customFormat="1" ht="18" customHeight="1">
      <c r="A2463" s="75"/>
      <c r="B2463" s="64" t="s">
        <v>1144</v>
      </c>
      <c r="C2463" s="410">
        <v>1</v>
      </c>
      <c r="D2463" s="677">
        <v>6.7149999999999999</v>
      </c>
      <c r="E2463" s="352"/>
      <c r="F2463" s="677">
        <v>0.3</v>
      </c>
      <c r="G2463" s="67">
        <f t="shared" si="70"/>
        <v>2.0099999999999998</v>
      </c>
      <c r="H2463" s="950" t="s">
        <v>1306</v>
      </c>
      <c r="I2463" s="1246"/>
    </row>
    <row r="2464" spans="1:9" s="78" customFormat="1" ht="18" customHeight="1">
      <c r="A2464" s="75"/>
      <c r="B2464" s="63" t="s">
        <v>2148</v>
      </c>
      <c r="C2464" s="410">
        <v>-0.5</v>
      </c>
      <c r="D2464" s="68">
        <v>1.5</v>
      </c>
      <c r="E2464" s="68"/>
      <c r="F2464" s="68">
        <v>1.1000000000000001</v>
      </c>
      <c r="G2464" s="67">
        <f t="shared" si="70"/>
        <v>-0.83</v>
      </c>
      <c r="H2464" s="930" t="s">
        <v>1306</v>
      </c>
      <c r="I2464" s="1227"/>
    </row>
    <row r="2465" spans="1:9" s="78" customFormat="1" ht="18" customHeight="1">
      <c r="A2465" s="75"/>
      <c r="B2465" s="63" t="s">
        <v>1286</v>
      </c>
      <c r="C2465" s="70">
        <v>1</v>
      </c>
      <c r="D2465" s="567">
        <v>8.9290000000000003</v>
      </c>
      <c r="E2465" s="68"/>
      <c r="F2465" s="677">
        <v>0.3</v>
      </c>
      <c r="G2465" s="67">
        <f t="shared" si="70"/>
        <v>2.68</v>
      </c>
      <c r="H2465" s="930" t="s">
        <v>1306</v>
      </c>
      <c r="I2465" s="1227"/>
    </row>
    <row r="2466" spans="1:9" s="78" customFormat="1" ht="18" customHeight="1">
      <c r="A2466" s="75"/>
      <c r="B2466" s="63"/>
      <c r="C2466" s="70"/>
      <c r="D2466" s="68"/>
      <c r="E2466" s="68"/>
      <c r="F2466" s="68"/>
      <c r="G2466" s="67" t="str">
        <f t="shared" si="70"/>
        <v xml:space="preserve"> </v>
      </c>
      <c r="H2466" s="930" t="s">
        <v>1306</v>
      </c>
      <c r="I2466" s="1227"/>
    </row>
    <row r="2467" spans="1:9" s="674" customFormat="1" ht="18" customHeight="1">
      <c r="A2467" s="75"/>
      <c r="B2467" s="64" t="s">
        <v>1124</v>
      </c>
      <c r="C2467" s="410">
        <v>1</v>
      </c>
      <c r="D2467" s="352">
        <v>3.7</v>
      </c>
      <c r="E2467" s="352"/>
      <c r="F2467" s="352">
        <v>2.7</v>
      </c>
      <c r="G2467" s="67">
        <f t="shared" si="70"/>
        <v>9.99</v>
      </c>
      <c r="H2467" s="950" t="s">
        <v>1306</v>
      </c>
      <c r="I2467" s="1246"/>
    </row>
    <row r="2468" spans="1:9" s="674" customFormat="1" ht="18" customHeight="1">
      <c r="A2468" s="75"/>
      <c r="B2468" s="64"/>
      <c r="C2468" s="410">
        <v>1</v>
      </c>
      <c r="D2468" s="677">
        <v>3.6</v>
      </c>
      <c r="E2468" s="352"/>
      <c r="F2468" s="677">
        <v>0.3</v>
      </c>
      <c r="G2468" s="67">
        <f t="shared" si="70"/>
        <v>1.08</v>
      </c>
      <c r="H2468" s="950" t="s">
        <v>1306</v>
      </c>
      <c r="I2468" s="1246"/>
    </row>
    <row r="2469" spans="1:9" s="78" customFormat="1" ht="18" customHeight="1">
      <c r="A2469" s="75"/>
      <c r="B2469" s="64" t="s">
        <v>1125</v>
      </c>
      <c r="C2469" s="70"/>
      <c r="D2469" s="68"/>
      <c r="E2469" s="68"/>
      <c r="F2469" s="68"/>
      <c r="G2469" s="67" t="str">
        <f t="shared" si="70"/>
        <v xml:space="preserve"> </v>
      </c>
      <c r="H2469" s="930" t="s">
        <v>1306</v>
      </c>
      <c r="I2469" s="1227"/>
    </row>
    <row r="2470" spans="1:9" s="78" customFormat="1" ht="18" customHeight="1">
      <c r="A2470" s="75"/>
      <c r="B2470" s="644" t="s">
        <v>2149</v>
      </c>
      <c r="C2470" s="70">
        <v>1</v>
      </c>
      <c r="D2470" s="677">
        <v>4.8</v>
      </c>
      <c r="E2470" s="68"/>
      <c r="F2470" s="68">
        <v>2.7</v>
      </c>
      <c r="G2470" s="67">
        <f t="shared" si="70"/>
        <v>12.96</v>
      </c>
      <c r="H2470" s="930" t="s">
        <v>1306</v>
      </c>
      <c r="I2470" s="1227"/>
    </row>
    <row r="2471" spans="1:9" s="78" customFormat="1" ht="18" customHeight="1">
      <c r="A2471" s="75"/>
      <c r="B2471" s="644" t="s">
        <v>2137</v>
      </c>
      <c r="C2471" s="568">
        <v>2</v>
      </c>
      <c r="D2471" s="677">
        <v>1.9</v>
      </c>
      <c r="E2471" s="68"/>
      <c r="F2471" s="68">
        <v>2.7</v>
      </c>
      <c r="G2471" s="67">
        <f t="shared" si="70"/>
        <v>10.26</v>
      </c>
      <c r="H2471" s="930" t="s">
        <v>1306</v>
      </c>
      <c r="I2471" s="1227"/>
    </row>
    <row r="2472" spans="1:9" s="78" customFormat="1" ht="18" customHeight="1">
      <c r="A2472" s="75"/>
      <c r="B2472" s="63"/>
      <c r="C2472" s="70">
        <v>1</v>
      </c>
      <c r="D2472" s="352">
        <v>2.7</v>
      </c>
      <c r="E2472" s="68"/>
      <c r="F2472" s="68">
        <v>0.4</v>
      </c>
      <c r="G2472" s="67">
        <f t="shared" si="70"/>
        <v>1.08</v>
      </c>
      <c r="H2472" s="930" t="s">
        <v>1306</v>
      </c>
      <c r="I2472" s="1227"/>
    </row>
    <row r="2473" spans="1:9" s="78" customFormat="1" ht="18" customHeight="1">
      <c r="A2473" s="75"/>
      <c r="B2473" s="63" t="s">
        <v>1127</v>
      </c>
      <c r="C2473" s="410">
        <v>1</v>
      </c>
      <c r="D2473" s="567">
        <v>2.8</v>
      </c>
      <c r="E2473" s="68"/>
      <c r="F2473" s="68">
        <v>2.7</v>
      </c>
      <c r="G2473" s="67">
        <f t="shared" si="70"/>
        <v>7.56</v>
      </c>
      <c r="H2473" s="930" t="s">
        <v>1306</v>
      </c>
      <c r="I2473" s="1227"/>
    </row>
    <row r="2474" spans="1:9" s="78" customFormat="1" ht="18" customHeight="1">
      <c r="A2474" s="75"/>
      <c r="B2474" s="64" t="s">
        <v>1127</v>
      </c>
      <c r="C2474" s="410">
        <v>1</v>
      </c>
      <c r="D2474" s="567">
        <v>2.8</v>
      </c>
      <c r="E2474" s="68"/>
      <c r="F2474" s="677">
        <v>0.3</v>
      </c>
      <c r="G2474" s="67">
        <f t="shared" si="70"/>
        <v>0.84</v>
      </c>
      <c r="H2474" s="930" t="s">
        <v>1306</v>
      </c>
      <c r="I2474" s="1227"/>
    </row>
    <row r="2475" spans="1:9" s="674" customFormat="1" ht="18" customHeight="1">
      <c r="A2475" s="75"/>
      <c r="B2475" s="64" t="s">
        <v>1128</v>
      </c>
      <c r="C2475" s="410">
        <v>2</v>
      </c>
      <c r="D2475" s="352">
        <v>1.7</v>
      </c>
      <c r="E2475" s="352"/>
      <c r="F2475" s="677">
        <v>0.3</v>
      </c>
      <c r="G2475" s="67">
        <f t="shared" si="70"/>
        <v>1.02</v>
      </c>
      <c r="H2475" s="950" t="s">
        <v>1306</v>
      </c>
      <c r="I2475" s="1246"/>
    </row>
    <row r="2476" spans="1:9" s="78" customFormat="1" ht="18" customHeight="1">
      <c r="A2476" s="75"/>
      <c r="B2476" s="63" t="s">
        <v>1129</v>
      </c>
      <c r="C2476" s="70">
        <v>-0.5</v>
      </c>
      <c r="D2476" s="68">
        <v>0.8</v>
      </c>
      <c r="E2476" s="68"/>
      <c r="F2476" s="68">
        <v>2.1</v>
      </c>
      <c r="G2476" s="67">
        <f t="shared" si="70"/>
        <v>-0.84</v>
      </c>
      <c r="H2476" s="930" t="s">
        <v>1306</v>
      </c>
      <c r="I2476" s="1227"/>
    </row>
    <row r="2477" spans="1:9" s="78" customFormat="1" ht="18" customHeight="1">
      <c r="A2477" s="75"/>
      <c r="B2477" s="63" t="s">
        <v>1100</v>
      </c>
      <c r="C2477" s="568">
        <v>1</v>
      </c>
      <c r="D2477" s="567">
        <v>2.8</v>
      </c>
      <c r="E2477" s="68"/>
      <c r="F2477" s="68">
        <v>2.7</v>
      </c>
      <c r="G2477" s="67">
        <f t="shared" si="70"/>
        <v>7.56</v>
      </c>
      <c r="H2477" s="930" t="s">
        <v>1306</v>
      </c>
      <c r="I2477" s="1227"/>
    </row>
    <row r="2478" spans="1:9" s="78" customFormat="1" ht="18" customHeight="1">
      <c r="A2478" s="75"/>
      <c r="B2478" s="63" t="s">
        <v>1130</v>
      </c>
      <c r="C2478" s="70">
        <v>-1</v>
      </c>
      <c r="D2478" s="68">
        <v>1.85</v>
      </c>
      <c r="E2478" s="68"/>
      <c r="F2478" s="68">
        <v>2.4</v>
      </c>
      <c r="G2478" s="67">
        <f t="shared" si="70"/>
        <v>-4.4400000000000004</v>
      </c>
      <c r="H2478" s="930" t="s">
        <v>1306</v>
      </c>
      <c r="I2478" s="1227"/>
    </row>
    <row r="2479" spans="1:9" s="78" customFormat="1" ht="18" customHeight="1">
      <c r="A2479" s="75"/>
      <c r="B2479" s="63" t="s">
        <v>1131</v>
      </c>
      <c r="C2479" s="70">
        <v>-1</v>
      </c>
      <c r="D2479" s="68">
        <v>1.8</v>
      </c>
      <c r="E2479" s="68"/>
      <c r="F2479" s="68">
        <v>2.7</v>
      </c>
      <c r="G2479" s="67">
        <f t="shared" si="70"/>
        <v>-4.8600000000000003</v>
      </c>
      <c r="H2479" s="930" t="s">
        <v>1306</v>
      </c>
      <c r="I2479" s="1227"/>
    </row>
    <row r="2480" spans="1:9" s="78" customFormat="1" ht="18" customHeight="1">
      <c r="A2480" s="75"/>
      <c r="B2480" s="63"/>
      <c r="C2480" s="70"/>
      <c r="D2480" s="68"/>
      <c r="E2480" s="68"/>
      <c r="F2480" s="68"/>
      <c r="G2480" s="67" t="str">
        <f t="shared" si="70"/>
        <v xml:space="preserve"> </v>
      </c>
      <c r="H2480" s="930" t="s">
        <v>1306</v>
      </c>
      <c r="I2480" s="1227"/>
    </row>
    <row r="2481" spans="1:9" s="78" customFormat="1" ht="18" customHeight="1">
      <c r="A2481" s="75"/>
      <c r="B2481" s="63"/>
      <c r="C2481" s="70"/>
      <c r="D2481" s="68"/>
      <c r="E2481" s="68"/>
      <c r="F2481" s="68"/>
      <c r="G2481" s="67" t="str">
        <f t="shared" si="70"/>
        <v xml:space="preserve"> </v>
      </c>
      <c r="H2481" s="930" t="s">
        <v>1306</v>
      </c>
      <c r="I2481" s="1227"/>
    </row>
    <row r="2482" spans="1:9" s="78" customFormat="1" ht="18" customHeight="1">
      <c r="A2482" s="75"/>
      <c r="B2482" s="683" t="s">
        <v>2138</v>
      </c>
      <c r="C2482" s="76"/>
      <c r="D2482" s="77"/>
      <c r="E2482" s="68"/>
      <c r="F2482" s="68"/>
      <c r="G2482" s="67" t="str">
        <f t="shared" si="70"/>
        <v xml:space="preserve"> </v>
      </c>
      <c r="H2482" s="930" t="s">
        <v>1306</v>
      </c>
      <c r="I2482" s="1227"/>
    </row>
    <row r="2483" spans="1:9" s="78" customFormat="1" ht="18" customHeight="1">
      <c r="A2483" s="75"/>
      <c r="B2483" s="362" t="s">
        <v>939</v>
      </c>
      <c r="C2483" s="76"/>
      <c r="D2483" s="77"/>
      <c r="E2483" s="68"/>
      <c r="F2483" s="68"/>
      <c r="G2483" s="67" t="str">
        <f t="shared" si="70"/>
        <v xml:space="preserve"> </v>
      </c>
      <c r="H2483" s="930" t="s">
        <v>1306</v>
      </c>
      <c r="I2483" s="1227"/>
    </row>
    <row r="2484" spans="1:9" s="78" customFormat="1" ht="18" customHeight="1">
      <c r="A2484" s="75"/>
      <c r="B2484" s="63" t="s">
        <v>1923</v>
      </c>
      <c r="C2484" s="70">
        <v>4</v>
      </c>
      <c r="D2484" s="68">
        <v>0.9</v>
      </c>
      <c r="E2484" s="677">
        <v>0.3</v>
      </c>
      <c r="F2484" s="68"/>
      <c r="G2484" s="67">
        <f t="shared" si="70"/>
        <v>1.08</v>
      </c>
      <c r="H2484" s="930" t="s">
        <v>1306</v>
      </c>
      <c r="I2484" s="1227"/>
    </row>
    <row r="2485" spans="1:9" s="78" customFormat="1" ht="18" customHeight="1">
      <c r="A2485" s="75"/>
      <c r="B2485" s="63" t="s">
        <v>2062</v>
      </c>
      <c r="C2485" s="70">
        <v>4</v>
      </c>
      <c r="D2485" s="68">
        <v>0.9</v>
      </c>
      <c r="E2485" s="677">
        <v>0.3</v>
      </c>
      <c r="F2485" s="68"/>
      <c r="G2485" s="67">
        <f t="shared" si="70"/>
        <v>1.08</v>
      </c>
      <c r="H2485" s="930" t="s">
        <v>1306</v>
      </c>
      <c r="I2485" s="1227"/>
    </row>
    <row r="2486" spans="1:9" s="78" customFormat="1" ht="18" customHeight="1">
      <c r="A2486" s="75"/>
      <c r="B2486" s="64" t="s">
        <v>1132</v>
      </c>
      <c r="C2486" s="70"/>
      <c r="D2486" s="68"/>
      <c r="E2486" s="68"/>
      <c r="F2486" s="68"/>
      <c r="G2486" s="67" t="str">
        <f t="shared" si="70"/>
        <v xml:space="preserve"> </v>
      </c>
      <c r="H2486" s="930" t="s">
        <v>1306</v>
      </c>
      <c r="I2486" s="1227"/>
    </row>
    <row r="2487" spans="1:9" s="78" customFormat="1" ht="18" customHeight="1">
      <c r="A2487" s="75"/>
      <c r="B2487" s="63" t="s">
        <v>1133</v>
      </c>
      <c r="C2487" s="410">
        <v>1</v>
      </c>
      <c r="D2487" s="68">
        <f>3.2+0.115-0.1+1.2+0.115</f>
        <v>4.53</v>
      </c>
      <c r="E2487" s="68">
        <v>2.7</v>
      </c>
      <c r="F2487" s="68"/>
      <c r="G2487" s="67">
        <f t="shared" si="70"/>
        <v>12.23</v>
      </c>
      <c r="H2487" s="930" t="s">
        <v>1306</v>
      </c>
      <c r="I2487" s="1227"/>
    </row>
    <row r="2488" spans="1:9" s="78" customFormat="1" ht="18" customHeight="1">
      <c r="A2488" s="75"/>
      <c r="B2488" s="63" t="s">
        <v>1133</v>
      </c>
      <c r="C2488" s="410">
        <v>1</v>
      </c>
      <c r="D2488" s="68">
        <f>3.2+0.115-0.1+1.2+0.115</f>
        <v>4.53</v>
      </c>
      <c r="E2488" s="677">
        <v>0.3</v>
      </c>
      <c r="F2488" s="68"/>
      <c r="G2488" s="67">
        <f t="shared" si="70"/>
        <v>1.36</v>
      </c>
      <c r="H2488" s="930" t="s">
        <v>1306</v>
      </c>
      <c r="I2488" s="1227"/>
    </row>
    <row r="2489" spans="1:9" s="78" customFormat="1" ht="18" customHeight="1">
      <c r="A2489" s="75"/>
      <c r="B2489" s="63" t="s">
        <v>1134</v>
      </c>
      <c r="C2489" s="684">
        <v>-1</v>
      </c>
      <c r="D2489" s="77">
        <v>1.2</v>
      </c>
      <c r="E2489" s="68">
        <v>2.1</v>
      </c>
      <c r="F2489" s="68"/>
      <c r="G2489" s="67">
        <f t="shared" si="70"/>
        <v>-2.52</v>
      </c>
      <c r="H2489" s="930" t="s">
        <v>1306</v>
      </c>
      <c r="I2489" s="1227"/>
    </row>
    <row r="2490" spans="1:9" s="78" customFormat="1" ht="18" customHeight="1">
      <c r="A2490" s="75"/>
      <c r="B2490" s="63" t="s">
        <v>2150</v>
      </c>
      <c r="C2490" s="70">
        <v>2</v>
      </c>
      <c r="D2490" s="68">
        <f>3.2+0.115-0.1</f>
        <v>3.2150000000000003</v>
      </c>
      <c r="E2490" s="677">
        <v>0.3</v>
      </c>
      <c r="F2490" s="68"/>
      <c r="G2490" s="67">
        <f t="shared" si="70"/>
        <v>1.93</v>
      </c>
      <c r="H2490" s="930" t="s">
        <v>1306</v>
      </c>
      <c r="I2490" s="1227"/>
    </row>
    <row r="2491" spans="1:9" s="674" customFormat="1" ht="18" customHeight="1">
      <c r="A2491" s="75"/>
      <c r="B2491" s="64" t="s">
        <v>1135</v>
      </c>
      <c r="C2491" s="410">
        <v>1</v>
      </c>
      <c r="D2491" s="352">
        <f>5.234-0.19</f>
        <v>5.0439999999999996</v>
      </c>
      <c r="E2491" s="677">
        <v>0.3</v>
      </c>
      <c r="F2491" s="352"/>
      <c r="G2491" s="67">
        <f t="shared" si="70"/>
        <v>1.51</v>
      </c>
      <c r="H2491" s="950" t="s">
        <v>1306</v>
      </c>
      <c r="I2491" s="1246"/>
    </row>
    <row r="2492" spans="1:9" s="78" customFormat="1" ht="18" customHeight="1">
      <c r="A2492" s="75"/>
      <c r="B2492" s="63" t="s">
        <v>1135</v>
      </c>
      <c r="C2492" s="410">
        <v>1</v>
      </c>
      <c r="D2492" s="68">
        <v>2.7650000000000001</v>
      </c>
      <c r="E2492" s="677">
        <v>0.3</v>
      </c>
      <c r="F2492" s="68"/>
      <c r="G2492" s="67">
        <f t="shared" si="70"/>
        <v>0.83</v>
      </c>
      <c r="H2492" s="930" t="s">
        <v>1306</v>
      </c>
      <c r="I2492" s="1227"/>
    </row>
    <row r="2493" spans="1:9" s="78" customFormat="1" ht="18" customHeight="1">
      <c r="A2493" s="75"/>
      <c r="B2493" s="63" t="s">
        <v>1135</v>
      </c>
      <c r="C2493" s="410">
        <v>1</v>
      </c>
      <c r="D2493" s="352">
        <f>5.234-0.19-2.765</f>
        <v>2.2789999999999995</v>
      </c>
      <c r="E2493" s="68">
        <v>2.7</v>
      </c>
      <c r="F2493" s="68"/>
      <c r="G2493" s="67">
        <f t="shared" si="70"/>
        <v>6.15</v>
      </c>
      <c r="H2493" s="930" t="s">
        <v>1306</v>
      </c>
      <c r="I2493" s="1227"/>
    </row>
    <row r="2494" spans="1:9" s="78" customFormat="1" ht="18" customHeight="1">
      <c r="A2494" s="75"/>
      <c r="B2494" s="63" t="s">
        <v>1134</v>
      </c>
      <c r="C2494" s="427">
        <v>-0.5</v>
      </c>
      <c r="D2494" s="77">
        <v>1.2</v>
      </c>
      <c r="E2494" s="68">
        <v>2.1</v>
      </c>
      <c r="F2494" s="68"/>
      <c r="G2494" s="67">
        <f t="shared" si="70"/>
        <v>-1.26</v>
      </c>
      <c r="H2494" s="930" t="s">
        <v>1306</v>
      </c>
      <c r="I2494" s="1227"/>
    </row>
    <row r="2495" spans="1:9" s="78" customFormat="1" ht="18" customHeight="1">
      <c r="A2495" s="75"/>
      <c r="B2495" s="63" t="s">
        <v>2151</v>
      </c>
      <c r="C2495" s="70">
        <v>2</v>
      </c>
      <c r="D2495" s="68">
        <v>4.085</v>
      </c>
      <c r="E2495" s="677">
        <v>0.3</v>
      </c>
      <c r="F2495" s="68"/>
      <c r="G2495" s="67">
        <f t="shared" si="70"/>
        <v>2.4500000000000002</v>
      </c>
      <c r="H2495" s="930" t="s">
        <v>1306</v>
      </c>
      <c r="I2495" s="1227"/>
    </row>
    <row r="2496" spans="1:9" s="674" customFormat="1" ht="18" customHeight="1">
      <c r="A2496" s="75"/>
      <c r="B2496" s="64" t="s">
        <v>1136</v>
      </c>
      <c r="C2496" s="427">
        <v>1</v>
      </c>
      <c r="D2496" s="685">
        <v>6.1639999999999997</v>
      </c>
      <c r="E2496" s="352">
        <v>2.7</v>
      </c>
      <c r="F2496" s="352"/>
      <c r="G2496" s="67">
        <f t="shared" ref="G2496:G2512" si="71">IF(C2496&lt;&gt;0,ROUND(PRODUCT(D2496:F2496)*C2496,2)," ")</f>
        <v>16.64</v>
      </c>
      <c r="H2496" s="950" t="s">
        <v>1306</v>
      </c>
      <c r="I2496" s="1246"/>
    </row>
    <row r="2497" spans="1:9" s="674" customFormat="1" ht="18" customHeight="1">
      <c r="A2497" s="75"/>
      <c r="B2497" s="64" t="s">
        <v>1136</v>
      </c>
      <c r="C2497" s="427">
        <v>1</v>
      </c>
      <c r="D2497" s="685">
        <v>6.1639999999999997</v>
      </c>
      <c r="E2497" s="677">
        <v>0.3</v>
      </c>
      <c r="F2497" s="352"/>
      <c r="G2497" s="67">
        <f t="shared" si="71"/>
        <v>1.85</v>
      </c>
      <c r="H2497" s="950" t="s">
        <v>1306</v>
      </c>
      <c r="I2497" s="1246"/>
    </row>
    <row r="2498" spans="1:9" s="78" customFormat="1" ht="18" customHeight="1">
      <c r="A2498" s="75"/>
      <c r="B2498" s="63" t="s">
        <v>1137</v>
      </c>
      <c r="C2498" s="410">
        <v>-0.5</v>
      </c>
      <c r="D2498" s="68">
        <v>1</v>
      </c>
      <c r="E2498" s="68">
        <v>0.6</v>
      </c>
      <c r="F2498" s="68"/>
      <c r="G2498" s="67">
        <f t="shared" si="71"/>
        <v>-0.3</v>
      </c>
      <c r="H2498" s="930" t="s">
        <v>1306</v>
      </c>
      <c r="I2498" s="1227"/>
    </row>
    <row r="2499" spans="1:9" s="78" customFormat="1" ht="18" customHeight="1">
      <c r="A2499" s="75"/>
      <c r="B2499" s="63" t="s">
        <v>2152</v>
      </c>
      <c r="C2499" s="70">
        <v>2</v>
      </c>
      <c r="D2499" s="567">
        <v>7.64</v>
      </c>
      <c r="E2499" s="677">
        <v>0.3</v>
      </c>
      <c r="F2499" s="68"/>
      <c r="G2499" s="67">
        <f t="shared" si="71"/>
        <v>4.58</v>
      </c>
      <c r="H2499" s="930" t="s">
        <v>1306</v>
      </c>
      <c r="I2499" s="1227"/>
    </row>
    <row r="2500" spans="1:9" s="78" customFormat="1" ht="18" customHeight="1">
      <c r="A2500" s="75"/>
      <c r="B2500" s="63" t="s">
        <v>1138</v>
      </c>
      <c r="C2500" s="70">
        <v>2</v>
      </c>
      <c r="D2500" s="68">
        <v>3.0529999999999999</v>
      </c>
      <c r="E2500" s="677">
        <v>0.3</v>
      </c>
      <c r="F2500" s="68"/>
      <c r="G2500" s="67">
        <f t="shared" si="71"/>
        <v>1.83</v>
      </c>
      <c r="H2500" s="930" t="s">
        <v>1306</v>
      </c>
      <c r="I2500" s="1227"/>
    </row>
    <row r="2501" spans="1:9" s="78" customFormat="1" ht="18" customHeight="1">
      <c r="A2501" s="75"/>
      <c r="B2501" s="63" t="s">
        <v>1138</v>
      </c>
      <c r="C2501" s="70">
        <v>2</v>
      </c>
      <c r="D2501" s="68">
        <v>3.0529999999999999</v>
      </c>
      <c r="E2501" s="677">
        <v>0.3</v>
      </c>
      <c r="F2501" s="68"/>
      <c r="G2501" s="67">
        <f t="shared" si="71"/>
        <v>1.83</v>
      </c>
      <c r="H2501" s="930" t="s">
        <v>1306</v>
      </c>
      <c r="I2501" s="1227"/>
    </row>
    <row r="2502" spans="1:9" s="78" customFormat="1" ht="18" customHeight="1">
      <c r="A2502" s="75"/>
      <c r="B2502" s="63" t="s">
        <v>2153</v>
      </c>
      <c r="C2502" s="70">
        <v>2</v>
      </c>
      <c r="D2502" s="68">
        <v>3.0529999999999999</v>
      </c>
      <c r="E2502" s="677">
        <v>0.3</v>
      </c>
      <c r="F2502" s="68"/>
      <c r="G2502" s="67">
        <f t="shared" si="71"/>
        <v>1.83</v>
      </c>
      <c r="H2502" s="930" t="s">
        <v>1306</v>
      </c>
      <c r="I2502" s="1227"/>
    </row>
    <row r="2503" spans="1:9" s="78" customFormat="1" ht="18" customHeight="1">
      <c r="A2503" s="75"/>
      <c r="B2503" s="63" t="s">
        <v>1139</v>
      </c>
      <c r="C2503" s="70">
        <v>2</v>
      </c>
      <c r="D2503" s="68">
        <f>0.12+0.7+0.48</f>
        <v>1.2999999999999998</v>
      </c>
      <c r="E2503" s="677">
        <v>0.3</v>
      </c>
      <c r="F2503" s="68"/>
      <c r="G2503" s="67">
        <f t="shared" si="71"/>
        <v>0.78</v>
      </c>
      <c r="H2503" s="930" t="s">
        <v>1306</v>
      </c>
      <c r="I2503" s="1227"/>
    </row>
    <row r="2504" spans="1:9" s="78" customFormat="1" ht="18" customHeight="1">
      <c r="A2504" s="75"/>
      <c r="B2504" s="63"/>
      <c r="C2504" s="70">
        <v>2</v>
      </c>
      <c r="D2504" s="567">
        <v>1.597</v>
      </c>
      <c r="E2504" s="677">
        <v>0.3</v>
      </c>
      <c r="F2504" s="68"/>
      <c r="G2504" s="67">
        <f t="shared" si="71"/>
        <v>0.96</v>
      </c>
      <c r="H2504" s="930" t="s">
        <v>1306</v>
      </c>
      <c r="I2504" s="1227"/>
    </row>
    <row r="2505" spans="1:9" s="674" customFormat="1" ht="18" customHeight="1">
      <c r="A2505" s="75"/>
      <c r="B2505" s="64" t="s">
        <v>1141</v>
      </c>
      <c r="C2505" s="410">
        <v>1</v>
      </c>
      <c r="D2505" s="352">
        <f>0.75+1.2</f>
        <v>1.95</v>
      </c>
      <c r="E2505" s="352">
        <v>2.7</v>
      </c>
      <c r="F2505" s="352"/>
      <c r="G2505" s="67">
        <f t="shared" si="71"/>
        <v>5.27</v>
      </c>
      <c r="H2505" s="950" t="s">
        <v>1306</v>
      </c>
      <c r="I2505" s="1246"/>
    </row>
    <row r="2506" spans="1:9" s="674" customFormat="1" ht="18" customHeight="1">
      <c r="A2506" s="75"/>
      <c r="B2506" s="64" t="s">
        <v>1141</v>
      </c>
      <c r="C2506" s="410">
        <v>1</v>
      </c>
      <c r="D2506" s="352">
        <f>0.75+1.2</f>
        <v>1.95</v>
      </c>
      <c r="E2506" s="677">
        <v>0.3</v>
      </c>
      <c r="F2506" s="352"/>
      <c r="G2506" s="67">
        <f t="shared" si="71"/>
        <v>0.59</v>
      </c>
      <c r="H2506" s="950" t="s">
        <v>1306</v>
      </c>
      <c r="I2506" s="1246"/>
    </row>
    <row r="2507" spans="1:9" s="78" customFormat="1" ht="18" customHeight="1">
      <c r="A2507" s="75"/>
      <c r="B2507" s="63" t="s">
        <v>1142</v>
      </c>
      <c r="C2507" s="427">
        <v>-0.5</v>
      </c>
      <c r="D2507" s="77">
        <v>1.2</v>
      </c>
      <c r="E2507" s="68">
        <v>2.1</v>
      </c>
      <c r="F2507" s="68"/>
      <c r="G2507" s="67">
        <f t="shared" si="71"/>
        <v>-1.26</v>
      </c>
      <c r="H2507" s="930" t="s">
        <v>1306</v>
      </c>
      <c r="I2507" s="1227"/>
    </row>
    <row r="2508" spans="1:9" s="78" customFormat="1" ht="18" customHeight="1">
      <c r="A2508" s="75"/>
      <c r="B2508" s="63"/>
      <c r="C2508" s="76"/>
      <c r="D2508" s="77"/>
      <c r="E2508" s="68"/>
      <c r="F2508" s="68"/>
      <c r="G2508" s="67" t="str">
        <f t="shared" si="71"/>
        <v xml:space="preserve"> </v>
      </c>
      <c r="H2508" s="930" t="s">
        <v>1306</v>
      </c>
      <c r="I2508" s="1227"/>
    </row>
    <row r="2509" spans="1:9" s="78" customFormat="1" ht="18" customHeight="1">
      <c r="A2509" s="75"/>
      <c r="B2509" s="64" t="s">
        <v>1124</v>
      </c>
      <c r="C2509" s="410">
        <v>2</v>
      </c>
      <c r="D2509" s="567">
        <v>2.0499999999999998</v>
      </c>
      <c r="E2509" s="68">
        <v>2.7</v>
      </c>
      <c r="F2509" s="68">
        <v>0.3</v>
      </c>
      <c r="G2509" s="67">
        <f t="shared" si="71"/>
        <v>3.32</v>
      </c>
      <c r="H2509" s="930" t="s">
        <v>1306</v>
      </c>
      <c r="I2509" s="1227"/>
    </row>
    <row r="2510" spans="1:9" s="78" customFormat="1" ht="18" customHeight="1">
      <c r="A2510" s="75"/>
      <c r="B2510" s="64"/>
      <c r="C2510" s="410">
        <v>2</v>
      </c>
      <c r="D2510" s="68">
        <f>2.05-0.23</f>
        <v>1.8199999999999998</v>
      </c>
      <c r="E2510" s="677">
        <v>0.3</v>
      </c>
      <c r="F2510" s="68"/>
      <c r="G2510" s="67">
        <f t="shared" si="71"/>
        <v>1.0900000000000001</v>
      </c>
      <c r="H2510" s="930" t="s">
        <v>1306</v>
      </c>
      <c r="I2510" s="1227"/>
    </row>
    <row r="2511" spans="1:9" s="78" customFormat="1" ht="18" customHeight="1">
      <c r="A2511" s="75"/>
      <c r="B2511" s="63" t="s">
        <v>1140</v>
      </c>
      <c r="C2511" s="427">
        <v>-1</v>
      </c>
      <c r="D2511" s="77">
        <v>0.8</v>
      </c>
      <c r="E2511" s="68">
        <v>2.1</v>
      </c>
      <c r="F2511" s="68"/>
      <c r="G2511" s="67">
        <f t="shared" si="71"/>
        <v>-1.68</v>
      </c>
      <c r="H2511" s="930" t="s">
        <v>1306</v>
      </c>
      <c r="I2511" s="1227"/>
    </row>
    <row r="2512" spans="1:9" s="78" customFormat="1" ht="18" customHeight="1">
      <c r="A2512" s="75"/>
      <c r="B2512" s="63"/>
      <c r="C2512" s="76">
        <v>2</v>
      </c>
      <c r="D2512" s="77">
        <f>2.05-0.23</f>
        <v>1.8199999999999998</v>
      </c>
      <c r="E2512" s="677">
        <v>0.3</v>
      </c>
      <c r="F2512" s="68"/>
      <c r="G2512" s="67">
        <f t="shared" si="71"/>
        <v>1.0900000000000001</v>
      </c>
      <c r="H2512" s="930" t="s">
        <v>1306</v>
      </c>
      <c r="I2512" s="1227"/>
    </row>
    <row r="2513" spans="1:9" ht="18" customHeight="1">
      <c r="A2513" s="932"/>
      <c r="B2513" s="874" t="s">
        <v>2188</v>
      </c>
      <c r="C2513" s="875"/>
      <c r="D2513" s="874"/>
      <c r="E2513" s="874"/>
      <c r="F2513" s="874"/>
      <c r="G2513" s="842">
        <f>SUM(G1984:G2512)</f>
        <v>4354.1200000000008</v>
      </c>
      <c r="H2513" s="945" t="s">
        <v>350</v>
      </c>
      <c r="I2513" s="1226" t="s">
        <v>452</v>
      </c>
    </row>
    <row r="2514" spans="1:9" s="78" customFormat="1" ht="18" customHeight="1">
      <c r="A2514" s="641"/>
      <c r="B2514" s="81"/>
      <c r="C2514" s="573"/>
      <c r="D2514" s="574"/>
      <c r="E2514" s="414"/>
      <c r="F2514" s="405"/>
      <c r="G2514" s="664"/>
      <c r="H2514" s="946"/>
      <c r="I2514" s="1227"/>
    </row>
    <row r="2515" spans="1:9" ht="18" customHeight="1">
      <c r="A2515" s="932" t="s">
        <v>459</v>
      </c>
      <c r="B2515" s="876" t="s">
        <v>1763</v>
      </c>
      <c r="C2515" s="573"/>
      <c r="D2515" s="574"/>
      <c r="E2515" s="414"/>
      <c r="F2515" s="405"/>
      <c r="G2515" s="664"/>
      <c r="H2515" s="946"/>
    </row>
    <row r="2516" spans="1:9" ht="18" customHeight="1">
      <c r="A2516" s="75"/>
      <c r="B2516" s="607" t="s">
        <v>1541</v>
      </c>
      <c r="C2516" s="70"/>
      <c r="D2516" s="68"/>
      <c r="E2516" s="68"/>
      <c r="F2516" s="68"/>
      <c r="G2516" s="68"/>
      <c r="H2516" s="929"/>
    </row>
    <row r="2517" spans="1:9" ht="18" customHeight="1">
      <c r="A2517" s="75"/>
      <c r="B2517" s="406" t="s">
        <v>1542</v>
      </c>
      <c r="C2517" s="70">
        <v>1</v>
      </c>
      <c r="D2517" s="68">
        <f>3.2+6.45+6.45+6.3+6.45+6.45+3.2+3.925+3.925</f>
        <v>46.35</v>
      </c>
      <c r="E2517" s="68">
        <v>11.65</v>
      </c>
      <c r="F2517" s="68"/>
      <c r="G2517" s="67">
        <f t="shared" ref="G2517:G2580" si="72">IF(C2517&lt;&gt;0,ROUND(PRODUCT(D2517:F2517)*C2517,2)," ")</f>
        <v>539.98</v>
      </c>
      <c r="H2517" s="929" t="s">
        <v>1303</v>
      </c>
    </row>
    <row r="2518" spans="1:9" ht="18" customHeight="1">
      <c r="A2518" s="75"/>
      <c r="B2518" s="406" t="s">
        <v>1543</v>
      </c>
      <c r="C2518" s="70">
        <v>-15</v>
      </c>
      <c r="D2518" s="68">
        <v>1</v>
      </c>
      <c r="E2518" s="68">
        <v>1.8</v>
      </c>
      <c r="F2518" s="68"/>
      <c r="G2518" s="67">
        <f t="shared" si="72"/>
        <v>-27</v>
      </c>
      <c r="H2518" s="929" t="s">
        <v>1303</v>
      </c>
    </row>
    <row r="2519" spans="1:9" ht="18" customHeight="1">
      <c r="A2519" s="75"/>
      <c r="B2519" s="406" t="s">
        <v>1544</v>
      </c>
      <c r="C2519" s="70">
        <v>-2</v>
      </c>
      <c r="D2519" s="68">
        <v>1.7</v>
      </c>
      <c r="E2519" s="68">
        <v>2.4</v>
      </c>
      <c r="F2519" s="68"/>
      <c r="G2519" s="67">
        <f t="shared" si="72"/>
        <v>-8.16</v>
      </c>
      <c r="H2519" s="929" t="s">
        <v>1303</v>
      </c>
    </row>
    <row r="2520" spans="1:9" ht="18" customHeight="1">
      <c r="A2520" s="75"/>
      <c r="B2520" s="406" t="s">
        <v>1545</v>
      </c>
      <c r="C2520" s="70">
        <v>2</v>
      </c>
      <c r="D2520" s="68">
        <f>1.7+1.7+2.4+2.4</f>
        <v>8.1999999999999993</v>
      </c>
      <c r="E2520" s="68">
        <v>0.1</v>
      </c>
      <c r="F2520" s="68"/>
      <c r="G2520" s="67">
        <f t="shared" si="72"/>
        <v>1.64</v>
      </c>
      <c r="H2520" s="929" t="s">
        <v>1303</v>
      </c>
    </row>
    <row r="2521" spans="1:9" ht="18" customHeight="1">
      <c r="A2521" s="75"/>
      <c r="B2521" s="63" t="s">
        <v>1546</v>
      </c>
      <c r="C2521" s="70">
        <v>-1</v>
      </c>
      <c r="D2521" s="68">
        <v>1.8</v>
      </c>
      <c r="E2521" s="68">
        <v>2.7</v>
      </c>
      <c r="F2521" s="68"/>
      <c r="G2521" s="67">
        <f t="shared" si="72"/>
        <v>-4.8600000000000003</v>
      </c>
      <c r="H2521" s="929" t="s">
        <v>1303</v>
      </c>
    </row>
    <row r="2522" spans="1:9" ht="18" customHeight="1">
      <c r="A2522" s="75"/>
      <c r="B2522" s="406" t="s">
        <v>1545</v>
      </c>
      <c r="C2522" s="70">
        <v>1</v>
      </c>
      <c r="D2522" s="68">
        <f>1.8+1.8+2.7+2.7</f>
        <v>9</v>
      </c>
      <c r="E2522" s="68">
        <v>0.1</v>
      </c>
      <c r="F2522" s="68"/>
      <c r="G2522" s="67">
        <f t="shared" si="72"/>
        <v>0.9</v>
      </c>
      <c r="H2522" s="929" t="s">
        <v>1303</v>
      </c>
    </row>
    <row r="2523" spans="1:9" ht="18" customHeight="1">
      <c r="A2523" s="75"/>
      <c r="B2523" s="63" t="s">
        <v>1547</v>
      </c>
      <c r="C2523" s="70">
        <v>-1</v>
      </c>
      <c r="D2523" s="68">
        <v>4.9000000000000004</v>
      </c>
      <c r="E2523" s="68">
        <v>1.8</v>
      </c>
      <c r="F2523" s="68"/>
      <c r="G2523" s="67">
        <f t="shared" si="72"/>
        <v>-8.82</v>
      </c>
      <c r="H2523" s="929" t="s">
        <v>1303</v>
      </c>
    </row>
    <row r="2524" spans="1:9" ht="18" customHeight="1">
      <c r="A2524" s="75"/>
      <c r="B2524" s="406" t="s">
        <v>1545</v>
      </c>
      <c r="C2524" s="70">
        <v>1</v>
      </c>
      <c r="D2524" s="68">
        <f>4.9+4.9+1.8+1.8</f>
        <v>13.400000000000002</v>
      </c>
      <c r="E2524" s="68">
        <v>0.1</v>
      </c>
      <c r="F2524" s="68"/>
      <c r="G2524" s="67">
        <f t="shared" si="72"/>
        <v>1.34</v>
      </c>
      <c r="H2524" s="929" t="s">
        <v>1303</v>
      </c>
    </row>
    <row r="2525" spans="1:9" ht="18" customHeight="1">
      <c r="A2525" s="75"/>
      <c r="B2525" s="406" t="s">
        <v>1548</v>
      </c>
      <c r="C2525" s="70">
        <v>-1</v>
      </c>
      <c r="D2525" s="68">
        <v>3.0249999999999999</v>
      </c>
      <c r="E2525" s="68">
        <v>11.65</v>
      </c>
      <c r="F2525" s="68"/>
      <c r="G2525" s="67">
        <f t="shared" si="72"/>
        <v>-35.24</v>
      </c>
      <c r="H2525" s="929" t="s">
        <v>1303</v>
      </c>
    </row>
    <row r="2526" spans="1:9" ht="18" customHeight="1">
      <c r="A2526" s="75"/>
      <c r="B2526" s="406" t="s">
        <v>1549</v>
      </c>
      <c r="C2526" s="70">
        <v>2</v>
      </c>
      <c r="D2526" s="68">
        <f>3.025+11.65+11.65</f>
        <v>26.325000000000003</v>
      </c>
      <c r="E2526" s="68">
        <v>0.1</v>
      </c>
      <c r="F2526" s="68"/>
      <c r="G2526" s="67">
        <f t="shared" si="72"/>
        <v>5.27</v>
      </c>
      <c r="H2526" s="929" t="s">
        <v>1303</v>
      </c>
    </row>
    <row r="2527" spans="1:9" ht="18" customHeight="1">
      <c r="A2527" s="75"/>
      <c r="B2527" s="607" t="s">
        <v>1550</v>
      </c>
      <c r="C2527" s="70"/>
      <c r="D2527" s="68"/>
      <c r="E2527" s="68"/>
      <c r="F2527" s="68"/>
      <c r="G2527" s="67" t="str">
        <f t="shared" si="72"/>
        <v xml:space="preserve"> </v>
      </c>
      <c r="H2527" s="929" t="s">
        <v>1303</v>
      </c>
    </row>
    <row r="2528" spans="1:9" ht="18" customHeight="1">
      <c r="A2528" s="75"/>
      <c r="B2528" s="406" t="s">
        <v>1193</v>
      </c>
      <c r="C2528" s="70">
        <v>1</v>
      </c>
      <c r="D2528" s="68">
        <f>2.298+4.6+3.825+3.2+6.45+6.45+6.3+6.45+6.45+3.2+3.825+4.6+2.298</f>
        <v>59.946000000000012</v>
      </c>
      <c r="E2528" s="68">
        <v>11.65</v>
      </c>
      <c r="F2528" s="68"/>
      <c r="G2528" s="67">
        <f t="shared" si="72"/>
        <v>698.37</v>
      </c>
      <c r="H2528" s="929" t="s">
        <v>1303</v>
      </c>
    </row>
    <row r="2529" spans="1:8" ht="18" customHeight="1">
      <c r="A2529" s="75"/>
      <c r="B2529" s="406" t="s">
        <v>1551</v>
      </c>
      <c r="C2529" s="70">
        <v>-11</v>
      </c>
      <c r="D2529" s="68">
        <v>1</v>
      </c>
      <c r="E2529" s="68">
        <v>1.8</v>
      </c>
      <c r="F2529" s="68"/>
      <c r="G2529" s="67">
        <f t="shared" si="72"/>
        <v>-19.8</v>
      </c>
      <c r="H2529" s="929" t="s">
        <v>1303</v>
      </c>
    </row>
    <row r="2530" spans="1:8" ht="18" customHeight="1">
      <c r="A2530" s="75"/>
      <c r="B2530" s="406" t="s">
        <v>1552</v>
      </c>
      <c r="C2530" s="70">
        <v>-6</v>
      </c>
      <c r="D2530" s="68">
        <v>1</v>
      </c>
      <c r="E2530" s="68">
        <v>1.8</v>
      </c>
      <c r="F2530" s="68"/>
      <c r="G2530" s="67">
        <f t="shared" si="72"/>
        <v>-10.8</v>
      </c>
      <c r="H2530" s="929" t="s">
        <v>1303</v>
      </c>
    </row>
    <row r="2531" spans="1:8" ht="18" customHeight="1">
      <c r="A2531" s="75"/>
      <c r="B2531" s="406" t="s">
        <v>1553</v>
      </c>
      <c r="C2531" s="70">
        <v>-1.5</v>
      </c>
      <c r="D2531" s="68">
        <v>1.5</v>
      </c>
      <c r="E2531" s="68">
        <v>1.1000000000000001</v>
      </c>
      <c r="F2531" s="68"/>
      <c r="G2531" s="67">
        <f t="shared" si="72"/>
        <v>-2.48</v>
      </c>
      <c r="H2531" s="929" t="s">
        <v>1303</v>
      </c>
    </row>
    <row r="2532" spans="1:8" ht="18" customHeight="1">
      <c r="A2532" s="75"/>
      <c r="B2532" s="406" t="s">
        <v>1554</v>
      </c>
      <c r="C2532" s="70">
        <v>-0.5</v>
      </c>
      <c r="D2532" s="68">
        <v>0.6</v>
      </c>
      <c r="E2532" s="68">
        <v>0.6</v>
      </c>
      <c r="F2532" s="68"/>
      <c r="G2532" s="67">
        <f t="shared" si="72"/>
        <v>-0.18</v>
      </c>
      <c r="H2532" s="929" t="s">
        <v>1303</v>
      </c>
    </row>
    <row r="2533" spans="1:8" ht="18" customHeight="1">
      <c r="A2533" s="75"/>
      <c r="B2533" s="406" t="s">
        <v>1555</v>
      </c>
      <c r="C2533" s="70">
        <v>-0.5</v>
      </c>
      <c r="D2533" s="68">
        <v>1</v>
      </c>
      <c r="E2533" s="68">
        <v>2.1</v>
      </c>
      <c r="F2533" s="68"/>
      <c r="G2533" s="67">
        <f t="shared" si="72"/>
        <v>-1.05</v>
      </c>
      <c r="H2533" s="929" t="s">
        <v>1303</v>
      </c>
    </row>
    <row r="2534" spans="1:8" ht="18" customHeight="1">
      <c r="A2534" s="75"/>
      <c r="B2534" s="406" t="s">
        <v>1556</v>
      </c>
      <c r="C2534" s="70">
        <v>-0.5</v>
      </c>
      <c r="D2534" s="68">
        <v>1.2</v>
      </c>
      <c r="E2534" s="68">
        <v>2.1</v>
      </c>
      <c r="F2534" s="68"/>
      <c r="G2534" s="67">
        <f t="shared" si="72"/>
        <v>-1.26</v>
      </c>
      <c r="H2534" s="929" t="s">
        <v>1303</v>
      </c>
    </row>
    <row r="2535" spans="1:8" ht="18" customHeight="1">
      <c r="A2535" s="75"/>
      <c r="B2535" s="406" t="s">
        <v>1544</v>
      </c>
      <c r="C2535" s="70">
        <v>-1</v>
      </c>
      <c r="D2535" s="68">
        <v>1.7</v>
      </c>
      <c r="E2535" s="68">
        <v>2.4</v>
      </c>
      <c r="F2535" s="68"/>
      <c r="G2535" s="67">
        <f t="shared" si="72"/>
        <v>-4.08</v>
      </c>
      <c r="H2535" s="929" t="s">
        <v>1303</v>
      </c>
    </row>
    <row r="2536" spans="1:8" ht="18" customHeight="1">
      <c r="A2536" s="75"/>
      <c r="B2536" s="406" t="s">
        <v>1545</v>
      </c>
      <c r="C2536" s="70">
        <v>1</v>
      </c>
      <c r="D2536" s="68">
        <f>1.7+1.7+2.4+2.4</f>
        <v>8.1999999999999993</v>
      </c>
      <c r="E2536" s="68">
        <v>0.1</v>
      </c>
      <c r="F2536" s="68"/>
      <c r="G2536" s="67">
        <f t="shared" si="72"/>
        <v>0.82</v>
      </c>
      <c r="H2536" s="929" t="s">
        <v>1303</v>
      </c>
    </row>
    <row r="2537" spans="1:8" ht="18" customHeight="1">
      <c r="A2537" s="75"/>
      <c r="B2537" s="406" t="s">
        <v>1557</v>
      </c>
      <c r="C2537" s="70">
        <v>-1</v>
      </c>
      <c r="D2537" s="68">
        <v>1.8</v>
      </c>
      <c r="E2537" s="68">
        <v>2.1</v>
      </c>
      <c r="F2537" s="68"/>
      <c r="G2537" s="67">
        <f t="shared" si="72"/>
        <v>-3.78</v>
      </c>
      <c r="H2537" s="929" t="s">
        <v>1303</v>
      </c>
    </row>
    <row r="2538" spans="1:8" ht="18" customHeight="1">
      <c r="A2538" s="75"/>
      <c r="B2538" s="406" t="s">
        <v>1545</v>
      </c>
      <c r="C2538" s="70">
        <v>1</v>
      </c>
      <c r="D2538" s="68">
        <f>2.1+2.1+1.8</f>
        <v>6</v>
      </c>
      <c r="E2538" s="68">
        <v>0.1</v>
      </c>
      <c r="F2538" s="68"/>
      <c r="G2538" s="67">
        <f t="shared" si="72"/>
        <v>0.6</v>
      </c>
      <c r="H2538" s="929" t="s">
        <v>1303</v>
      </c>
    </row>
    <row r="2539" spans="1:8" ht="18" customHeight="1">
      <c r="A2539" s="75"/>
      <c r="B2539" s="607" t="s">
        <v>1558</v>
      </c>
      <c r="C2539" s="70"/>
      <c r="D2539" s="68"/>
      <c r="E2539" s="68"/>
      <c r="F2539" s="68"/>
      <c r="G2539" s="67" t="str">
        <f t="shared" si="72"/>
        <v xml:space="preserve"> </v>
      </c>
      <c r="H2539" s="929" t="s">
        <v>1303</v>
      </c>
    </row>
    <row r="2540" spans="1:8" ht="18" customHeight="1">
      <c r="A2540" s="75"/>
      <c r="B2540" s="406" t="s">
        <v>1559</v>
      </c>
      <c r="C2540" s="70">
        <v>1</v>
      </c>
      <c r="D2540" s="68">
        <v>45.677999999999997</v>
      </c>
      <c r="E2540" s="68">
        <v>11.65</v>
      </c>
      <c r="F2540" s="68"/>
      <c r="G2540" s="67">
        <f t="shared" si="72"/>
        <v>532.15</v>
      </c>
      <c r="H2540" s="929" t="s">
        <v>1303</v>
      </c>
    </row>
    <row r="2541" spans="1:8" ht="18" customHeight="1">
      <c r="A2541" s="75"/>
      <c r="B2541" s="406" t="s">
        <v>1560</v>
      </c>
      <c r="C2541" s="70">
        <v>1</v>
      </c>
      <c r="D2541" s="68">
        <v>9.36</v>
      </c>
      <c r="E2541" s="68">
        <v>3.9</v>
      </c>
      <c r="F2541" s="68"/>
      <c r="G2541" s="67">
        <f t="shared" si="72"/>
        <v>36.5</v>
      </c>
      <c r="H2541" s="929" t="s">
        <v>1303</v>
      </c>
    </row>
    <row r="2542" spans="1:8" ht="18" customHeight="1">
      <c r="A2542" s="75"/>
      <c r="B2542" s="406" t="s">
        <v>1561</v>
      </c>
      <c r="C2542" s="70">
        <v>-10.5</v>
      </c>
      <c r="D2542" s="68">
        <v>1</v>
      </c>
      <c r="E2542" s="68">
        <v>1.8</v>
      </c>
      <c r="F2542" s="68"/>
      <c r="G2542" s="67">
        <f t="shared" si="72"/>
        <v>-18.899999999999999</v>
      </c>
      <c r="H2542" s="929" t="s">
        <v>1303</v>
      </c>
    </row>
    <row r="2543" spans="1:8" ht="18" customHeight="1">
      <c r="A2543" s="75"/>
      <c r="B2543" s="406" t="s">
        <v>1556</v>
      </c>
      <c r="C2543" s="70">
        <v>-0.5</v>
      </c>
      <c r="D2543" s="68">
        <v>1.2</v>
      </c>
      <c r="E2543" s="68">
        <v>2.1</v>
      </c>
      <c r="F2543" s="68"/>
      <c r="G2543" s="67">
        <f t="shared" si="72"/>
        <v>-1.26</v>
      </c>
      <c r="H2543" s="929" t="s">
        <v>1303</v>
      </c>
    </row>
    <row r="2544" spans="1:8" ht="18" customHeight="1">
      <c r="A2544" s="75"/>
      <c r="B2544" s="406" t="s">
        <v>1548</v>
      </c>
      <c r="C2544" s="70">
        <v>-1</v>
      </c>
      <c r="D2544" s="68">
        <v>2.7949999999999999</v>
      </c>
      <c r="E2544" s="68">
        <v>11.65</v>
      </c>
      <c r="F2544" s="68"/>
      <c r="G2544" s="67">
        <f t="shared" si="72"/>
        <v>-32.56</v>
      </c>
      <c r="H2544" s="929" t="s">
        <v>1303</v>
      </c>
    </row>
    <row r="2545" spans="1:8" ht="18" customHeight="1">
      <c r="A2545" s="75"/>
      <c r="B2545" s="406" t="s">
        <v>1549</v>
      </c>
      <c r="C2545" s="70">
        <v>1</v>
      </c>
      <c r="D2545" s="68">
        <f>3.175+11.65+11.65</f>
        <v>26.475000000000001</v>
      </c>
      <c r="E2545" s="68">
        <v>0.1</v>
      </c>
      <c r="F2545" s="68"/>
      <c r="G2545" s="67">
        <f t="shared" si="72"/>
        <v>2.65</v>
      </c>
      <c r="H2545" s="929" t="s">
        <v>1303</v>
      </c>
    </row>
    <row r="2546" spans="1:8" ht="18" customHeight="1">
      <c r="A2546" s="75"/>
      <c r="B2546" s="406" t="s">
        <v>1548</v>
      </c>
      <c r="C2546" s="70">
        <v>-1</v>
      </c>
      <c r="D2546" s="68">
        <v>3.55</v>
      </c>
      <c r="E2546" s="68">
        <v>11.65</v>
      </c>
      <c r="F2546" s="68"/>
      <c r="G2546" s="67">
        <f t="shared" si="72"/>
        <v>-41.36</v>
      </c>
      <c r="H2546" s="929" t="s">
        <v>1303</v>
      </c>
    </row>
    <row r="2547" spans="1:8" ht="18" customHeight="1">
      <c r="A2547" s="75"/>
      <c r="B2547" s="406" t="s">
        <v>1549</v>
      </c>
      <c r="C2547" s="70">
        <v>1</v>
      </c>
      <c r="D2547" s="68">
        <f>3.55+11.65+11.65</f>
        <v>26.85</v>
      </c>
      <c r="E2547" s="68">
        <v>0.1</v>
      </c>
      <c r="F2547" s="68"/>
      <c r="G2547" s="67">
        <f t="shared" si="72"/>
        <v>2.69</v>
      </c>
      <c r="H2547" s="929" t="s">
        <v>1303</v>
      </c>
    </row>
    <row r="2548" spans="1:8" ht="18" customHeight="1">
      <c r="A2548" s="75"/>
      <c r="B2548" s="63"/>
      <c r="C2548" s="70"/>
      <c r="D2548" s="68"/>
      <c r="E2548" s="68"/>
      <c r="F2548" s="68"/>
      <c r="G2548" s="67" t="str">
        <f t="shared" si="72"/>
        <v xml:space="preserve"> </v>
      </c>
      <c r="H2548" s="929" t="s">
        <v>1303</v>
      </c>
    </row>
    <row r="2549" spans="1:8" ht="18" customHeight="1">
      <c r="A2549" s="75"/>
      <c r="B2549" s="607" t="s">
        <v>1558</v>
      </c>
      <c r="C2549" s="70"/>
      <c r="D2549" s="68"/>
      <c r="E2549" s="68"/>
      <c r="F2549" s="68"/>
      <c r="G2549" s="67" t="str">
        <f t="shared" si="72"/>
        <v xml:space="preserve"> </v>
      </c>
      <c r="H2549" s="929" t="s">
        <v>1303</v>
      </c>
    </row>
    <row r="2550" spans="1:8" ht="18" customHeight="1">
      <c r="A2550" s="75"/>
      <c r="B2550" s="406" t="s">
        <v>1559</v>
      </c>
      <c r="C2550" s="70">
        <v>1</v>
      </c>
      <c r="D2550" s="68">
        <v>45.677999999999997</v>
      </c>
      <c r="E2550" s="68">
        <v>11.65</v>
      </c>
      <c r="F2550" s="68"/>
      <c r="G2550" s="67">
        <f t="shared" si="72"/>
        <v>532.15</v>
      </c>
      <c r="H2550" s="929" t="s">
        <v>1303</v>
      </c>
    </row>
    <row r="2551" spans="1:8" ht="18" customHeight="1">
      <c r="A2551" s="75"/>
      <c r="B2551" s="406" t="s">
        <v>1560</v>
      </c>
      <c r="C2551" s="70">
        <v>1</v>
      </c>
      <c r="D2551" s="68">
        <v>9.36</v>
      </c>
      <c r="E2551" s="68">
        <v>3.9</v>
      </c>
      <c r="F2551" s="68"/>
      <c r="G2551" s="67">
        <f t="shared" si="72"/>
        <v>36.5</v>
      </c>
      <c r="H2551" s="929" t="s">
        <v>1303</v>
      </c>
    </row>
    <row r="2552" spans="1:8" ht="18" customHeight="1">
      <c r="A2552" s="75"/>
      <c r="B2552" s="406" t="s">
        <v>1561</v>
      </c>
      <c r="C2552" s="70">
        <v>-10.5</v>
      </c>
      <c r="D2552" s="68">
        <v>1</v>
      </c>
      <c r="E2552" s="68">
        <v>1.8</v>
      </c>
      <c r="F2552" s="68"/>
      <c r="G2552" s="67">
        <f t="shared" si="72"/>
        <v>-18.899999999999999</v>
      </c>
      <c r="H2552" s="929" t="s">
        <v>1303</v>
      </c>
    </row>
    <row r="2553" spans="1:8" ht="18" customHeight="1">
      <c r="A2553" s="75"/>
      <c r="B2553" s="406" t="s">
        <v>1556</v>
      </c>
      <c r="C2553" s="70">
        <v>-0.5</v>
      </c>
      <c r="D2553" s="68">
        <v>1.2</v>
      </c>
      <c r="E2553" s="68">
        <v>2.1</v>
      </c>
      <c r="F2553" s="68"/>
      <c r="G2553" s="67">
        <f t="shared" si="72"/>
        <v>-1.26</v>
      </c>
      <c r="H2553" s="929" t="s">
        <v>1303</v>
      </c>
    </row>
    <row r="2554" spans="1:8" ht="18" customHeight="1">
      <c r="A2554" s="75"/>
      <c r="B2554" s="406" t="s">
        <v>1548</v>
      </c>
      <c r="C2554" s="70">
        <v>-1</v>
      </c>
      <c r="D2554" s="68">
        <v>2.7949999999999999</v>
      </c>
      <c r="E2554" s="68">
        <v>11.65</v>
      </c>
      <c r="F2554" s="68"/>
      <c r="G2554" s="67">
        <f t="shared" si="72"/>
        <v>-32.56</v>
      </c>
      <c r="H2554" s="929" t="s">
        <v>1303</v>
      </c>
    </row>
    <row r="2555" spans="1:8" ht="18" customHeight="1">
      <c r="A2555" s="75"/>
      <c r="B2555" s="406" t="s">
        <v>1549</v>
      </c>
      <c r="C2555" s="70">
        <v>1</v>
      </c>
      <c r="D2555" s="68">
        <f>3.175+11.65+11.65</f>
        <v>26.475000000000001</v>
      </c>
      <c r="E2555" s="68">
        <v>0.1</v>
      </c>
      <c r="F2555" s="68"/>
      <c r="G2555" s="67">
        <f t="shared" si="72"/>
        <v>2.65</v>
      </c>
      <c r="H2555" s="929" t="s">
        <v>1303</v>
      </c>
    </row>
    <row r="2556" spans="1:8" ht="18" customHeight="1">
      <c r="A2556" s="75"/>
      <c r="B2556" s="406" t="s">
        <v>1548</v>
      </c>
      <c r="C2556" s="70">
        <v>-1</v>
      </c>
      <c r="D2556" s="68">
        <v>3.55</v>
      </c>
      <c r="E2556" s="68">
        <v>11.65</v>
      </c>
      <c r="F2556" s="68"/>
      <c r="G2556" s="67">
        <f t="shared" si="72"/>
        <v>-41.36</v>
      </c>
      <c r="H2556" s="929" t="s">
        <v>1303</v>
      </c>
    </row>
    <row r="2557" spans="1:8" ht="18" customHeight="1">
      <c r="A2557" s="75"/>
      <c r="B2557" s="406" t="s">
        <v>1549</v>
      </c>
      <c r="C2557" s="70">
        <v>1</v>
      </c>
      <c r="D2557" s="68">
        <v>26.85</v>
      </c>
      <c r="E2557" s="68">
        <v>0.1</v>
      </c>
      <c r="F2557" s="68"/>
      <c r="G2557" s="67">
        <f t="shared" si="72"/>
        <v>2.69</v>
      </c>
      <c r="H2557" s="929" t="s">
        <v>1303</v>
      </c>
    </row>
    <row r="2558" spans="1:8" ht="18" customHeight="1">
      <c r="A2558" s="75"/>
      <c r="B2558" s="607" t="s">
        <v>1195</v>
      </c>
      <c r="C2558" s="70"/>
      <c r="D2558" s="68"/>
      <c r="E2558" s="68"/>
      <c r="F2558" s="68"/>
      <c r="G2558" s="67" t="str">
        <f t="shared" si="72"/>
        <v xml:space="preserve"> </v>
      </c>
      <c r="H2558" s="929" t="s">
        <v>1303</v>
      </c>
    </row>
    <row r="2559" spans="1:8" ht="18" customHeight="1">
      <c r="A2559" s="75"/>
      <c r="B2559" s="607" t="s">
        <v>1562</v>
      </c>
      <c r="C2559" s="70"/>
      <c r="D2559" s="68"/>
      <c r="E2559" s="68"/>
      <c r="F2559" s="68"/>
      <c r="G2559" s="67" t="str">
        <f t="shared" si="72"/>
        <v xml:space="preserve"> </v>
      </c>
      <c r="H2559" s="929" t="s">
        <v>1303</v>
      </c>
    </row>
    <row r="2560" spans="1:8" ht="18" customHeight="1">
      <c r="A2560" s="75"/>
      <c r="B2560" s="406" t="s">
        <v>1196</v>
      </c>
      <c r="C2560" s="70">
        <v>1</v>
      </c>
      <c r="D2560" s="68">
        <v>31.898</v>
      </c>
      <c r="E2560" s="68">
        <f>11.65-1.2</f>
        <v>10.450000000000001</v>
      </c>
      <c r="F2560" s="68"/>
      <c r="G2560" s="67">
        <f t="shared" si="72"/>
        <v>333.33</v>
      </c>
      <c r="H2560" s="929" t="s">
        <v>1303</v>
      </c>
    </row>
    <row r="2561" spans="1:8" ht="18" customHeight="1">
      <c r="A2561" s="75"/>
      <c r="B2561" s="406" t="s">
        <v>1563</v>
      </c>
      <c r="C2561" s="70">
        <v>-10</v>
      </c>
      <c r="D2561" s="68">
        <v>1</v>
      </c>
      <c r="E2561" s="68">
        <v>1.8</v>
      </c>
      <c r="F2561" s="68"/>
      <c r="G2561" s="67">
        <f t="shared" si="72"/>
        <v>-18</v>
      </c>
      <c r="H2561" s="929" t="s">
        <v>1303</v>
      </c>
    </row>
    <row r="2562" spans="1:8" ht="18" customHeight="1">
      <c r="A2562" s="75"/>
      <c r="B2562" s="406" t="s">
        <v>1564</v>
      </c>
      <c r="C2562" s="70">
        <v>-1</v>
      </c>
      <c r="D2562" s="68">
        <v>0.8</v>
      </c>
      <c r="E2562" s="68">
        <v>1.8</v>
      </c>
      <c r="F2562" s="68"/>
      <c r="G2562" s="67">
        <f t="shared" si="72"/>
        <v>-1.44</v>
      </c>
      <c r="H2562" s="929" t="s">
        <v>1303</v>
      </c>
    </row>
    <row r="2563" spans="1:8" ht="18" customHeight="1">
      <c r="A2563" s="75"/>
      <c r="B2563" s="406" t="s">
        <v>1565</v>
      </c>
      <c r="C2563" s="70">
        <v>-1.5</v>
      </c>
      <c r="D2563" s="68">
        <v>0.6</v>
      </c>
      <c r="E2563" s="68">
        <v>0.6</v>
      </c>
      <c r="F2563" s="68"/>
      <c r="G2563" s="67">
        <f t="shared" si="72"/>
        <v>-0.54</v>
      </c>
      <c r="H2563" s="929" t="s">
        <v>1303</v>
      </c>
    </row>
    <row r="2564" spans="1:8" ht="18" customHeight="1">
      <c r="A2564" s="75"/>
      <c r="B2564" s="406" t="s">
        <v>1566</v>
      </c>
      <c r="C2564" s="70">
        <v>-1.5</v>
      </c>
      <c r="D2564" s="68">
        <v>1</v>
      </c>
      <c r="E2564" s="68">
        <v>1.8</v>
      </c>
      <c r="F2564" s="68"/>
      <c r="G2564" s="67">
        <f t="shared" si="72"/>
        <v>-2.7</v>
      </c>
      <c r="H2564" s="929" t="s">
        <v>1303</v>
      </c>
    </row>
    <row r="2565" spans="1:8" ht="18" customHeight="1">
      <c r="A2565" s="75"/>
      <c r="B2565" s="63" t="s">
        <v>1567</v>
      </c>
      <c r="C2565" s="70">
        <v>-1</v>
      </c>
      <c r="D2565" s="68">
        <v>5.5</v>
      </c>
      <c r="E2565" s="68">
        <v>10.9</v>
      </c>
      <c r="F2565" s="68"/>
      <c r="G2565" s="67">
        <f t="shared" si="72"/>
        <v>-59.95</v>
      </c>
      <c r="H2565" s="929" t="s">
        <v>1303</v>
      </c>
    </row>
    <row r="2566" spans="1:8" ht="18" customHeight="1">
      <c r="A2566" s="75"/>
      <c r="B2566" s="63" t="s">
        <v>1568</v>
      </c>
      <c r="C2566" s="70">
        <v>2</v>
      </c>
      <c r="D2566" s="68">
        <v>0.45</v>
      </c>
      <c r="E2566" s="68">
        <v>13.45</v>
      </c>
      <c r="F2566" s="68"/>
      <c r="G2566" s="67">
        <f t="shared" si="72"/>
        <v>12.11</v>
      </c>
      <c r="H2566" s="929" t="s">
        <v>1303</v>
      </c>
    </row>
    <row r="2567" spans="1:8" ht="18" customHeight="1">
      <c r="A2567" s="75"/>
      <c r="B2567" s="607" t="s">
        <v>1569</v>
      </c>
      <c r="C2567" s="70"/>
      <c r="D2567" s="68"/>
      <c r="E2567" s="68"/>
      <c r="F2567" s="68"/>
      <c r="G2567" s="67" t="str">
        <f t="shared" si="72"/>
        <v xml:space="preserve"> </v>
      </c>
      <c r="H2567" s="929" t="s">
        <v>1303</v>
      </c>
    </row>
    <row r="2568" spans="1:8" ht="18" customHeight="1">
      <c r="A2568" s="75"/>
      <c r="B2568" s="406" t="s">
        <v>1197</v>
      </c>
      <c r="C2568" s="70">
        <v>1</v>
      </c>
      <c r="D2568" s="68">
        <v>32.1</v>
      </c>
      <c r="E2568" s="68">
        <f>11.65-1.2</f>
        <v>10.450000000000001</v>
      </c>
      <c r="F2568" s="68"/>
      <c r="G2568" s="67">
        <f t="shared" si="72"/>
        <v>335.45</v>
      </c>
      <c r="H2568" s="929" t="s">
        <v>1303</v>
      </c>
    </row>
    <row r="2569" spans="1:8" ht="18" customHeight="1">
      <c r="A2569" s="75"/>
      <c r="B2569" s="406" t="s">
        <v>1512</v>
      </c>
      <c r="C2569" s="70">
        <v>2</v>
      </c>
      <c r="D2569" s="68">
        <f>1.475+1.825</f>
        <v>3.3</v>
      </c>
      <c r="E2569" s="68">
        <v>3.9</v>
      </c>
      <c r="F2569" s="68"/>
      <c r="G2569" s="67">
        <f t="shared" si="72"/>
        <v>25.74</v>
      </c>
      <c r="H2569" s="929" t="s">
        <v>1303</v>
      </c>
    </row>
    <row r="2570" spans="1:8" ht="18" customHeight="1">
      <c r="A2570" s="75"/>
      <c r="B2570" s="406" t="s">
        <v>1570</v>
      </c>
      <c r="C2570" s="70">
        <v>-0.5</v>
      </c>
      <c r="D2570" s="68">
        <v>1.2</v>
      </c>
      <c r="E2570" s="68">
        <v>2.1</v>
      </c>
      <c r="F2570" s="68"/>
      <c r="G2570" s="67">
        <f t="shared" si="72"/>
        <v>-1.26</v>
      </c>
      <c r="H2570" s="929" t="s">
        <v>1303</v>
      </c>
    </row>
    <row r="2571" spans="1:8" ht="18" customHeight="1">
      <c r="A2571" s="75"/>
      <c r="B2571" s="406" t="s">
        <v>1571</v>
      </c>
      <c r="C2571" s="70">
        <v>-0.5</v>
      </c>
      <c r="D2571" s="68">
        <v>1.5</v>
      </c>
      <c r="E2571" s="68">
        <v>1.1000000000000001</v>
      </c>
      <c r="F2571" s="68"/>
      <c r="G2571" s="67">
        <f t="shared" si="72"/>
        <v>-0.83</v>
      </c>
      <c r="H2571" s="929" t="s">
        <v>1303</v>
      </c>
    </row>
    <row r="2572" spans="1:8" ht="18" customHeight="1">
      <c r="A2572" s="75"/>
      <c r="B2572" s="406" t="s">
        <v>1572</v>
      </c>
      <c r="C2572" s="70">
        <v>-9</v>
      </c>
      <c r="D2572" s="68">
        <v>1</v>
      </c>
      <c r="E2572" s="68">
        <v>1.8</v>
      </c>
      <c r="F2572" s="68"/>
      <c r="G2572" s="67">
        <f t="shared" si="72"/>
        <v>-16.2</v>
      </c>
      <c r="H2572" s="929" t="s">
        <v>1303</v>
      </c>
    </row>
    <row r="2573" spans="1:8" ht="18" customHeight="1">
      <c r="A2573" s="75"/>
      <c r="B2573" s="406" t="s">
        <v>1573</v>
      </c>
      <c r="C2573" s="70">
        <v>-2</v>
      </c>
      <c r="D2573" s="68">
        <v>3</v>
      </c>
      <c r="E2573" s="68">
        <v>1.8</v>
      </c>
      <c r="F2573" s="68"/>
      <c r="G2573" s="67">
        <f t="shared" si="72"/>
        <v>-10.8</v>
      </c>
      <c r="H2573" s="929" t="s">
        <v>1303</v>
      </c>
    </row>
    <row r="2574" spans="1:8" ht="18" customHeight="1">
      <c r="A2574" s="75"/>
      <c r="B2574" s="406" t="s">
        <v>1574</v>
      </c>
      <c r="C2574" s="70">
        <v>2</v>
      </c>
      <c r="D2574" s="68">
        <f>3+3+1.8+1.8</f>
        <v>9.6</v>
      </c>
      <c r="E2574" s="68">
        <v>0.1</v>
      </c>
      <c r="F2574" s="68"/>
      <c r="G2574" s="67">
        <f t="shared" si="72"/>
        <v>1.92</v>
      </c>
      <c r="H2574" s="929" t="s">
        <v>1303</v>
      </c>
    </row>
    <row r="2575" spans="1:8" ht="18" customHeight="1">
      <c r="A2575" s="75"/>
      <c r="B2575" s="406" t="s">
        <v>964</v>
      </c>
      <c r="C2575" s="70">
        <v>-2</v>
      </c>
      <c r="D2575" s="68">
        <v>1</v>
      </c>
      <c r="E2575" s="68">
        <v>2.1</v>
      </c>
      <c r="F2575" s="68"/>
      <c r="G2575" s="67">
        <f t="shared" si="72"/>
        <v>-4.2</v>
      </c>
      <c r="H2575" s="929" t="s">
        <v>1303</v>
      </c>
    </row>
    <row r="2576" spans="1:8" ht="18" customHeight="1">
      <c r="A2576" s="75"/>
      <c r="B2576" s="406" t="s">
        <v>1575</v>
      </c>
      <c r="C2576" s="70">
        <v>-2</v>
      </c>
      <c r="D2576" s="68">
        <v>1.7</v>
      </c>
      <c r="E2576" s="68">
        <v>2.4</v>
      </c>
      <c r="F2576" s="68"/>
      <c r="G2576" s="67">
        <f t="shared" si="72"/>
        <v>-8.16</v>
      </c>
      <c r="H2576" s="929" t="s">
        <v>1303</v>
      </c>
    </row>
    <row r="2577" spans="1:8" ht="18" customHeight="1">
      <c r="A2577" s="75"/>
      <c r="B2577" s="406" t="s">
        <v>1574</v>
      </c>
      <c r="C2577" s="70">
        <v>2</v>
      </c>
      <c r="D2577" s="68">
        <f>1.7+1.7+2.4+2.4</f>
        <v>8.1999999999999993</v>
      </c>
      <c r="E2577" s="68">
        <v>0.1</v>
      </c>
      <c r="F2577" s="68"/>
      <c r="G2577" s="67">
        <f t="shared" si="72"/>
        <v>1.64</v>
      </c>
      <c r="H2577" s="929" t="s">
        <v>1303</v>
      </c>
    </row>
    <row r="2578" spans="1:8" ht="18" customHeight="1">
      <c r="A2578" s="75"/>
      <c r="B2578" s="406" t="s">
        <v>1576</v>
      </c>
      <c r="C2578" s="70">
        <v>-1</v>
      </c>
      <c r="D2578" s="68">
        <v>1.8</v>
      </c>
      <c r="E2578" s="68">
        <v>2.1</v>
      </c>
      <c r="F2578" s="68"/>
      <c r="G2578" s="67">
        <f t="shared" si="72"/>
        <v>-3.78</v>
      </c>
      <c r="H2578" s="929" t="s">
        <v>1303</v>
      </c>
    </row>
    <row r="2579" spans="1:8" ht="18" customHeight="1">
      <c r="A2579" s="75"/>
      <c r="B2579" s="406" t="s">
        <v>1574</v>
      </c>
      <c r="C2579" s="70">
        <v>1</v>
      </c>
      <c r="D2579" s="68">
        <f>1.8+2.1+2.1</f>
        <v>6</v>
      </c>
      <c r="E2579" s="68">
        <v>0.1</v>
      </c>
      <c r="F2579" s="68"/>
      <c r="G2579" s="67">
        <f t="shared" si="72"/>
        <v>0.6</v>
      </c>
      <c r="H2579" s="929" t="s">
        <v>1303</v>
      </c>
    </row>
    <row r="2580" spans="1:8" ht="18" customHeight="1">
      <c r="A2580" s="75"/>
      <c r="B2580" s="406" t="s">
        <v>1577</v>
      </c>
      <c r="C2580" s="70">
        <v>-1</v>
      </c>
      <c r="D2580" s="68">
        <v>2.5</v>
      </c>
      <c r="E2580" s="68">
        <v>1.8</v>
      </c>
      <c r="F2580" s="68"/>
      <c r="G2580" s="67">
        <f t="shared" si="72"/>
        <v>-4.5</v>
      </c>
      <c r="H2580" s="929" t="s">
        <v>1303</v>
      </c>
    </row>
    <row r="2581" spans="1:8" ht="18" customHeight="1">
      <c r="A2581" s="75"/>
      <c r="B2581" s="406" t="s">
        <v>1574</v>
      </c>
      <c r="C2581" s="70">
        <v>1</v>
      </c>
      <c r="D2581" s="68">
        <f>2.5+2.5+1.8+1.8</f>
        <v>8.6</v>
      </c>
      <c r="E2581" s="68">
        <v>0.1</v>
      </c>
      <c r="F2581" s="68"/>
      <c r="G2581" s="67">
        <f t="shared" ref="G2581:G2644" si="73">IF(C2581&lt;&gt;0,ROUND(PRODUCT(D2581:F2581)*C2581,2)," ")</f>
        <v>0.86</v>
      </c>
      <c r="H2581" s="929" t="s">
        <v>1303</v>
      </c>
    </row>
    <row r="2582" spans="1:8" ht="18" customHeight="1">
      <c r="A2582" s="75"/>
      <c r="B2582" s="64" t="s">
        <v>1578</v>
      </c>
      <c r="C2582" s="70"/>
      <c r="D2582" s="68"/>
      <c r="E2582" s="68"/>
      <c r="F2582" s="68"/>
      <c r="G2582" s="67" t="str">
        <f t="shared" si="73"/>
        <v xml:space="preserve"> </v>
      </c>
      <c r="H2582" s="929" t="s">
        <v>1303</v>
      </c>
    </row>
    <row r="2583" spans="1:8" ht="18" customHeight="1">
      <c r="A2583" s="75"/>
      <c r="B2583" s="63" t="s">
        <v>1198</v>
      </c>
      <c r="C2583" s="70">
        <v>1</v>
      </c>
      <c r="D2583" s="567">
        <v>17.45</v>
      </c>
      <c r="E2583" s="68">
        <v>10.45</v>
      </c>
      <c r="F2583" s="68"/>
      <c r="G2583" s="67">
        <f t="shared" si="73"/>
        <v>182.35</v>
      </c>
      <c r="H2583" s="929" t="s">
        <v>1303</v>
      </c>
    </row>
    <row r="2584" spans="1:8" ht="18" customHeight="1">
      <c r="A2584" s="75"/>
      <c r="B2584" s="406" t="s">
        <v>1579</v>
      </c>
      <c r="C2584" s="70">
        <v>-6</v>
      </c>
      <c r="D2584" s="68">
        <v>1</v>
      </c>
      <c r="E2584" s="68">
        <v>1.8</v>
      </c>
      <c r="F2584" s="68"/>
      <c r="G2584" s="67">
        <f t="shared" si="73"/>
        <v>-10.8</v>
      </c>
      <c r="H2584" s="929" t="s">
        <v>1303</v>
      </c>
    </row>
    <row r="2585" spans="1:8" ht="18" customHeight="1">
      <c r="A2585" s="75"/>
      <c r="B2585" s="406" t="s">
        <v>1566</v>
      </c>
      <c r="C2585" s="70">
        <v>-1.5</v>
      </c>
      <c r="D2585" s="68">
        <v>1</v>
      </c>
      <c r="E2585" s="68">
        <v>1.8</v>
      </c>
      <c r="F2585" s="68"/>
      <c r="G2585" s="67">
        <f t="shared" si="73"/>
        <v>-2.7</v>
      </c>
      <c r="H2585" s="929" t="s">
        <v>1303</v>
      </c>
    </row>
    <row r="2586" spans="1:8" ht="18" customHeight="1">
      <c r="A2586" s="75"/>
      <c r="B2586" s="406" t="s">
        <v>1580</v>
      </c>
      <c r="C2586" s="70">
        <v>-1.5</v>
      </c>
      <c r="D2586" s="68">
        <v>2.4</v>
      </c>
      <c r="E2586" s="68">
        <v>1.2</v>
      </c>
      <c r="F2586" s="68"/>
      <c r="G2586" s="67">
        <f t="shared" si="73"/>
        <v>-4.32</v>
      </c>
      <c r="H2586" s="929" t="s">
        <v>1303</v>
      </c>
    </row>
    <row r="2587" spans="1:8" ht="18" customHeight="1">
      <c r="A2587" s="75"/>
      <c r="B2587" s="63"/>
      <c r="C2587" s="70"/>
      <c r="D2587" s="68"/>
      <c r="E2587" s="68"/>
      <c r="F2587" s="68"/>
      <c r="G2587" s="67" t="str">
        <f t="shared" si="73"/>
        <v xml:space="preserve"> </v>
      </c>
      <c r="H2587" s="929" t="s">
        <v>1303</v>
      </c>
    </row>
    <row r="2588" spans="1:8" ht="18" customHeight="1">
      <c r="A2588" s="75"/>
      <c r="B2588" s="64" t="s">
        <v>1581</v>
      </c>
      <c r="C2588" s="70"/>
      <c r="D2588" s="68"/>
      <c r="E2588" s="68"/>
      <c r="F2588" s="68"/>
      <c r="G2588" s="67" t="str">
        <f t="shared" si="73"/>
        <v xml:space="preserve"> </v>
      </c>
      <c r="H2588" s="929" t="s">
        <v>1303</v>
      </c>
    </row>
    <row r="2589" spans="1:8" ht="18" customHeight="1">
      <c r="A2589" s="75"/>
      <c r="B2589" s="63" t="s">
        <v>1199</v>
      </c>
      <c r="C2589" s="70">
        <v>1</v>
      </c>
      <c r="D2589" s="567">
        <v>17.45</v>
      </c>
      <c r="E2589" s="68">
        <v>10.45</v>
      </c>
      <c r="F2589" s="68"/>
      <c r="G2589" s="67">
        <f t="shared" si="73"/>
        <v>182.35</v>
      </c>
      <c r="H2589" s="929" t="s">
        <v>1303</v>
      </c>
    </row>
    <row r="2590" spans="1:8" ht="18" customHeight="1">
      <c r="A2590" s="75"/>
      <c r="B2590" s="406" t="s">
        <v>1579</v>
      </c>
      <c r="C2590" s="70">
        <v>-6</v>
      </c>
      <c r="D2590" s="68">
        <v>1</v>
      </c>
      <c r="E2590" s="68">
        <v>1.8</v>
      </c>
      <c r="F2590" s="68"/>
      <c r="G2590" s="67">
        <f t="shared" si="73"/>
        <v>-10.8</v>
      </c>
      <c r="H2590" s="929" t="s">
        <v>1303</v>
      </c>
    </row>
    <row r="2591" spans="1:8" ht="18" customHeight="1">
      <c r="A2591" s="75"/>
      <c r="B2591" s="406" t="s">
        <v>1566</v>
      </c>
      <c r="C2591" s="70">
        <v>-1.5</v>
      </c>
      <c r="D2591" s="68">
        <v>1</v>
      </c>
      <c r="E2591" s="68">
        <v>1.8</v>
      </c>
      <c r="F2591" s="68"/>
      <c r="G2591" s="67">
        <f t="shared" si="73"/>
        <v>-2.7</v>
      </c>
      <c r="H2591" s="929" t="s">
        <v>1303</v>
      </c>
    </row>
    <row r="2592" spans="1:8" ht="18" customHeight="1">
      <c r="A2592" s="75"/>
      <c r="B2592" s="406" t="s">
        <v>1580</v>
      </c>
      <c r="C2592" s="70">
        <v>-1.5</v>
      </c>
      <c r="D2592" s="68">
        <v>2.4</v>
      </c>
      <c r="E2592" s="68">
        <v>1.2</v>
      </c>
      <c r="F2592" s="68"/>
      <c r="G2592" s="67">
        <f t="shared" si="73"/>
        <v>-4.32</v>
      </c>
      <c r="H2592" s="929" t="s">
        <v>1303</v>
      </c>
    </row>
    <row r="2593" spans="1:8" ht="18" customHeight="1">
      <c r="A2593" s="75"/>
      <c r="B2593" s="63"/>
      <c r="C2593" s="70"/>
      <c r="D2593" s="68"/>
      <c r="E2593" s="68"/>
      <c r="F2593" s="68"/>
      <c r="G2593" s="67" t="str">
        <f t="shared" si="73"/>
        <v xml:space="preserve"> </v>
      </c>
      <c r="H2593" s="929" t="s">
        <v>1303</v>
      </c>
    </row>
    <row r="2594" spans="1:8" ht="18" customHeight="1">
      <c r="A2594" s="75"/>
      <c r="B2594" s="64" t="s">
        <v>1582</v>
      </c>
      <c r="C2594" s="70"/>
      <c r="D2594" s="68"/>
      <c r="E2594" s="68"/>
      <c r="F2594" s="68"/>
      <c r="G2594" s="67" t="str">
        <f t="shared" si="73"/>
        <v xml:space="preserve"> </v>
      </c>
      <c r="H2594" s="929" t="s">
        <v>1303</v>
      </c>
    </row>
    <row r="2595" spans="1:8" ht="18" customHeight="1">
      <c r="A2595" s="75"/>
      <c r="B2595" s="64" t="s">
        <v>1583</v>
      </c>
      <c r="C2595" s="70"/>
      <c r="D2595" s="68"/>
      <c r="E2595" s="68"/>
      <c r="F2595" s="68"/>
      <c r="G2595" s="67" t="str">
        <f t="shared" si="73"/>
        <v xml:space="preserve"> </v>
      </c>
      <c r="H2595" s="929" t="s">
        <v>1303</v>
      </c>
    </row>
    <row r="2596" spans="1:8" ht="18" customHeight="1">
      <c r="A2596" s="75"/>
      <c r="B2596" s="63" t="s">
        <v>967</v>
      </c>
      <c r="C2596" s="70">
        <v>2</v>
      </c>
      <c r="D2596" s="567">
        <v>9.1120000000000001</v>
      </c>
      <c r="E2596" s="68"/>
      <c r="F2596" s="68">
        <v>2.0249999999999999</v>
      </c>
      <c r="G2596" s="67">
        <f t="shared" si="73"/>
        <v>36.9</v>
      </c>
      <c r="H2596" s="929" t="s">
        <v>1303</v>
      </c>
    </row>
    <row r="2597" spans="1:8" ht="18" customHeight="1">
      <c r="A2597" s="75"/>
      <c r="B2597" s="63" t="s">
        <v>965</v>
      </c>
      <c r="C2597" s="70">
        <v>2</v>
      </c>
      <c r="D2597" s="68">
        <f>2.298+4.6+3.825-0.38</f>
        <v>10.342999999999998</v>
      </c>
      <c r="E2597" s="68"/>
      <c r="F2597" s="68">
        <v>2.0249999999999999</v>
      </c>
      <c r="G2597" s="67">
        <f t="shared" si="73"/>
        <v>41.89</v>
      </c>
      <c r="H2597" s="929" t="s">
        <v>1303</v>
      </c>
    </row>
    <row r="2598" spans="1:8" ht="18" customHeight="1">
      <c r="A2598" s="75"/>
      <c r="B2598" s="63" t="s">
        <v>1108</v>
      </c>
      <c r="C2598" s="70">
        <v>2</v>
      </c>
      <c r="D2598" s="68">
        <f>5.187+4.125</f>
        <v>9.3120000000000012</v>
      </c>
      <c r="E2598" s="68"/>
      <c r="F2598" s="68">
        <v>2.0249999999999999</v>
      </c>
      <c r="G2598" s="67">
        <f t="shared" si="73"/>
        <v>37.71</v>
      </c>
      <c r="H2598" s="929" t="s">
        <v>1303</v>
      </c>
    </row>
    <row r="2599" spans="1:8" ht="18" customHeight="1">
      <c r="A2599" s="75"/>
      <c r="B2599" s="63" t="s">
        <v>960</v>
      </c>
      <c r="C2599" s="70">
        <v>2</v>
      </c>
      <c r="D2599" s="68">
        <f>2.298+4.6</f>
        <v>6.8979999999999997</v>
      </c>
      <c r="E2599" s="68"/>
      <c r="F2599" s="68">
        <v>2.0249999999999999</v>
      </c>
      <c r="G2599" s="67">
        <f t="shared" si="73"/>
        <v>27.94</v>
      </c>
      <c r="H2599" s="929" t="s">
        <v>1303</v>
      </c>
    </row>
    <row r="2600" spans="1:8" ht="18" customHeight="1">
      <c r="A2600" s="75"/>
      <c r="B2600" s="63" t="s">
        <v>952</v>
      </c>
      <c r="C2600" s="70">
        <v>2</v>
      </c>
      <c r="D2600" s="68">
        <f>2.298+4.6</f>
        <v>6.8979999999999997</v>
      </c>
      <c r="E2600" s="68"/>
      <c r="F2600" s="68">
        <v>2.0249999999999999</v>
      </c>
      <c r="G2600" s="67">
        <f t="shared" si="73"/>
        <v>27.94</v>
      </c>
      <c r="H2600" s="929" t="s">
        <v>1303</v>
      </c>
    </row>
    <row r="2601" spans="1:8" ht="18" customHeight="1">
      <c r="A2601" s="75"/>
      <c r="B2601" s="63" t="s">
        <v>954</v>
      </c>
      <c r="C2601" s="70">
        <v>2</v>
      </c>
      <c r="D2601" s="68">
        <v>0.8</v>
      </c>
      <c r="E2601" s="68"/>
      <c r="F2601" s="68">
        <v>2.0249999999999999</v>
      </c>
      <c r="G2601" s="67">
        <f t="shared" si="73"/>
        <v>3.24</v>
      </c>
      <c r="H2601" s="929" t="s">
        <v>1303</v>
      </c>
    </row>
    <row r="2602" spans="1:8" ht="18" customHeight="1">
      <c r="A2602" s="75"/>
      <c r="B2602" s="63"/>
      <c r="C2602" s="70">
        <v>2</v>
      </c>
      <c r="D2602" s="567">
        <v>1.7030000000000001</v>
      </c>
      <c r="E2602" s="68"/>
      <c r="F2602" s="68">
        <v>2.0249999999999999</v>
      </c>
      <c r="G2602" s="67">
        <f t="shared" si="73"/>
        <v>6.9</v>
      </c>
      <c r="H2602" s="929" t="s">
        <v>1303</v>
      </c>
    </row>
    <row r="2603" spans="1:8" ht="18" customHeight="1">
      <c r="A2603" s="75"/>
      <c r="B2603" s="63" t="s">
        <v>955</v>
      </c>
      <c r="C2603" s="70">
        <v>2</v>
      </c>
      <c r="D2603" s="68">
        <v>3.375</v>
      </c>
      <c r="E2603" s="68"/>
      <c r="F2603" s="68">
        <v>2.0249999999999999</v>
      </c>
      <c r="G2603" s="67">
        <f t="shared" si="73"/>
        <v>13.67</v>
      </c>
      <c r="H2603" s="929" t="s">
        <v>1303</v>
      </c>
    </row>
    <row r="2604" spans="1:8" ht="18" customHeight="1">
      <c r="A2604" s="75"/>
      <c r="B2604" s="63" t="s">
        <v>1584</v>
      </c>
      <c r="C2604" s="70">
        <v>2</v>
      </c>
      <c r="D2604" s="68">
        <v>13.723000000000001</v>
      </c>
      <c r="E2604" s="68"/>
      <c r="F2604" s="68">
        <v>2.0249999999999999</v>
      </c>
      <c r="G2604" s="67">
        <f t="shared" si="73"/>
        <v>55.58</v>
      </c>
      <c r="H2604" s="929" t="s">
        <v>1303</v>
      </c>
    </row>
    <row r="2605" spans="1:8" ht="18" customHeight="1">
      <c r="A2605" s="75"/>
      <c r="B2605" s="63" t="s">
        <v>1585</v>
      </c>
      <c r="C2605" s="70">
        <v>2</v>
      </c>
      <c r="D2605" s="68">
        <f>1.425-0.2</f>
        <v>1.2250000000000001</v>
      </c>
      <c r="E2605" s="68"/>
      <c r="F2605" s="68">
        <v>2.0249999999999999</v>
      </c>
      <c r="G2605" s="67">
        <f t="shared" si="73"/>
        <v>4.96</v>
      </c>
      <c r="H2605" s="929" t="s">
        <v>1303</v>
      </c>
    </row>
    <row r="2606" spans="1:8" ht="18" customHeight="1">
      <c r="A2606" s="75"/>
      <c r="B2606" s="63" t="s">
        <v>1586</v>
      </c>
      <c r="C2606" s="70">
        <v>2</v>
      </c>
      <c r="D2606" s="68">
        <v>5.0599999999999996</v>
      </c>
      <c r="E2606" s="68"/>
      <c r="F2606" s="68">
        <v>2.0249999999999999</v>
      </c>
      <c r="G2606" s="67">
        <f t="shared" si="73"/>
        <v>20.49</v>
      </c>
      <c r="H2606" s="929" t="s">
        <v>1303</v>
      </c>
    </row>
    <row r="2607" spans="1:8" ht="18" customHeight="1">
      <c r="A2607" s="75"/>
      <c r="B2607" s="63"/>
      <c r="C2607" s="70"/>
      <c r="D2607" s="68"/>
      <c r="E2607" s="68"/>
      <c r="F2607" s="68"/>
      <c r="G2607" s="67" t="str">
        <f t="shared" si="73"/>
        <v xml:space="preserve"> </v>
      </c>
      <c r="H2607" s="929" t="s">
        <v>1303</v>
      </c>
    </row>
    <row r="2608" spans="1:8" ht="18" customHeight="1">
      <c r="A2608" s="75"/>
      <c r="B2608" s="64" t="s">
        <v>1109</v>
      </c>
      <c r="C2608" s="70"/>
      <c r="D2608" s="68"/>
      <c r="E2608" s="68"/>
      <c r="F2608" s="68"/>
      <c r="G2608" s="67" t="str">
        <f t="shared" si="73"/>
        <v xml:space="preserve"> </v>
      </c>
      <c r="H2608" s="929" t="s">
        <v>1303</v>
      </c>
    </row>
    <row r="2609" spans="1:8" ht="18" customHeight="1">
      <c r="A2609" s="75"/>
      <c r="B2609" s="63" t="s">
        <v>1587</v>
      </c>
      <c r="C2609" s="70">
        <v>2</v>
      </c>
      <c r="D2609" s="68">
        <f>3.775+3.075+1.6</f>
        <v>8.4499999999999993</v>
      </c>
      <c r="E2609" s="68"/>
      <c r="F2609" s="68">
        <v>2.0249999999999999</v>
      </c>
      <c r="G2609" s="67">
        <f t="shared" si="73"/>
        <v>34.22</v>
      </c>
      <c r="H2609" s="929" t="s">
        <v>1303</v>
      </c>
    </row>
    <row r="2610" spans="1:8" ht="18" customHeight="1">
      <c r="A2610" s="75"/>
      <c r="B2610" s="63" t="s">
        <v>1588</v>
      </c>
      <c r="C2610" s="70">
        <v>2</v>
      </c>
      <c r="D2610" s="68">
        <f>3.775+3.075+1.6</f>
        <v>8.4499999999999993</v>
      </c>
      <c r="E2610" s="68"/>
      <c r="F2610" s="68">
        <v>2.0249999999999999</v>
      </c>
      <c r="G2610" s="67">
        <f t="shared" si="73"/>
        <v>34.22</v>
      </c>
      <c r="H2610" s="929" t="s">
        <v>1303</v>
      </c>
    </row>
    <row r="2611" spans="1:8" ht="18" customHeight="1">
      <c r="A2611" s="75"/>
      <c r="B2611" s="63" t="s">
        <v>1110</v>
      </c>
      <c r="C2611" s="70">
        <v>2</v>
      </c>
      <c r="D2611" s="68">
        <v>6.3</v>
      </c>
      <c r="E2611" s="68"/>
      <c r="F2611" s="68">
        <v>2.0249999999999999</v>
      </c>
      <c r="G2611" s="67">
        <f t="shared" si="73"/>
        <v>25.52</v>
      </c>
      <c r="H2611" s="929" t="s">
        <v>1303</v>
      </c>
    </row>
    <row r="2612" spans="1:8" ht="18" customHeight="1">
      <c r="A2612" s="75"/>
      <c r="B2612" s="63" t="s">
        <v>953</v>
      </c>
      <c r="C2612" s="70">
        <v>-1</v>
      </c>
      <c r="D2612" s="68">
        <v>1.2</v>
      </c>
      <c r="E2612" s="68"/>
      <c r="F2612" s="68">
        <v>2.0249999999999999</v>
      </c>
      <c r="G2612" s="67">
        <f t="shared" si="73"/>
        <v>-2.4300000000000002</v>
      </c>
      <c r="H2612" s="929" t="s">
        <v>1303</v>
      </c>
    </row>
    <row r="2613" spans="1:8" ht="18" customHeight="1">
      <c r="A2613" s="75"/>
      <c r="B2613" s="63" t="s">
        <v>1589</v>
      </c>
      <c r="C2613" s="70">
        <v>2</v>
      </c>
      <c r="D2613" s="68">
        <v>6.3</v>
      </c>
      <c r="E2613" s="68"/>
      <c r="F2613" s="68">
        <v>2.0249999999999999</v>
      </c>
      <c r="G2613" s="67">
        <f t="shared" si="73"/>
        <v>25.52</v>
      </c>
      <c r="H2613" s="929" t="s">
        <v>1303</v>
      </c>
    </row>
    <row r="2614" spans="1:8" ht="18" customHeight="1">
      <c r="A2614" s="75"/>
      <c r="B2614" s="64" t="s">
        <v>1590</v>
      </c>
      <c r="C2614" s="70"/>
      <c r="D2614" s="68"/>
      <c r="E2614" s="68"/>
      <c r="F2614" s="68"/>
      <c r="G2614" s="67" t="str">
        <f t="shared" si="73"/>
        <v xml:space="preserve"> </v>
      </c>
      <c r="H2614" s="929" t="s">
        <v>1303</v>
      </c>
    </row>
    <row r="2615" spans="1:8" ht="18" customHeight="1">
      <c r="A2615" s="75"/>
      <c r="B2615" s="64" t="s">
        <v>1591</v>
      </c>
      <c r="C2615" s="70"/>
      <c r="D2615" s="68"/>
      <c r="E2615" s="68"/>
      <c r="F2615" s="68"/>
      <c r="G2615" s="67" t="str">
        <f t="shared" si="73"/>
        <v xml:space="preserve"> </v>
      </c>
      <c r="H2615" s="929" t="s">
        <v>1303</v>
      </c>
    </row>
    <row r="2616" spans="1:8" ht="18" customHeight="1">
      <c r="A2616" s="75"/>
      <c r="B2616" s="63" t="s">
        <v>1592</v>
      </c>
      <c r="C2616" s="70">
        <v>1</v>
      </c>
      <c r="D2616" s="68">
        <f>6.45+6.4+6.4+1.825</f>
        <v>21.074999999999999</v>
      </c>
      <c r="E2616" s="68">
        <f>0.2+0.25+0.25</f>
        <v>0.7</v>
      </c>
      <c r="F2616" s="68"/>
      <c r="G2616" s="67">
        <f t="shared" si="73"/>
        <v>14.75</v>
      </c>
      <c r="H2616" s="929" t="s">
        <v>1303</v>
      </c>
    </row>
    <row r="2617" spans="1:8" ht="18" customHeight="1">
      <c r="A2617" s="432"/>
      <c r="B2617" s="63" t="s">
        <v>1593</v>
      </c>
      <c r="C2617" s="70">
        <v>1</v>
      </c>
      <c r="D2617" s="68">
        <f>3.6+1</f>
        <v>4.5999999999999996</v>
      </c>
      <c r="E2617" s="68">
        <f t="shared" ref="E2617:E2634" si="74">0.2+0.25+0.25</f>
        <v>0.7</v>
      </c>
      <c r="F2617" s="68"/>
      <c r="G2617" s="67">
        <f t="shared" si="73"/>
        <v>3.22</v>
      </c>
      <c r="H2617" s="929" t="s">
        <v>1303</v>
      </c>
    </row>
    <row r="2618" spans="1:8" ht="18" customHeight="1">
      <c r="A2618" s="432"/>
      <c r="B2618" s="63" t="s">
        <v>1594</v>
      </c>
      <c r="C2618" s="70">
        <v>1</v>
      </c>
      <c r="D2618" s="68">
        <v>3.7749999999999999</v>
      </c>
      <c r="E2618" s="68">
        <f t="shared" si="74"/>
        <v>0.7</v>
      </c>
      <c r="F2618" s="68"/>
      <c r="G2618" s="67">
        <f t="shared" si="73"/>
        <v>2.64</v>
      </c>
      <c r="H2618" s="929" t="s">
        <v>1303</v>
      </c>
    </row>
    <row r="2619" spans="1:8" ht="18" customHeight="1">
      <c r="A2619" s="432"/>
      <c r="B2619" s="63" t="s">
        <v>1595</v>
      </c>
      <c r="C2619" s="70">
        <v>1</v>
      </c>
      <c r="D2619" s="68">
        <v>3.8250000000000002</v>
      </c>
      <c r="E2619" s="68">
        <f t="shared" si="74"/>
        <v>0.7</v>
      </c>
      <c r="F2619" s="68"/>
      <c r="G2619" s="67">
        <f t="shared" si="73"/>
        <v>2.68</v>
      </c>
      <c r="H2619" s="929" t="s">
        <v>1303</v>
      </c>
    </row>
    <row r="2620" spans="1:8" ht="18" customHeight="1">
      <c r="A2620" s="432"/>
      <c r="B2620" s="63" t="s">
        <v>1596</v>
      </c>
      <c r="C2620" s="70">
        <v>1</v>
      </c>
      <c r="D2620" s="68">
        <v>4.5999999999999996</v>
      </c>
      <c r="E2620" s="68">
        <f t="shared" si="74"/>
        <v>0.7</v>
      </c>
      <c r="F2620" s="68"/>
      <c r="G2620" s="67">
        <f t="shared" si="73"/>
        <v>3.22</v>
      </c>
      <c r="H2620" s="929" t="s">
        <v>1303</v>
      </c>
    </row>
    <row r="2621" spans="1:8" ht="18" customHeight="1">
      <c r="A2621" s="432"/>
      <c r="B2621" s="63" t="s">
        <v>1111</v>
      </c>
      <c r="C2621" s="70">
        <v>1</v>
      </c>
      <c r="D2621" s="68">
        <f>3.2+6.45+6.45</f>
        <v>16.100000000000001</v>
      </c>
      <c r="E2621" s="68">
        <f t="shared" si="74"/>
        <v>0.7</v>
      </c>
      <c r="F2621" s="68"/>
      <c r="G2621" s="67">
        <f t="shared" si="73"/>
        <v>11.27</v>
      </c>
      <c r="H2621" s="929" t="s">
        <v>1303</v>
      </c>
    </row>
    <row r="2622" spans="1:8" ht="18" customHeight="1">
      <c r="A2622" s="432"/>
      <c r="B2622" s="63" t="s">
        <v>1597</v>
      </c>
      <c r="C2622" s="70">
        <v>1</v>
      </c>
      <c r="D2622" s="68">
        <v>4.5999999999999996</v>
      </c>
      <c r="E2622" s="68">
        <f t="shared" si="74"/>
        <v>0.7</v>
      </c>
      <c r="F2622" s="68"/>
      <c r="G2622" s="67">
        <f t="shared" si="73"/>
        <v>3.22</v>
      </c>
      <c r="H2622" s="929" t="s">
        <v>1303</v>
      </c>
    </row>
    <row r="2623" spans="1:8" ht="18" customHeight="1">
      <c r="A2623" s="432"/>
      <c r="B2623" s="63" t="s">
        <v>1598</v>
      </c>
      <c r="C2623" s="70">
        <v>1</v>
      </c>
      <c r="D2623" s="68">
        <v>4.5999999999999996</v>
      </c>
      <c r="E2623" s="68">
        <f t="shared" si="74"/>
        <v>0.7</v>
      </c>
      <c r="F2623" s="68"/>
      <c r="G2623" s="67">
        <f t="shared" si="73"/>
        <v>3.22</v>
      </c>
      <c r="H2623" s="929" t="s">
        <v>1303</v>
      </c>
    </row>
    <row r="2624" spans="1:8" ht="18" customHeight="1">
      <c r="A2624" s="432"/>
      <c r="B2624" s="63" t="s">
        <v>1112</v>
      </c>
      <c r="C2624" s="70">
        <v>1</v>
      </c>
      <c r="D2624" s="68">
        <f>6.45+6.45+3.2</f>
        <v>16.100000000000001</v>
      </c>
      <c r="E2624" s="68">
        <f t="shared" si="74"/>
        <v>0.7</v>
      </c>
      <c r="F2624" s="68"/>
      <c r="G2624" s="67">
        <f t="shared" si="73"/>
        <v>11.27</v>
      </c>
      <c r="H2624" s="929" t="s">
        <v>1303</v>
      </c>
    </row>
    <row r="2625" spans="1:9" ht="18" customHeight="1">
      <c r="A2625" s="432"/>
      <c r="B2625" s="63" t="s">
        <v>1599</v>
      </c>
      <c r="C2625" s="70">
        <v>1</v>
      </c>
      <c r="D2625" s="68">
        <v>4.5999999999999996</v>
      </c>
      <c r="E2625" s="68">
        <f t="shared" si="74"/>
        <v>0.7</v>
      </c>
      <c r="F2625" s="68"/>
      <c r="G2625" s="67">
        <f t="shared" si="73"/>
        <v>3.22</v>
      </c>
      <c r="H2625" s="929" t="s">
        <v>1303</v>
      </c>
    </row>
    <row r="2626" spans="1:9" ht="18" customHeight="1">
      <c r="A2626" s="432"/>
      <c r="B2626" s="63" t="s">
        <v>1600</v>
      </c>
      <c r="C2626" s="70">
        <v>1</v>
      </c>
      <c r="D2626" s="68">
        <v>3.8250000000000002</v>
      </c>
      <c r="E2626" s="68">
        <f t="shared" si="74"/>
        <v>0.7</v>
      </c>
      <c r="F2626" s="68"/>
      <c r="G2626" s="67">
        <f t="shared" si="73"/>
        <v>2.68</v>
      </c>
      <c r="H2626" s="929" t="s">
        <v>1303</v>
      </c>
    </row>
    <row r="2627" spans="1:9" ht="18" customHeight="1">
      <c r="A2627" s="432"/>
      <c r="B2627" s="63" t="s">
        <v>1601</v>
      </c>
      <c r="C2627" s="70">
        <v>1</v>
      </c>
      <c r="D2627" s="68">
        <v>3.7749999999999999</v>
      </c>
      <c r="E2627" s="68">
        <f t="shared" si="74"/>
        <v>0.7</v>
      </c>
      <c r="F2627" s="68"/>
      <c r="G2627" s="67">
        <f t="shared" si="73"/>
        <v>2.64</v>
      </c>
      <c r="H2627" s="929" t="s">
        <v>1303</v>
      </c>
    </row>
    <row r="2628" spans="1:9" ht="18" customHeight="1">
      <c r="A2628" s="432"/>
      <c r="B2628" s="63" t="s">
        <v>1602</v>
      </c>
      <c r="C2628" s="70">
        <v>1</v>
      </c>
      <c r="D2628" s="68">
        <f>3.6+1</f>
        <v>4.5999999999999996</v>
      </c>
      <c r="E2628" s="68">
        <f t="shared" si="74"/>
        <v>0.7</v>
      </c>
      <c r="F2628" s="68"/>
      <c r="G2628" s="67">
        <f t="shared" si="73"/>
        <v>3.22</v>
      </c>
      <c r="H2628" s="929" t="s">
        <v>1303</v>
      </c>
    </row>
    <row r="2629" spans="1:9" ht="18" customHeight="1">
      <c r="A2629" s="75"/>
      <c r="B2629" s="63" t="s">
        <v>1603</v>
      </c>
      <c r="C2629" s="70">
        <v>1</v>
      </c>
      <c r="D2629" s="68">
        <f>6.45+6.4+6.4+1.825</f>
        <v>21.074999999999999</v>
      </c>
      <c r="E2629" s="68">
        <f t="shared" si="74"/>
        <v>0.7</v>
      </c>
      <c r="F2629" s="68"/>
      <c r="G2629" s="67">
        <f t="shared" si="73"/>
        <v>14.75</v>
      </c>
      <c r="H2629" s="929" t="s">
        <v>1303</v>
      </c>
    </row>
    <row r="2630" spans="1:9" ht="18" customHeight="1">
      <c r="A2630" s="432"/>
      <c r="B2630" s="63" t="s">
        <v>1604</v>
      </c>
      <c r="C2630" s="70">
        <v>1</v>
      </c>
      <c r="D2630" s="68">
        <v>12.7</v>
      </c>
      <c r="E2630" s="68">
        <f t="shared" si="74"/>
        <v>0.7</v>
      </c>
      <c r="F2630" s="68"/>
      <c r="G2630" s="67">
        <f t="shared" si="73"/>
        <v>8.89</v>
      </c>
      <c r="H2630" s="929" t="s">
        <v>1303</v>
      </c>
    </row>
    <row r="2631" spans="1:9" ht="18" customHeight="1">
      <c r="A2631" s="432"/>
      <c r="B2631" s="63" t="s">
        <v>1605</v>
      </c>
      <c r="C2631" s="70">
        <v>1</v>
      </c>
      <c r="D2631" s="68">
        <f>1.875+2.725</f>
        <v>4.5999999999999996</v>
      </c>
      <c r="E2631" s="68">
        <f t="shared" si="74"/>
        <v>0.7</v>
      </c>
      <c r="F2631" s="68"/>
      <c r="G2631" s="67">
        <f t="shared" si="73"/>
        <v>3.22</v>
      </c>
      <c r="H2631" s="929" t="s">
        <v>1303</v>
      </c>
    </row>
    <row r="2632" spans="1:9" ht="18" customHeight="1">
      <c r="A2632" s="432"/>
      <c r="B2632" s="63" t="s">
        <v>1606</v>
      </c>
      <c r="C2632" s="70">
        <v>1</v>
      </c>
      <c r="D2632" s="68">
        <f>3.2+6.3+3.2</f>
        <v>12.7</v>
      </c>
      <c r="E2632" s="68">
        <f t="shared" si="74"/>
        <v>0.7</v>
      </c>
      <c r="F2632" s="68"/>
      <c r="G2632" s="67">
        <f t="shared" si="73"/>
        <v>8.89</v>
      </c>
      <c r="H2632" s="929" t="s">
        <v>1303</v>
      </c>
    </row>
    <row r="2633" spans="1:9" ht="18" customHeight="1">
      <c r="A2633" s="432"/>
      <c r="B2633" s="63" t="s">
        <v>1607</v>
      </c>
      <c r="C2633" s="70">
        <v>1</v>
      </c>
      <c r="D2633" s="68">
        <f>1.875+2.725</f>
        <v>4.5999999999999996</v>
      </c>
      <c r="E2633" s="68">
        <f t="shared" si="74"/>
        <v>0.7</v>
      </c>
      <c r="F2633" s="68"/>
      <c r="G2633" s="67">
        <f t="shared" si="73"/>
        <v>3.22</v>
      </c>
      <c r="H2633" s="929" t="s">
        <v>1303</v>
      </c>
    </row>
    <row r="2634" spans="1:9" ht="18" customHeight="1">
      <c r="A2634" s="432"/>
      <c r="B2634" s="63" t="s">
        <v>1113</v>
      </c>
      <c r="C2634" s="70">
        <v>1</v>
      </c>
      <c r="D2634" s="68">
        <v>12.7</v>
      </c>
      <c r="E2634" s="68">
        <f t="shared" si="74"/>
        <v>0.7</v>
      </c>
      <c r="F2634" s="68"/>
      <c r="G2634" s="67">
        <f t="shared" si="73"/>
        <v>8.89</v>
      </c>
      <c r="H2634" s="929" t="s">
        <v>1303</v>
      </c>
    </row>
    <row r="2635" spans="1:9" ht="18" customHeight="1">
      <c r="A2635" s="432"/>
      <c r="B2635" s="63"/>
      <c r="C2635" s="70"/>
      <c r="D2635" s="68"/>
      <c r="E2635" s="68"/>
      <c r="F2635" s="68"/>
      <c r="G2635" s="67" t="str">
        <f t="shared" si="73"/>
        <v xml:space="preserve"> </v>
      </c>
      <c r="H2635" s="929"/>
    </row>
    <row r="2636" spans="1:9" ht="18" customHeight="1">
      <c r="A2636" s="354" t="s">
        <v>1306</v>
      </c>
      <c r="B2636" s="64" t="s">
        <v>2154</v>
      </c>
      <c r="C2636" s="70"/>
      <c r="D2636" s="68"/>
      <c r="E2636" s="68"/>
      <c r="F2636" s="68"/>
      <c r="G2636" s="67" t="str">
        <f t="shared" si="73"/>
        <v xml:space="preserve"> </v>
      </c>
      <c r="H2636" s="929" t="s">
        <v>1306</v>
      </c>
      <c r="I2636" s="1133"/>
    </row>
    <row r="2637" spans="1:9" ht="18" customHeight="1">
      <c r="A2637" s="128"/>
      <c r="B2637" s="64" t="s">
        <v>1145</v>
      </c>
      <c r="C2637" s="70"/>
      <c r="D2637" s="68"/>
      <c r="E2637" s="68"/>
      <c r="F2637" s="68"/>
      <c r="G2637" s="67" t="str">
        <f t="shared" si="73"/>
        <v xml:space="preserve"> </v>
      </c>
      <c r="H2637" s="929" t="s">
        <v>1306</v>
      </c>
      <c r="I2637" s="1133"/>
    </row>
    <row r="2638" spans="1:9" ht="18" customHeight="1">
      <c r="A2638" s="128"/>
      <c r="B2638" s="63" t="s">
        <v>942</v>
      </c>
      <c r="C2638" s="70">
        <v>1</v>
      </c>
      <c r="D2638" s="68">
        <f>6.45+6.4+6.4+3.25-1.15-1.15</f>
        <v>20.200000000000003</v>
      </c>
      <c r="E2638" s="68">
        <v>1.25</v>
      </c>
      <c r="F2638" s="638"/>
      <c r="G2638" s="67">
        <f t="shared" si="73"/>
        <v>25.25</v>
      </c>
      <c r="H2638" s="929" t="s">
        <v>1306</v>
      </c>
      <c r="I2638" s="1133"/>
    </row>
    <row r="2639" spans="1:9" ht="18" customHeight="1">
      <c r="A2639" s="128"/>
      <c r="B2639" s="63" t="s">
        <v>1086</v>
      </c>
      <c r="C2639" s="70">
        <v>1</v>
      </c>
      <c r="D2639" s="68">
        <f>6.45+6.4+6.4+3.25-1.15-1.15</f>
        <v>20.200000000000003</v>
      </c>
      <c r="E2639" s="68">
        <v>1.25</v>
      </c>
      <c r="F2639" s="638"/>
      <c r="G2639" s="67">
        <f t="shared" si="73"/>
        <v>25.25</v>
      </c>
      <c r="H2639" s="929" t="s">
        <v>1306</v>
      </c>
      <c r="I2639" s="1133"/>
    </row>
    <row r="2640" spans="1:9" ht="18" customHeight="1">
      <c r="A2640" s="128"/>
      <c r="B2640" s="63" t="s">
        <v>1291</v>
      </c>
      <c r="C2640" s="70">
        <v>2</v>
      </c>
      <c r="D2640" s="68">
        <f>2.2+2</f>
        <v>4.2</v>
      </c>
      <c r="E2640" s="68">
        <v>1.25</v>
      </c>
      <c r="F2640" s="638"/>
      <c r="G2640" s="67">
        <f t="shared" si="73"/>
        <v>10.5</v>
      </c>
      <c r="H2640" s="929" t="s">
        <v>1306</v>
      </c>
      <c r="I2640" s="1133"/>
    </row>
    <row r="2641" spans="1:9" ht="18" customHeight="1">
      <c r="A2641" s="128"/>
      <c r="B2641" s="63" t="s">
        <v>1292</v>
      </c>
      <c r="C2641" s="70">
        <v>2</v>
      </c>
      <c r="D2641" s="68">
        <f>2.2+2</f>
        <v>4.2</v>
      </c>
      <c r="E2641" s="68">
        <v>1.25</v>
      </c>
      <c r="F2641" s="638"/>
      <c r="G2641" s="67">
        <f t="shared" si="73"/>
        <v>10.5</v>
      </c>
      <c r="H2641" s="929" t="s">
        <v>1306</v>
      </c>
      <c r="I2641" s="1133"/>
    </row>
    <row r="2642" spans="1:9" ht="18" customHeight="1">
      <c r="A2642" s="128"/>
      <c r="B2642" s="63" t="s">
        <v>1293</v>
      </c>
      <c r="C2642" s="70">
        <v>1</v>
      </c>
      <c r="D2642" s="68">
        <f>6.45+6.45-0.915-0.915</f>
        <v>11.07</v>
      </c>
      <c r="E2642" s="68">
        <v>1.25</v>
      </c>
      <c r="F2642" s="638"/>
      <c r="G2642" s="67">
        <f t="shared" si="73"/>
        <v>13.84</v>
      </c>
      <c r="H2642" s="929" t="s">
        <v>1306</v>
      </c>
      <c r="I2642" s="1133"/>
    </row>
    <row r="2643" spans="1:9" ht="18" customHeight="1">
      <c r="A2643" s="128"/>
      <c r="B2643" s="63" t="s">
        <v>1294</v>
      </c>
      <c r="C2643" s="70">
        <v>1</v>
      </c>
      <c r="D2643" s="68">
        <f>6.45+6.45-0.915-0.915</f>
        <v>11.07</v>
      </c>
      <c r="E2643" s="68">
        <v>1.25</v>
      </c>
      <c r="F2643" s="638"/>
      <c r="G2643" s="67">
        <f t="shared" si="73"/>
        <v>13.84</v>
      </c>
      <c r="H2643" s="929" t="s">
        <v>1306</v>
      </c>
      <c r="I2643" s="1133"/>
    </row>
    <row r="2644" spans="1:9" ht="18" customHeight="1">
      <c r="A2644" s="128"/>
      <c r="B2644" s="63" t="s">
        <v>1295</v>
      </c>
      <c r="C2644" s="70">
        <v>1</v>
      </c>
      <c r="D2644" s="567">
        <v>11.45</v>
      </c>
      <c r="E2644" s="68">
        <v>1.25</v>
      </c>
      <c r="F2644" s="638"/>
      <c r="G2644" s="67">
        <f t="shared" si="73"/>
        <v>14.31</v>
      </c>
      <c r="H2644" s="929" t="s">
        <v>1306</v>
      </c>
      <c r="I2644" s="1133"/>
    </row>
    <row r="2645" spans="1:9" ht="18" customHeight="1">
      <c r="A2645" s="128"/>
      <c r="B2645" s="63" t="s">
        <v>1296</v>
      </c>
      <c r="C2645" s="70">
        <v>1</v>
      </c>
      <c r="D2645" s="567">
        <v>13.1</v>
      </c>
      <c r="E2645" s="68">
        <v>1.25</v>
      </c>
      <c r="F2645" s="638"/>
      <c r="G2645" s="67">
        <f t="shared" ref="G2645:G2665" si="75">IF(C2645&lt;&gt;0,ROUND(PRODUCT(D2645:F2645)*C2645,2)," ")</f>
        <v>16.38</v>
      </c>
      <c r="H2645" s="929" t="s">
        <v>1306</v>
      </c>
      <c r="I2645" s="1133"/>
    </row>
    <row r="2646" spans="1:9" ht="18" customHeight="1">
      <c r="A2646" s="128"/>
      <c r="B2646" s="63" t="s">
        <v>1113</v>
      </c>
      <c r="C2646" s="70">
        <v>1</v>
      </c>
      <c r="D2646" s="68">
        <f>3.2+6.45+3.25-1.025-1.075</f>
        <v>10.8</v>
      </c>
      <c r="E2646" s="68">
        <v>1.25</v>
      </c>
      <c r="F2646" s="638"/>
      <c r="G2646" s="67">
        <f t="shared" si="75"/>
        <v>13.5</v>
      </c>
      <c r="H2646" s="929" t="s">
        <v>1306</v>
      </c>
      <c r="I2646" s="1133"/>
    </row>
    <row r="2647" spans="1:9" ht="18" customHeight="1">
      <c r="A2647" s="128"/>
      <c r="B2647" s="63" t="s">
        <v>1297</v>
      </c>
      <c r="C2647" s="70">
        <v>1</v>
      </c>
      <c r="D2647" s="68">
        <f>3.2+6.45+3.25-1.025-1.075</f>
        <v>10.8</v>
      </c>
      <c r="E2647" s="68">
        <v>1.25</v>
      </c>
      <c r="F2647" s="638"/>
      <c r="G2647" s="67">
        <f t="shared" si="75"/>
        <v>13.5</v>
      </c>
      <c r="H2647" s="929" t="s">
        <v>1306</v>
      </c>
      <c r="I2647" s="1133"/>
    </row>
    <row r="2648" spans="1:9" ht="18" customHeight="1">
      <c r="A2648" s="128"/>
      <c r="B2648" s="63" t="s">
        <v>1111</v>
      </c>
      <c r="C2648" s="70">
        <v>1</v>
      </c>
      <c r="D2648" s="68">
        <f>3.2+6.45+6.45-1.025-1.05</f>
        <v>14.025</v>
      </c>
      <c r="E2648" s="68">
        <v>1.25</v>
      </c>
      <c r="F2648" s="638"/>
      <c r="G2648" s="67">
        <f t="shared" si="75"/>
        <v>17.53</v>
      </c>
      <c r="H2648" s="929" t="s">
        <v>1306</v>
      </c>
      <c r="I2648" s="1133"/>
    </row>
    <row r="2649" spans="1:9" ht="18" customHeight="1">
      <c r="A2649" s="128"/>
      <c r="B2649" s="63" t="s">
        <v>1112</v>
      </c>
      <c r="C2649" s="70">
        <v>1</v>
      </c>
      <c r="D2649" s="68">
        <f>3.2+6.45+6.45-1.025-1.05</f>
        <v>14.025</v>
      </c>
      <c r="E2649" s="68">
        <v>1.25</v>
      </c>
      <c r="F2649" s="638"/>
      <c r="G2649" s="67">
        <f t="shared" si="75"/>
        <v>17.53</v>
      </c>
      <c r="H2649" s="929" t="s">
        <v>1306</v>
      </c>
      <c r="I2649" s="1133"/>
    </row>
    <row r="2650" spans="1:9" s="494" customFormat="1" ht="18" customHeight="1">
      <c r="A2650" s="653" t="s">
        <v>2045</v>
      </c>
      <c r="B2650" s="362" t="s">
        <v>1779</v>
      </c>
      <c r="C2650" s="495"/>
      <c r="D2650" s="489"/>
      <c r="E2650" s="486"/>
      <c r="F2650" s="486"/>
      <c r="G2650" s="67" t="str">
        <f t="shared" si="75"/>
        <v xml:space="preserve"> </v>
      </c>
      <c r="H2650" s="938"/>
      <c r="I2650" s="1230"/>
    </row>
    <row r="2651" spans="1:9" s="488" customFormat="1" ht="18" customHeight="1">
      <c r="A2651" s="490"/>
      <c r="B2651" s="63" t="s">
        <v>942</v>
      </c>
      <c r="C2651" s="583">
        <v>2</v>
      </c>
      <c r="D2651" s="405">
        <f>6.45+6.4+6.4+3.25-1.15-1.15</f>
        <v>20.200000000000003</v>
      </c>
      <c r="E2651" s="405">
        <v>2.6</v>
      </c>
      <c r="F2651" s="497"/>
      <c r="G2651" s="67">
        <f t="shared" si="75"/>
        <v>105.04</v>
      </c>
      <c r="H2651" s="938" t="s">
        <v>1442</v>
      </c>
      <c r="I2651" s="1238"/>
    </row>
    <row r="2652" spans="1:9" s="488" customFormat="1" ht="18" customHeight="1">
      <c r="A2652" s="490"/>
      <c r="B2652" s="63" t="s">
        <v>1086</v>
      </c>
      <c r="C2652" s="583">
        <v>2</v>
      </c>
      <c r="D2652" s="405">
        <f>6.45+6.4+6.4+3.25-1.15-1.15</f>
        <v>20.200000000000003</v>
      </c>
      <c r="E2652" s="405">
        <v>2.6</v>
      </c>
      <c r="F2652" s="497"/>
      <c r="G2652" s="67">
        <f t="shared" si="75"/>
        <v>105.04</v>
      </c>
      <c r="H2652" s="938" t="s">
        <v>1442</v>
      </c>
      <c r="I2652" s="1238"/>
    </row>
    <row r="2653" spans="1:9" s="488" customFormat="1" ht="18" customHeight="1">
      <c r="A2653" s="490"/>
      <c r="B2653" s="63" t="s">
        <v>1291</v>
      </c>
      <c r="C2653" s="583">
        <v>4</v>
      </c>
      <c r="D2653" s="405">
        <f>2.2+2</f>
        <v>4.2</v>
      </c>
      <c r="E2653" s="405">
        <v>2.6</v>
      </c>
      <c r="F2653" s="497"/>
      <c r="G2653" s="67">
        <f t="shared" si="75"/>
        <v>43.68</v>
      </c>
      <c r="H2653" s="938" t="s">
        <v>1442</v>
      </c>
      <c r="I2653" s="1238"/>
    </row>
    <row r="2654" spans="1:9" s="488" customFormat="1" ht="18" customHeight="1">
      <c r="A2654" s="490"/>
      <c r="B2654" s="63" t="s">
        <v>1292</v>
      </c>
      <c r="C2654" s="583">
        <v>4</v>
      </c>
      <c r="D2654" s="405">
        <f>2.2+2</f>
        <v>4.2</v>
      </c>
      <c r="E2654" s="405">
        <v>2.6</v>
      </c>
      <c r="F2654" s="497"/>
      <c r="G2654" s="67">
        <f t="shared" si="75"/>
        <v>43.68</v>
      </c>
      <c r="H2654" s="938" t="s">
        <v>1442</v>
      </c>
      <c r="I2654" s="1238"/>
    </row>
    <row r="2655" spans="1:9" s="488" customFormat="1" ht="18" customHeight="1">
      <c r="A2655" s="490"/>
      <c r="B2655" s="63" t="s">
        <v>1293</v>
      </c>
      <c r="C2655" s="583">
        <v>2</v>
      </c>
      <c r="D2655" s="567">
        <v>10.91</v>
      </c>
      <c r="E2655" s="405">
        <v>2.6</v>
      </c>
      <c r="F2655" s="497"/>
      <c r="G2655" s="67">
        <f t="shared" si="75"/>
        <v>56.73</v>
      </c>
      <c r="H2655" s="938" t="s">
        <v>1442</v>
      </c>
      <c r="I2655" s="1238"/>
    </row>
    <row r="2656" spans="1:9" s="488" customFormat="1" ht="18" customHeight="1">
      <c r="A2656" s="490"/>
      <c r="B2656" s="63" t="s">
        <v>1294</v>
      </c>
      <c r="C2656" s="583">
        <v>2</v>
      </c>
      <c r="D2656" s="567">
        <v>10.91</v>
      </c>
      <c r="E2656" s="405">
        <v>2.6</v>
      </c>
      <c r="F2656" s="497"/>
      <c r="G2656" s="67">
        <f t="shared" si="75"/>
        <v>56.73</v>
      </c>
      <c r="H2656" s="938" t="s">
        <v>1442</v>
      </c>
      <c r="I2656" s="1238"/>
    </row>
    <row r="2657" spans="1:9" s="488" customFormat="1" ht="18" customHeight="1">
      <c r="A2657" s="490"/>
      <c r="B2657" s="63" t="s">
        <v>1295</v>
      </c>
      <c r="C2657" s="583">
        <v>2</v>
      </c>
      <c r="D2657" s="567">
        <v>14.275</v>
      </c>
      <c r="E2657" s="405">
        <v>2.6</v>
      </c>
      <c r="F2657" s="497"/>
      <c r="G2657" s="67">
        <f t="shared" si="75"/>
        <v>74.23</v>
      </c>
      <c r="H2657" s="938" t="s">
        <v>1442</v>
      </c>
      <c r="I2657" s="1238"/>
    </row>
    <row r="2658" spans="1:9" s="488" customFormat="1" ht="18" customHeight="1">
      <c r="A2658" s="490"/>
      <c r="B2658" s="63" t="s">
        <v>1296</v>
      </c>
      <c r="C2658" s="583">
        <v>2</v>
      </c>
      <c r="D2658" s="567">
        <v>14.275</v>
      </c>
      <c r="E2658" s="405">
        <v>2.6</v>
      </c>
      <c r="F2658" s="497"/>
      <c r="G2658" s="67">
        <f t="shared" si="75"/>
        <v>74.23</v>
      </c>
      <c r="H2658" s="938" t="s">
        <v>1442</v>
      </c>
      <c r="I2658" s="1238"/>
    </row>
    <row r="2659" spans="1:9" s="488" customFormat="1" ht="18" customHeight="1">
      <c r="A2659" s="490"/>
      <c r="B2659" s="63" t="s">
        <v>1113</v>
      </c>
      <c r="C2659" s="583">
        <v>2</v>
      </c>
      <c r="D2659" s="405">
        <f>3.2+6.45+3.25-1.025-1.075</f>
        <v>10.8</v>
      </c>
      <c r="E2659" s="405">
        <v>2.6</v>
      </c>
      <c r="F2659" s="497"/>
      <c r="G2659" s="67">
        <f t="shared" si="75"/>
        <v>56.16</v>
      </c>
      <c r="H2659" s="938" t="s">
        <v>1442</v>
      </c>
      <c r="I2659" s="1238"/>
    </row>
    <row r="2660" spans="1:9" s="488" customFormat="1" ht="18" customHeight="1">
      <c r="A2660" s="490"/>
      <c r="B2660" s="63" t="s">
        <v>1297</v>
      </c>
      <c r="C2660" s="583">
        <v>2</v>
      </c>
      <c r="D2660" s="405">
        <f>3.2+6.45+3.25-1.025-1.075</f>
        <v>10.8</v>
      </c>
      <c r="E2660" s="405">
        <v>2.6</v>
      </c>
      <c r="F2660" s="497"/>
      <c r="G2660" s="67">
        <f t="shared" si="75"/>
        <v>56.16</v>
      </c>
      <c r="H2660" s="938" t="s">
        <v>1442</v>
      </c>
      <c r="I2660" s="1238"/>
    </row>
    <row r="2661" spans="1:9" s="488" customFormat="1" ht="18" customHeight="1">
      <c r="A2661" s="490"/>
      <c r="B2661" s="63" t="s">
        <v>1111</v>
      </c>
      <c r="C2661" s="583">
        <v>2</v>
      </c>
      <c r="D2661" s="405">
        <f>3.2+6.45+6.45-1.025-1.05</f>
        <v>14.025</v>
      </c>
      <c r="E2661" s="405">
        <v>2.6</v>
      </c>
      <c r="F2661" s="497"/>
      <c r="G2661" s="67">
        <f t="shared" si="75"/>
        <v>72.930000000000007</v>
      </c>
      <c r="H2661" s="938" t="s">
        <v>1442</v>
      </c>
      <c r="I2661" s="1238"/>
    </row>
    <row r="2662" spans="1:9" s="488" customFormat="1" ht="18" customHeight="1">
      <c r="A2662" s="490"/>
      <c r="B2662" s="63" t="s">
        <v>1112</v>
      </c>
      <c r="C2662" s="583">
        <v>2</v>
      </c>
      <c r="D2662" s="405">
        <f>3.2+6.45+6.45-1.025-1.05</f>
        <v>14.025</v>
      </c>
      <c r="E2662" s="405">
        <v>2.6</v>
      </c>
      <c r="F2662" s="497"/>
      <c r="G2662" s="67">
        <f t="shared" si="75"/>
        <v>72.930000000000007</v>
      </c>
      <c r="H2662" s="938" t="s">
        <v>1442</v>
      </c>
      <c r="I2662" s="1238"/>
    </row>
    <row r="2663" spans="1:9" s="488" customFormat="1" ht="18" customHeight="1">
      <c r="A2663" s="490"/>
      <c r="B2663" s="63" t="s">
        <v>1363</v>
      </c>
      <c r="C2663" s="583">
        <v>2</v>
      </c>
      <c r="D2663" s="405">
        <v>6.3</v>
      </c>
      <c r="E2663" s="575">
        <f>13.9-0.6-2.5+0.1</f>
        <v>10.9</v>
      </c>
      <c r="F2663" s="497"/>
      <c r="G2663" s="67">
        <f t="shared" si="75"/>
        <v>137.34</v>
      </c>
      <c r="H2663" s="938" t="s">
        <v>1442</v>
      </c>
      <c r="I2663" s="1238"/>
    </row>
    <row r="2664" spans="1:9" s="488" customFormat="1" ht="18" customHeight="1">
      <c r="A2664" s="490"/>
      <c r="B2664" s="63" t="s">
        <v>1365</v>
      </c>
      <c r="C2664" s="583">
        <v>4</v>
      </c>
      <c r="D2664" s="567">
        <v>3.55</v>
      </c>
      <c r="E2664" s="575">
        <f>13.44-0.15</f>
        <v>13.29</v>
      </c>
      <c r="F2664" s="497"/>
      <c r="G2664" s="67">
        <f t="shared" si="75"/>
        <v>188.72</v>
      </c>
      <c r="H2664" s="938" t="s">
        <v>1442</v>
      </c>
      <c r="I2664" s="1238"/>
    </row>
    <row r="2665" spans="1:9" ht="18" customHeight="1">
      <c r="A2665" s="354"/>
      <c r="B2665" s="64" t="s">
        <v>1721</v>
      </c>
      <c r="C2665" s="583">
        <f>4+4</f>
        <v>8</v>
      </c>
      <c r="D2665" s="405">
        <v>3.85</v>
      </c>
      <c r="E2665" s="405">
        <v>3.35</v>
      </c>
      <c r="F2665" s="68"/>
      <c r="G2665" s="67">
        <f t="shared" si="75"/>
        <v>103.18</v>
      </c>
      <c r="H2665" s="929" t="s">
        <v>1442</v>
      </c>
    </row>
    <row r="2666" spans="1:9" ht="18" customHeight="1">
      <c r="A2666" s="932"/>
      <c r="B2666" s="874" t="s">
        <v>2188</v>
      </c>
      <c r="C2666" s="875"/>
      <c r="D2666" s="874"/>
      <c r="E2666" s="874"/>
      <c r="F2666" s="874"/>
      <c r="G2666" s="842">
        <f>SUM(G2517:G2665)</f>
        <v>4937.6699999999964</v>
      </c>
      <c r="H2666" s="945" t="s">
        <v>10</v>
      </c>
      <c r="I2666" s="1226" t="s">
        <v>459</v>
      </c>
    </row>
    <row r="2667" spans="1:9" s="79" customFormat="1" ht="18" customHeight="1">
      <c r="A2667" s="934"/>
      <c r="B2667" s="566"/>
      <c r="C2667" s="565"/>
      <c r="D2667" s="254"/>
      <c r="E2667" s="254"/>
      <c r="F2667" s="254"/>
      <c r="G2667" s="715"/>
      <c r="H2667" s="935"/>
      <c r="I2667" s="1231"/>
    </row>
    <row r="2668" spans="1:9" s="79" customFormat="1" ht="18" customHeight="1">
      <c r="A2668" s="932" t="s">
        <v>469</v>
      </c>
      <c r="B2668" s="874" t="s">
        <v>2281</v>
      </c>
      <c r="C2668" s="565"/>
      <c r="D2668" s="254"/>
      <c r="E2668" s="254"/>
      <c r="F2668" s="254"/>
      <c r="G2668" s="715"/>
      <c r="H2668" s="935"/>
      <c r="I2668" s="1231"/>
    </row>
    <row r="2669" spans="1:9" ht="18" customHeight="1">
      <c r="A2669" s="354"/>
      <c r="B2669" s="80" t="s">
        <v>1145</v>
      </c>
      <c r="C2669" s="70"/>
      <c r="D2669" s="68"/>
      <c r="E2669" s="68"/>
      <c r="F2669" s="68"/>
      <c r="G2669" s="68"/>
      <c r="H2669" s="929"/>
    </row>
    <row r="2670" spans="1:9" ht="18" customHeight="1">
      <c r="A2670" s="128"/>
      <c r="B2670" s="64" t="s">
        <v>1692</v>
      </c>
      <c r="C2670" s="70"/>
      <c r="D2670" s="68"/>
      <c r="E2670" s="68"/>
      <c r="F2670" s="68"/>
      <c r="G2670" s="68"/>
      <c r="H2670" s="929"/>
    </row>
    <row r="2671" spans="1:9" s="78" customFormat="1" ht="18" customHeight="1">
      <c r="A2671" s="432"/>
      <c r="B2671" s="63" t="s">
        <v>2033</v>
      </c>
      <c r="C2671" s="70">
        <v>3</v>
      </c>
      <c r="D2671" s="68">
        <v>3.1</v>
      </c>
      <c r="E2671" s="68">
        <v>4.8</v>
      </c>
      <c r="F2671" s="68"/>
      <c r="G2671" s="67">
        <f t="shared" ref="G2671:G2734" si="76">IF(C2671&lt;&gt;0,ROUND(PRODUCT(D2671:F2671)*C2671,2)," ")</f>
        <v>44.64</v>
      </c>
      <c r="H2671" s="947" t="s">
        <v>1303</v>
      </c>
      <c r="I2671" s="1227"/>
    </row>
    <row r="2672" spans="1:9" s="78" customFormat="1" ht="18" customHeight="1">
      <c r="A2672" s="432"/>
      <c r="B2672" s="63" t="s">
        <v>2064</v>
      </c>
      <c r="C2672" s="70">
        <v>1</v>
      </c>
      <c r="D2672" s="68">
        <v>6.3</v>
      </c>
      <c r="E2672" s="68">
        <v>4.8</v>
      </c>
      <c r="F2672" s="68"/>
      <c r="G2672" s="67">
        <f t="shared" si="76"/>
        <v>30.24</v>
      </c>
      <c r="H2672" s="947" t="s">
        <v>1303</v>
      </c>
      <c r="I2672" s="1227"/>
    </row>
    <row r="2673" spans="1:10" ht="18" customHeight="1">
      <c r="A2673" s="128"/>
      <c r="B2673" s="64" t="s">
        <v>1697</v>
      </c>
      <c r="C2673" s="70"/>
      <c r="D2673" s="68"/>
      <c r="E2673" s="68"/>
      <c r="F2673" s="68"/>
      <c r="G2673" s="67" t="str">
        <f t="shared" si="76"/>
        <v xml:space="preserve"> </v>
      </c>
      <c r="H2673" s="947" t="s">
        <v>1303</v>
      </c>
    </row>
    <row r="2674" spans="1:10" s="78" customFormat="1" ht="18" customHeight="1">
      <c r="A2674" s="432"/>
      <c r="B2674" s="63" t="s">
        <v>2033</v>
      </c>
      <c r="C2674" s="70">
        <v>5</v>
      </c>
      <c r="D2674" s="68">
        <v>3.1</v>
      </c>
      <c r="E2674" s="68">
        <v>4.8</v>
      </c>
      <c r="F2674" s="68"/>
      <c r="G2674" s="67">
        <f t="shared" si="76"/>
        <v>74.400000000000006</v>
      </c>
      <c r="H2674" s="947" t="s">
        <v>1303</v>
      </c>
      <c r="I2674" s="1227"/>
    </row>
    <row r="2675" spans="1:10" ht="18" customHeight="1">
      <c r="A2675" s="128"/>
      <c r="B2675" s="64" t="s">
        <v>1146</v>
      </c>
      <c r="C2675" s="70"/>
      <c r="D2675" s="68"/>
      <c r="E2675" s="68"/>
      <c r="F2675" s="68"/>
      <c r="G2675" s="67" t="str">
        <f t="shared" si="76"/>
        <v xml:space="preserve"> </v>
      </c>
      <c r="H2675" s="947" t="s">
        <v>1303</v>
      </c>
    </row>
    <row r="2676" spans="1:10" s="78" customFormat="1" ht="18" customHeight="1">
      <c r="A2676" s="432"/>
      <c r="B2676" s="63" t="s">
        <v>2033</v>
      </c>
      <c r="C2676" s="70">
        <v>4</v>
      </c>
      <c r="D2676" s="68">
        <v>3.1</v>
      </c>
      <c r="E2676" s="68">
        <v>4.8</v>
      </c>
      <c r="F2676" s="68"/>
      <c r="G2676" s="67">
        <f t="shared" si="76"/>
        <v>59.52</v>
      </c>
      <c r="H2676" s="947" t="s">
        <v>1303</v>
      </c>
      <c r="I2676" s="1227"/>
    </row>
    <row r="2677" spans="1:10" s="78" customFormat="1" ht="18" customHeight="1">
      <c r="A2677" s="432"/>
      <c r="B2677" s="356" t="s">
        <v>2065</v>
      </c>
      <c r="C2677" s="76">
        <v>-2</v>
      </c>
      <c r="D2677" s="77">
        <v>2.0499999999999998</v>
      </c>
      <c r="E2677" s="68">
        <v>1.8</v>
      </c>
      <c r="F2677" s="68"/>
      <c r="G2677" s="67">
        <f t="shared" si="76"/>
        <v>-7.38</v>
      </c>
      <c r="H2677" s="947" t="s">
        <v>1303</v>
      </c>
      <c r="I2677" s="1227"/>
      <c r="J2677" s="78">
        <f>COUNTIF(B2670:B2721,"bed room")</f>
        <v>0</v>
      </c>
    </row>
    <row r="2678" spans="1:10" ht="18" customHeight="1">
      <c r="A2678" s="128"/>
      <c r="B2678" s="64" t="s">
        <v>1147</v>
      </c>
      <c r="C2678" s="70"/>
      <c r="D2678" s="68"/>
      <c r="E2678" s="68"/>
      <c r="F2678" s="68"/>
      <c r="G2678" s="67" t="str">
        <f t="shared" si="76"/>
        <v xml:space="preserve"> </v>
      </c>
      <c r="H2678" s="947" t="s">
        <v>1303</v>
      </c>
    </row>
    <row r="2679" spans="1:10" ht="18" customHeight="1">
      <c r="A2679" s="128"/>
      <c r="B2679" s="356" t="s">
        <v>2066</v>
      </c>
      <c r="C2679" s="76">
        <v>1</v>
      </c>
      <c r="D2679" s="77">
        <v>3</v>
      </c>
      <c r="E2679" s="68">
        <v>3.7</v>
      </c>
      <c r="F2679" s="68"/>
      <c r="G2679" s="67">
        <f t="shared" si="76"/>
        <v>11.1</v>
      </c>
      <c r="H2679" s="947" t="s">
        <v>1303</v>
      </c>
    </row>
    <row r="2680" spans="1:10" s="78" customFormat="1" ht="18" customHeight="1">
      <c r="A2680" s="432"/>
      <c r="B2680" s="356" t="s">
        <v>1520</v>
      </c>
      <c r="C2680" s="76">
        <v>-2</v>
      </c>
      <c r="D2680" s="77">
        <v>1.4</v>
      </c>
      <c r="E2680" s="68">
        <v>1</v>
      </c>
      <c r="F2680" s="68"/>
      <c r="G2680" s="67">
        <f t="shared" si="76"/>
        <v>-2.8</v>
      </c>
      <c r="H2680" s="947" t="s">
        <v>1303</v>
      </c>
      <c r="I2680" s="1227"/>
    </row>
    <row r="2681" spans="1:10" s="78" customFormat="1" ht="18" customHeight="1">
      <c r="A2681" s="432"/>
      <c r="B2681" s="356" t="s">
        <v>2067</v>
      </c>
      <c r="C2681" s="76">
        <v>1</v>
      </c>
      <c r="D2681" s="77">
        <v>4.3499999999999996</v>
      </c>
      <c r="E2681" s="68">
        <v>4.8</v>
      </c>
      <c r="F2681" s="68"/>
      <c r="G2681" s="67">
        <f t="shared" si="76"/>
        <v>20.88</v>
      </c>
      <c r="H2681" s="947" t="s">
        <v>1303</v>
      </c>
      <c r="I2681" s="1227"/>
    </row>
    <row r="2682" spans="1:10" s="78" customFormat="1" ht="18" customHeight="1">
      <c r="A2682" s="432"/>
      <c r="B2682" s="356" t="s">
        <v>2068</v>
      </c>
      <c r="C2682" s="76">
        <v>-1</v>
      </c>
      <c r="D2682" s="77">
        <f>1.7+0.2</f>
        <v>1.9</v>
      </c>
      <c r="E2682" s="68">
        <f>2.7+0.2</f>
        <v>2.9000000000000004</v>
      </c>
      <c r="F2682" s="68"/>
      <c r="G2682" s="67">
        <f t="shared" si="76"/>
        <v>-5.51</v>
      </c>
      <c r="H2682" s="947" t="s">
        <v>1303</v>
      </c>
      <c r="I2682" s="1227"/>
    </row>
    <row r="2683" spans="1:10" s="78" customFormat="1" ht="18" customHeight="1">
      <c r="A2683" s="432"/>
      <c r="B2683" s="63" t="s">
        <v>2033</v>
      </c>
      <c r="C2683" s="70">
        <v>1</v>
      </c>
      <c r="D2683" s="68">
        <v>3.1</v>
      </c>
      <c r="E2683" s="68">
        <v>4.8</v>
      </c>
      <c r="F2683" s="68"/>
      <c r="G2683" s="67">
        <f t="shared" si="76"/>
        <v>14.88</v>
      </c>
      <c r="H2683" s="947" t="s">
        <v>1303</v>
      </c>
      <c r="I2683" s="1227"/>
    </row>
    <row r="2684" spans="1:10" ht="18" customHeight="1">
      <c r="A2684" s="128"/>
      <c r="B2684" s="64" t="s">
        <v>1701</v>
      </c>
      <c r="C2684" s="70"/>
      <c r="D2684" s="68"/>
      <c r="E2684" s="68"/>
      <c r="F2684" s="68"/>
      <c r="G2684" s="67" t="str">
        <f t="shared" si="76"/>
        <v xml:space="preserve"> </v>
      </c>
      <c r="H2684" s="947" t="s">
        <v>1303</v>
      </c>
    </row>
    <row r="2685" spans="1:10" s="78" customFormat="1" ht="18" customHeight="1">
      <c r="A2685" s="432"/>
      <c r="B2685" s="63" t="s">
        <v>2033</v>
      </c>
      <c r="C2685" s="70">
        <v>7</v>
      </c>
      <c r="D2685" s="68">
        <v>3.1</v>
      </c>
      <c r="E2685" s="68">
        <v>4.8</v>
      </c>
      <c r="F2685" s="68"/>
      <c r="G2685" s="67">
        <f t="shared" si="76"/>
        <v>104.16</v>
      </c>
      <c r="H2685" s="947" t="s">
        <v>1303</v>
      </c>
      <c r="I2685" s="1227"/>
    </row>
    <row r="2686" spans="1:10" ht="18" customHeight="1">
      <c r="A2686" s="128"/>
      <c r="B2686" s="64" t="s">
        <v>1704</v>
      </c>
      <c r="C2686" s="70"/>
      <c r="D2686" s="68"/>
      <c r="E2686" s="68"/>
      <c r="F2686" s="68"/>
      <c r="G2686" s="67" t="str">
        <f t="shared" si="76"/>
        <v xml:space="preserve"> </v>
      </c>
      <c r="H2686" s="947" t="s">
        <v>1303</v>
      </c>
    </row>
    <row r="2687" spans="1:10" s="78" customFormat="1" ht="18" customHeight="1">
      <c r="A2687" s="432"/>
      <c r="B2687" s="63" t="s">
        <v>2033</v>
      </c>
      <c r="C2687" s="70">
        <v>4</v>
      </c>
      <c r="D2687" s="68">
        <v>3.1</v>
      </c>
      <c r="E2687" s="68">
        <v>4.8</v>
      </c>
      <c r="F2687" s="68"/>
      <c r="G2687" s="67">
        <f t="shared" si="76"/>
        <v>59.52</v>
      </c>
      <c r="H2687" s="947" t="s">
        <v>1303</v>
      </c>
      <c r="I2687" s="1227"/>
    </row>
    <row r="2688" spans="1:10" s="78" customFormat="1" ht="18" customHeight="1">
      <c r="A2688" s="432"/>
      <c r="B2688" s="63" t="s">
        <v>1149</v>
      </c>
      <c r="C2688" s="76">
        <v>1</v>
      </c>
      <c r="D2688" s="77">
        <v>4.7</v>
      </c>
      <c r="E2688" s="68">
        <v>3.05</v>
      </c>
      <c r="F2688" s="68"/>
      <c r="G2688" s="67">
        <f t="shared" si="76"/>
        <v>14.34</v>
      </c>
      <c r="H2688" s="947" t="s">
        <v>1303</v>
      </c>
      <c r="I2688" s="1227"/>
    </row>
    <row r="2689" spans="1:9" ht="18" customHeight="1">
      <c r="A2689" s="128"/>
      <c r="B2689" s="356" t="s">
        <v>2069</v>
      </c>
      <c r="C2689" s="76">
        <v>1</v>
      </c>
      <c r="D2689" s="77">
        <v>4.8</v>
      </c>
      <c r="E2689" s="68">
        <v>8.0500000000000007</v>
      </c>
      <c r="F2689" s="68"/>
      <c r="G2689" s="67">
        <f t="shared" si="76"/>
        <v>38.64</v>
      </c>
      <c r="H2689" s="947" t="s">
        <v>1303</v>
      </c>
    </row>
    <row r="2690" spans="1:9" ht="18" customHeight="1">
      <c r="A2690" s="128"/>
      <c r="B2690" s="64" t="s">
        <v>1706</v>
      </c>
      <c r="C2690" s="70"/>
      <c r="D2690" s="68"/>
      <c r="E2690" s="68"/>
      <c r="F2690" s="68"/>
      <c r="G2690" s="67" t="str">
        <f t="shared" si="76"/>
        <v xml:space="preserve"> </v>
      </c>
      <c r="H2690" s="947" t="s">
        <v>1303</v>
      </c>
    </row>
    <row r="2691" spans="1:9" s="78" customFormat="1" ht="18" customHeight="1">
      <c r="A2691" s="432"/>
      <c r="B2691" s="63" t="s">
        <v>2033</v>
      </c>
      <c r="C2691" s="70">
        <v>7</v>
      </c>
      <c r="D2691" s="68">
        <v>3.1</v>
      </c>
      <c r="E2691" s="68">
        <v>4.8</v>
      </c>
      <c r="F2691" s="68"/>
      <c r="G2691" s="67">
        <f t="shared" si="76"/>
        <v>104.16</v>
      </c>
      <c r="H2691" s="947" t="s">
        <v>1303</v>
      </c>
      <c r="I2691" s="1227"/>
    </row>
    <row r="2692" spans="1:9" ht="18" customHeight="1">
      <c r="A2692" s="128"/>
      <c r="B2692" s="64" t="s">
        <v>1707</v>
      </c>
      <c r="C2692" s="70"/>
      <c r="D2692" s="68"/>
      <c r="E2692" s="68"/>
      <c r="F2692" s="68"/>
      <c r="G2692" s="67" t="str">
        <f t="shared" si="76"/>
        <v xml:space="preserve"> </v>
      </c>
      <c r="H2692" s="947" t="s">
        <v>1303</v>
      </c>
    </row>
    <row r="2693" spans="1:9" s="78" customFormat="1" ht="18" customHeight="1">
      <c r="A2693" s="432"/>
      <c r="B2693" s="63" t="s">
        <v>2033</v>
      </c>
      <c r="C2693" s="70">
        <v>4</v>
      </c>
      <c r="D2693" s="68">
        <v>3.1</v>
      </c>
      <c r="E2693" s="68">
        <v>4.8</v>
      </c>
      <c r="F2693" s="68"/>
      <c r="G2693" s="67">
        <f t="shared" si="76"/>
        <v>59.52</v>
      </c>
      <c r="H2693" s="947" t="s">
        <v>1303</v>
      </c>
      <c r="I2693" s="1227"/>
    </row>
    <row r="2694" spans="1:9" s="78" customFormat="1" ht="18" customHeight="1">
      <c r="A2694" s="432"/>
      <c r="B2694" s="63" t="s">
        <v>1149</v>
      </c>
      <c r="C2694" s="76">
        <v>1</v>
      </c>
      <c r="D2694" s="77">
        <v>4.7</v>
      </c>
      <c r="E2694" s="68">
        <v>3.05</v>
      </c>
      <c r="F2694" s="68"/>
      <c r="G2694" s="67">
        <f t="shared" si="76"/>
        <v>14.34</v>
      </c>
      <c r="H2694" s="947" t="s">
        <v>1303</v>
      </c>
      <c r="I2694" s="1227"/>
    </row>
    <row r="2695" spans="1:9" ht="18" customHeight="1">
      <c r="A2695" s="128"/>
      <c r="B2695" s="356" t="s">
        <v>2069</v>
      </c>
      <c r="C2695" s="76">
        <v>1</v>
      </c>
      <c r="D2695" s="77">
        <v>4.8</v>
      </c>
      <c r="E2695" s="68">
        <v>8.0500000000000007</v>
      </c>
      <c r="F2695" s="68"/>
      <c r="G2695" s="67">
        <f t="shared" si="76"/>
        <v>38.64</v>
      </c>
      <c r="H2695" s="947" t="s">
        <v>1303</v>
      </c>
    </row>
    <row r="2696" spans="1:9" ht="18" customHeight="1">
      <c r="A2696" s="128"/>
      <c r="B2696" s="64" t="s">
        <v>1148</v>
      </c>
      <c r="C2696" s="70"/>
      <c r="D2696" s="68"/>
      <c r="E2696" s="68"/>
      <c r="F2696" s="68"/>
      <c r="G2696" s="67" t="str">
        <f t="shared" si="76"/>
        <v xml:space="preserve"> </v>
      </c>
      <c r="H2696" s="947" t="s">
        <v>1303</v>
      </c>
    </row>
    <row r="2697" spans="1:9" s="78" customFormat="1" ht="18" customHeight="1">
      <c r="A2697" s="432"/>
      <c r="B2697" s="63" t="s">
        <v>2033</v>
      </c>
      <c r="C2697" s="70">
        <v>2</v>
      </c>
      <c r="D2697" s="68">
        <v>3.1</v>
      </c>
      <c r="E2697" s="68">
        <v>4.8</v>
      </c>
      <c r="F2697" s="68"/>
      <c r="G2697" s="67">
        <f t="shared" si="76"/>
        <v>29.76</v>
      </c>
      <c r="H2697" s="947" t="s">
        <v>1303</v>
      </c>
      <c r="I2697" s="1227"/>
    </row>
    <row r="2698" spans="1:9" s="78" customFormat="1" ht="18" customHeight="1">
      <c r="A2698" s="432"/>
      <c r="B2698" s="63" t="s">
        <v>2070</v>
      </c>
      <c r="C2698" s="76">
        <v>1</v>
      </c>
      <c r="D2698" s="77">
        <v>3</v>
      </c>
      <c r="E2698" s="68">
        <v>4.7</v>
      </c>
      <c r="F2698" s="68"/>
      <c r="G2698" s="67">
        <f t="shared" si="76"/>
        <v>14.1</v>
      </c>
      <c r="H2698" s="947" t="s">
        <v>1303</v>
      </c>
      <c r="I2698" s="1227"/>
    </row>
    <row r="2699" spans="1:9" ht="18" customHeight="1">
      <c r="A2699" s="128"/>
      <c r="B2699" s="356" t="s">
        <v>1150</v>
      </c>
      <c r="C2699" s="76">
        <v>1</v>
      </c>
      <c r="D2699" s="77">
        <v>3.1</v>
      </c>
      <c r="E2699" s="68">
        <v>3.1</v>
      </c>
      <c r="F2699" s="68"/>
      <c r="G2699" s="67">
        <f t="shared" si="76"/>
        <v>9.61</v>
      </c>
      <c r="H2699" s="947" t="s">
        <v>1303</v>
      </c>
    </row>
    <row r="2700" spans="1:9" ht="18" customHeight="1">
      <c r="A2700" s="128"/>
      <c r="B2700" s="64" t="s">
        <v>1708</v>
      </c>
      <c r="C2700" s="70"/>
      <c r="D2700" s="68"/>
      <c r="E2700" s="68"/>
      <c r="F2700" s="68"/>
      <c r="G2700" s="67" t="str">
        <f t="shared" si="76"/>
        <v xml:space="preserve"> </v>
      </c>
      <c r="H2700" s="947" t="s">
        <v>1303</v>
      </c>
    </row>
    <row r="2701" spans="1:9" s="78" customFormat="1" ht="18" customHeight="1">
      <c r="A2701" s="432"/>
      <c r="B2701" s="63" t="s">
        <v>2033</v>
      </c>
      <c r="C2701" s="70">
        <v>3</v>
      </c>
      <c r="D2701" s="68">
        <v>3.1</v>
      </c>
      <c r="E2701" s="68">
        <v>4.8</v>
      </c>
      <c r="F2701" s="68"/>
      <c r="G2701" s="67">
        <f t="shared" si="76"/>
        <v>44.64</v>
      </c>
      <c r="H2701" s="947" t="s">
        <v>1303</v>
      </c>
      <c r="I2701" s="1227"/>
    </row>
    <row r="2702" spans="1:9" ht="18" customHeight="1">
      <c r="A2702" s="128"/>
      <c r="B2702" s="64" t="s">
        <v>1709</v>
      </c>
      <c r="C2702" s="70"/>
      <c r="D2702" s="68"/>
      <c r="E2702" s="68"/>
      <c r="F2702" s="68"/>
      <c r="G2702" s="67" t="str">
        <f t="shared" si="76"/>
        <v xml:space="preserve"> </v>
      </c>
      <c r="H2702" s="947" t="s">
        <v>1303</v>
      </c>
    </row>
    <row r="2703" spans="1:9" s="78" customFormat="1" ht="18" customHeight="1">
      <c r="A2703" s="432"/>
      <c r="B2703" s="63" t="s">
        <v>2033</v>
      </c>
      <c r="C2703" s="70">
        <v>2</v>
      </c>
      <c r="D2703" s="68">
        <v>3.1</v>
      </c>
      <c r="E2703" s="68">
        <v>4.8</v>
      </c>
      <c r="F2703" s="68"/>
      <c r="G2703" s="67">
        <f t="shared" si="76"/>
        <v>29.76</v>
      </c>
      <c r="H2703" s="947" t="s">
        <v>1303</v>
      </c>
      <c r="I2703" s="1227"/>
    </row>
    <row r="2704" spans="1:9" s="78" customFormat="1" ht="18" customHeight="1">
      <c r="A2704" s="432"/>
      <c r="B2704" s="63" t="s">
        <v>2070</v>
      </c>
      <c r="C2704" s="76">
        <v>1</v>
      </c>
      <c r="D2704" s="77">
        <v>3</v>
      </c>
      <c r="E2704" s="68">
        <v>4.7</v>
      </c>
      <c r="F2704" s="68"/>
      <c r="G2704" s="67">
        <f t="shared" si="76"/>
        <v>14.1</v>
      </c>
      <c r="H2704" s="947" t="s">
        <v>1303</v>
      </c>
      <c r="I2704" s="1227"/>
    </row>
    <row r="2705" spans="1:9" ht="18" customHeight="1">
      <c r="A2705" s="128"/>
      <c r="B2705" s="356" t="s">
        <v>1150</v>
      </c>
      <c r="C2705" s="76">
        <v>1</v>
      </c>
      <c r="D2705" s="77">
        <v>3.1</v>
      </c>
      <c r="E2705" s="68">
        <v>3.1</v>
      </c>
      <c r="F2705" s="68"/>
      <c r="G2705" s="67">
        <f t="shared" si="76"/>
        <v>9.61</v>
      </c>
      <c r="H2705" s="947" t="s">
        <v>1303</v>
      </c>
    </row>
    <row r="2706" spans="1:9" ht="18" customHeight="1">
      <c r="A2706" s="128"/>
      <c r="B2706" s="64" t="s">
        <v>1710</v>
      </c>
      <c r="C2706" s="70"/>
      <c r="D2706" s="68"/>
      <c r="E2706" s="68"/>
      <c r="F2706" s="68"/>
      <c r="G2706" s="67" t="str">
        <f t="shared" si="76"/>
        <v xml:space="preserve"> </v>
      </c>
      <c r="H2706" s="947" t="s">
        <v>1303</v>
      </c>
    </row>
    <row r="2707" spans="1:9" s="78" customFormat="1" ht="18" customHeight="1">
      <c r="A2707" s="432"/>
      <c r="B2707" s="63" t="s">
        <v>2033</v>
      </c>
      <c r="C2707" s="70">
        <v>3</v>
      </c>
      <c r="D2707" s="68">
        <v>3.1</v>
      </c>
      <c r="E2707" s="68">
        <v>4.8</v>
      </c>
      <c r="F2707" s="68"/>
      <c r="G2707" s="67">
        <f t="shared" si="76"/>
        <v>44.64</v>
      </c>
      <c r="H2707" s="947" t="s">
        <v>1303</v>
      </c>
      <c r="I2707" s="1227"/>
    </row>
    <row r="2708" spans="1:9" s="78" customFormat="1" ht="18" customHeight="1">
      <c r="A2708" s="432"/>
      <c r="B2708" s="63"/>
      <c r="C2708" s="70"/>
      <c r="D2708" s="68"/>
      <c r="E2708" s="68"/>
      <c r="F2708" s="68"/>
      <c r="G2708" s="67" t="str">
        <f t="shared" si="76"/>
        <v xml:space="preserve"> </v>
      </c>
      <c r="H2708" s="947" t="s">
        <v>1303</v>
      </c>
      <c r="I2708" s="1227"/>
    </row>
    <row r="2709" spans="1:9" s="78" customFormat="1" ht="18" customHeight="1">
      <c r="A2709" s="432"/>
      <c r="B2709" s="64" t="s">
        <v>2071</v>
      </c>
      <c r="C2709" s="70"/>
      <c r="D2709" s="68"/>
      <c r="E2709" s="68"/>
      <c r="F2709" s="68"/>
      <c r="G2709" s="67" t="str">
        <f t="shared" si="76"/>
        <v xml:space="preserve"> </v>
      </c>
      <c r="H2709" s="947" t="s">
        <v>1303</v>
      </c>
      <c r="I2709" s="1227"/>
    </row>
    <row r="2710" spans="1:9" s="78" customFormat="1" ht="18" customHeight="1">
      <c r="A2710" s="432"/>
      <c r="B2710" s="63" t="s">
        <v>2072</v>
      </c>
      <c r="C2710" s="70">
        <v>1</v>
      </c>
      <c r="D2710" s="68">
        <f>6.45+6.4+6.4+3.25</f>
        <v>22.5</v>
      </c>
      <c r="E2710" s="68">
        <v>1.8</v>
      </c>
      <c r="F2710" s="68"/>
      <c r="G2710" s="67">
        <f t="shared" si="76"/>
        <v>40.5</v>
      </c>
      <c r="H2710" s="947" t="s">
        <v>1303</v>
      </c>
      <c r="I2710" s="1227"/>
    </row>
    <row r="2711" spans="1:9" s="78" customFormat="1" ht="18" customHeight="1">
      <c r="A2711" s="432"/>
      <c r="B2711" s="63" t="s">
        <v>2073</v>
      </c>
      <c r="C2711" s="70">
        <v>1</v>
      </c>
      <c r="D2711" s="68">
        <v>5.2</v>
      </c>
      <c r="E2711" s="68">
        <v>3.8250000000000002</v>
      </c>
      <c r="F2711" s="68"/>
      <c r="G2711" s="67">
        <f t="shared" si="76"/>
        <v>19.89</v>
      </c>
      <c r="H2711" s="947" t="s">
        <v>1303</v>
      </c>
      <c r="I2711" s="1227"/>
    </row>
    <row r="2712" spans="1:9" s="78" customFormat="1" ht="18" customHeight="1">
      <c r="A2712" s="432"/>
      <c r="B2712" s="63" t="s">
        <v>2074</v>
      </c>
      <c r="C2712" s="70">
        <v>1</v>
      </c>
      <c r="D2712" s="68">
        <f>6.45+3.25</f>
        <v>9.6999999999999993</v>
      </c>
      <c r="E2712" s="68">
        <v>1.8</v>
      </c>
      <c r="F2712" s="68"/>
      <c r="G2712" s="67">
        <f t="shared" si="76"/>
        <v>17.46</v>
      </c>
      <c r="H2712" s="947" t="s">
        <v>1303</v>
      </c>
      <c r="I2712" s="1227"/>
    </row>
    <row r="2713" spans="1:9" s="78" customFormat="1" ht="18" customHeight="1">
      <c r="A2713" s="432"/>
      <c r="B2713" s="63" t="s">
        <v>2075</v>
      </c>
      <c r="C2713" s="70">
        <v>1</v>
      </c>
      <c r="D2713" s="68">
        <f>1.425+3.175+4.125+2.725</f>
        <v>11.45</v>
      </c>
      <c r="E2713" s="68">
        <v>12.5</v>
      </c>
      <c r="F2713" s="68"/>
      <c r="G2713" s="67">
        <f t="shared" si="76"/>
        <v>143.13</v>
      </c>
      <c r="H2713" s="947" t="s">
        <v>1303</v>
      </c>
      <c r="I2713" s="1227"/>
    </row>
    <row r="2714" spans="1:9" s="78" customFormat="1" ht="18" customHeight="1">
      <c r="A2714" s="432"/>
      <c r="B2714" s="63" t="s">
        <v>2076</v>
      </c>
      <c r="C2714" s="70">
        <v>1</v>
      </c>
      <c r="D2714" s="68">
        <f>3.25+6.45+3.2</f>
        <v>12.899999999999999</v>
      </c>
      <c r="E2714" s="68">
        <v>1.8</v>
      </c>
      <c r="F2714" s="68"/>
      <c r="G2714" s="67">
        <f t="shared" si="76"/>
        <v>23.22</v>
      </c>
      <c r="H2714" s="947" t="s">
        <v>1303</v>
      </c>
      <c r="I2714" s="1227"/>
    </row>
    <row r="2715" spans="1:9" s="78" customFormat="1" ht="18" customHeight="1">
      <c r="A2715" s="432"/>
      <c r="B2715" s="63" t="s">
        <v>2077</v>
      </c>
      <c r="C2715" s="70">
        <v>1</v>
      </c>
      <c r="D2715" s="68">
        <v>5.2</v>
      </c>
      <c r="E2715" s="68">
        <v>3.8250000000000002</v>
      </c>
      <c r="F2715" s="68"/>
      <c r="G2715" s="67">
        <f t="shared" si="76"/>
        <v>19.89</v>
      </c>
      <c r="H2715" s="947" t="s">
        <v>1303</v>
      </c>
      <c r="I2715" s="1227"/>
    </row>
    <row r="2716" spans="1:9" s="78" customFormat="1" ht="18" customHeight="1">
      <c r="A2716" s="432"/>
      <c r="B2716" s="63" t="s">
        <v>2078</v>
      </c>
      <c r="C2716" s="70">
        <v>1</v>
      </c>
      <c r="D2716" s="68">
        <f>6.45+6.4+6.4+3.25</f>
        <v>22.5</v>
      </c>
      <c r="E2716" s="68">
        <v>1.8</v>
      </c>
      <c r="F2716" s="68"/>
      <c r="G2716" s="67">
        <f t="shared" si="76"/>
        <v>40.5</v>
      </c>
      <c r="H2716" s="947" t="s">
        <v>1303</v>
      </c>
      <c r="I2716" s="1227"/>
    </row>
    <row r="2717" spans="1:9" s="78" customFormat="1" ht="18" customHeight="1">
      <c r="A2717" s="432"/>
      <c r="B2717" s="63" t="s">
        <v>2079</v>
      </c>
      <c r="C2717" s="70">
        <v>1</v>
      </c>
      <c r="D2717" s="68">
        <v>3.6749999999999998</v>
      </c>
      <c r="E2717" s="68">
        <v>2.2250000000000001</v>
      </c>
      <c r="F2717" s="68"/>
      <c r="G2717" s="67">
        <f t="shared" si="76"/>
        <v>8.18</v>
      </c>
      <c r="H2717" s="947" t="s">
        <v>1303</v>
      </c>
      <c r="I2717" s="1227"/>
    </row>
    <row r="2718" spans="1:9" s="78" customFormat="1" ht="18" customHeight="1">
      <c r="A2718" s="432"/>
      <c r="B2718" s="63" t="s">
        <v>2080</v>
      </c>
      <c r="C2718" s="70">
        <v>1</v>
      </c>
      <c r="D2718" s="68">
        <f>3.2+6.45+6.45+6.3+6.45+6.45+3.2</f>
        <v>38.500000000000007</v>
      </c>
      <c r="E2718" s="68">
        <v>1.8</v>
      </c>
      <c r="F2718" s="68"/>
      <c r="G2718" s="67">
        <f t="shared" si="76"/>
        <v>69.3</v>
      </c>
      <c r="H2718" s="947" t="s">
        <v>1303</v>
      </c>
      <c r="I2718" s="1227"/>
    </row>
    <row r="2719" spans="1:9" s="78" customFormat="1" ht="18" customHeight="1">
      <c r="A2719" s="432"/>
      <c r="B2719" s="63" t="s">
        <v>2081</v>
      </c>
      <c r="C2719" s="70">
        <v>1</v>
      </c>
      <c r="D2719" s="68">
        <f>2.25+1.575</f>
        <v>3.8250000000000002</v>
      </c>
      <c r="E2719" s="68">
        <v>2.2250000000000001</v>
      </c>
      <c r="F2719" s="68"/>
      <c r="G2719" s="67">
        <f t="shared" si="76"/>
        <v>8.51</v>
      </c>
      <c r="H2719" s="947" t="s">
        <v>1303</v>
      </c>
      <c r="I2719" s="1227"/>
    </row>
    <row r="2720" spans="1:9" s="78" customFormat="1" ht="18" customHeight="1">
      <c r="A2720" s="432"/>
      <c r="B2720" s="63" t="s">
        <v>2082</v>
      </c>
      <c r="C2720" s="70">
        <v>1</v>
      </c>
      <c r="D2720" s="68">
        <v>1.5249999999999999</v>
      </c>
      <c r="E2720" s="68">
        <v>2.25</v>
      </c>
      <c r="F2720" s="68"/>
      <c r="G2720" s="67">
        <f t="shared" si="76"/>
        <v>3.43</v>
      </c>
      <c r="H2720" s="947" t="s">
        <v>1303</v>
      </c>
      <c r="I2720" s="1227"/>
    </row>
    <row r="2721" spans="1:9" s="78" customFormat="1" ht="18" customHeight="1">
      <c r="A2721" s="432"/>
      <c r="B2721" s="63" t="s">
        <v>2155</v>
      </c>
      <c r="C2721" s="70">
        <v>1</v>
      </c>
      <c r="D2721" s="68">
        <v>6.1</v>
      </c>
      <c r="E2721" s="68">
        <f>2.025+4.6</f>
        <v>6.625</v>
      </c>
      <c r="F2721" s="68"/>
      <c r="G2721" s="67">
        <f t="shared" si="76"/>
        <v>40.409999999999997</v>
      </c>
      <c r="H2721" s="947" t="s">
        <v>1303</v>
      </c>
      <c r="I2721" s="1227"/>
    </row>
    <row r="2722" spans="1:9" s="78" customFormat="1" ht="18" customHeight="1">
      <c r="A2722" s="432"/>
      <c r="B2722" s="63"/>
      <c r="C2722" s="70"/>
      <c r="D2722" s="68"/>
      <c r="E2722" s="68"/>
      <c r="F2722" s="68"/>
      <c r="G2722" s="67" t="str">
        <f t="shared" si="76"/>
        <v xml:space="preserve"> </v>
      </c>
      <c r="H2722" s="947" t="s">
        <v>1303</v>
      </c>
      <c r="I2722" s="1227"/>
    </row>
    <row r="2723" spans="1:9" ht="18" customHeight="1">
      <c r="A2723" s="354"/>
      <c r="B2723" s="80" t="s">
        <v>1711</v>
      </c>
      <c r="C2723" s="70"/>
      <c r="D2723" s="68"/>
      <c r="E2723" s="68"/>
      <c r="F2723" s="68"/>
      <c r="G2723" s="67" t="str">
        <f t="shared" si="76"/>
        <v xml:space="preserve"> </v>
      </c>
      <c r="H2723" s="947" t="s">
        <v>1303</v>
      </c>
    </row>
    <row r="2724" spans="1:9" ht="18" customHeight="1">
      <c r="A2724" s="128"/>
      <c r="B2724" s="64" t="s">
        <v>1692</v>
      </c>
      <c r="C2724" s="70"/>
      <c r="D2724" s="68"/>
      <c r="E2724" s="68"/>
      <c r="F2724" s="68"/>
      <c r="G2724" s="67" t="str">
        <f t="shared" si="76"/>
        <v xml:space="preserve"> </v>
      </c>
      <c r="H2724" s="947" t="s">
        <v>1303</v>
      </c>
    </row>
    <row r="2725" spans="1:9" s="78" customFormat="1" ht="18" customHeight="1">
      <c r="A2725" s="432"/>
      <c r="B2725" s="63" t="s">
        <v>2033</v>
      </c>
      <c r="C2725" s="70">
        <v>5</v>
      </c>
      <c r="D2725" s="68">
        <v>3.1</v>
      </c>
      <c r="E2725" s="68">
        <v>4.8</v>
      </c>
      <c r="F2725" s="68"/>
      <c r="G2725" s="67">
        <f t="shared" si="76"/>
        <v>74.400000000000006</v>
      </c>
      <c r="H2725" s="947" t="s">
        <v>1303</v>
      </c>
      <c r="I2725" s="1227"/>
    </row>
    <row r="2726" spans="1:9" ht="18" customHeight="1">
      <c r="A2726" s="128"/>
      <c r="B2726" s="64" t="s">
        <v>1697</v>
      </c>
      <c r="C2726" s="70"/>
      <c r="D2726" s="68"/>
      <c r="E2726" s="68"/>
      <c r="F2726" s="68"/>
      <c r="G2726" s="67" t="str">
        <f t="shared" si="76"/>
        <v xml:space="preserve"> </v>
      </c>
      <c r="H2726" s="947" t="s">
        <v>1303</v>
      </c>
    </row>
    <row r="2727" spans="1:9" s="78" customFormat="1" ht="18" customHeight="1">
      <c r="A2727" s="432"/>
      <c r="B2727" s="63" t="s">
        <v>2033</v>
      </c>
      <c r="C2727" s="70">
        <v>5</v>
      </c>
      <c r="D2727" s="68">
        <v>3.1</v>
      </c>
      <c r="E2727" s="68">
        <v>4.8</v>
      </c>
      <c r="F2727" s="68"/>
      <c r="G2727" s="67">
        <f t="shared" si="76"/>
        <v>74.400000000000006</v>
      </c>
      <c r="H2727" s="947" t="s">
        <v>1303</v>
      </c>
      <c r="I2727" s="1227"/>
    </row>
    <row r="2728" spans="1:9" ht="18" customHeight="1">
      <c r="A2728" s="128"/>
      <c r="B2728" s="64" t="s">
        <v>1146</v>
      </c>
      <c r="C2728" s="70"/>
      <c r="D2728" s="68"/>
      <c r="E2728" s="68"/>
      <c r="F2728" s="68"/>
      <c r="G2728" s="67" t="str">
        <f t="shared" si="76"/>
        <v xml:space="preserve"> </v>
      </c>
      <c r="H2728" s="947" t="s">
        <v>1303</v>
      </c>
    </row>
    <row r="2729" spans="1:9" s="78" customFormat="1" ht="18" customHeight="1">
      <c r="A2729" s="432"/>
      <c r="B2729" s="63" t="s">
        <v>2033</v>
      </c>
      <c r="C2729" s="70">
        <v>4</v>
      </c>
      <c r="D2729" s="68">
        <v>3.1</v>
      </c>
      <c r="E2729" s="68">
        <v>4.8</v>
      </c>
      <c r="F2729" s="68"/>
      <c r="G2729" s="67">
        <f t="shared" si="76"/>
        <v>59.52</v>
      </c>
      <c r="H2729" s="947" t="s">
        <v>1303</v>
      </c>
      <c r="I2729" s="1227"/>
    </row>
    <row r="2730" spans="1:9" ht="18" customHeight="1">
      <c r="A2730" s="128"/>
      <c r="B2730" s="64" t="s">
        <v>2083</v>
      </c>
      <c r="C2730" s="70"/>
      <c r="D2730" s="68"/>
      <c r="E2730" s="68"/>
      <c r="F2730" s="68"/>
      <c r="G2730" s="67" t="str">
        <f t="shared" si="76"/>
        <v xml:space="preserve"> </v>
      </c>
      <c r="H2730" s="947" t="s">
        <v>1303</v>
      </c>
    </row>
    <row r="2731" spans="1:9" ht="18" customHeight="1">
      <c r="A2731" s="128"/>
      <c r="B2731" s="356" t="s">
        <v>2066</v>
      </c>
      <c r="C2731" s="76">
        <v>1</v>
      </c>
      <c r="D2731" s="77">
        <v>3</v>
      </c>
      <c r="E2731" s="68">
        <v>3.7</v>
      </c>
      <c r="F2731" s="68"/>
      <c r="G2731" s="67">
        <f t="shared" si="76"/>
        <v>11.1</v>
      </c>
      <c r="H2731" s="947" t="s">
        <v>1303</v>
      </c>
    </row>
    <row r="2732" spans="1:9" s="78" customFormat="1" ht="18" customHeight="1">
      <c r="A2732" s="432"/>
      <c r="B2732" s="356" t="s">
        <v>1520</v>
      </c>
      <c r="C2732" s="76">
        <v>-2</v>
      </c>
      <c r="D2732" s="77">
        <v>1.4</v>
      </c>
      <c r="E2732" s="68">
        <v>1</v>
      </c>
      <c r="F2732" s="68"/>
      <c r="G2732" s="67">
        <f t="shared" si="76"/>
        <v>-2.8</v>
      </c>
      <c r="H2732" s="947" t="s">
        <v>1303</v>
      </c>
      <c r="I2732" s="1227"/>
    </row>
    <row r="2733" spans="1:9" s="78" customFormat="1" ht="18" customHeight="1">
      <c r="A2733" s="432"/>
      <c r="B2733" s="356" t="s">
        <v>2033</v>
      </c>
      <c r="C2733" s="76">
        <v>3</v>
      </c>
      <c r="D2733" s="77">
        <v>4.3499999999999996</v>
      </c>
      <c r="E2733" s="68">
        <v>4.8</v>
      </c>
      <c r="F2733" s="68"/>
      <c r="G2733" s="67">
        <f t="shared" si="76"/>
        <v>62.64</v>
      </c>
      <c r="H2733" s="947" t="s">
        <v>1303</v>
      </c>
      <c r="I2733" s="1227"/>
    </row>
    <row r="2734" spans="1:9" ht="18" customHeight="1">
      <c r="A2734" s="128"/>
      <c r="B2734" s="64" t="s">
        <v>1701</v>
      </c>
      <c r="C2734" s="70"/>
      <c r="D2734" s="68"/>
      <c r="E2734" s="68"/>
      <c r="F2734" s="68"/>
      <c r="G2734" s="67" t="str">
        <f t="shared" si="76"/>
        <v xml:space="preserve"> </v>
      </c>
      <c r="H2734" s="947" t="s">
        <v>1303</v>
      </c>
    </row>
    <row r="2735" spans="1:9" s="78" customFormat="1" ht="18" customHeight="1">
      <c r="A2735" s="432"/>
      <c r="B2735" s="63" t="s">
        <v>2033</v>
      </c>
      <c r="C2735" s="70">
        <v>7</v>
      </c>
      <c r="D2735" s="68">
        <v>3.1</v>
      </c>
      <c r="E2735" s="68">
        <v>4.8</v>
      </c>
      <c r="F2735" s="68"/>
      <c r="G2735" s="67">
        <f t="shared" ref="G2735:G2798" si="77">IF(C2735&lt;&gt;0,ROUND(PRODUCT(D2735:F2735)*C2735,2)," ")</f>
        <v>104.16</v>
      </c>
      <c r="H2735" s="947" t="s">
        <v>1303</v>
      </c>
      <c r="I2735" s="1227"/>
    </row>
    <row r="2736" spans="1:9" ht="18" customHeight="1">
      <c r="A2736" s="128"/>
      <c r="B2736" s="64" t="s">
        <v>1704</v>
      </c>
      <c r="C2736" s="70"/>
      <c r="D2736" s="68"/>
      <c r="E2736" s="68"/>
      <c r="F2736" s="68"/>
      <c r="G2736" s="67" t="str">
        <f t="shared" si="77"/>
        <v xml:space="preserve"> </v>
      </c>
      <c r="H2736" s="947" t="s">
        <v>1303</v>
      </c>
    </row>
    <row r="2737" spans="1:9" s="78" customFormat="1" ht="18" customHeight="1">
      <c r="A2737" s="432"/>
      <c r="B2737" s="63" t="s">
        <v>2033</v>
      </c>
      <c r="C2737" s="70">
        <v>4</v>
      </c>
      <c r="D2737" s="68">
        <v>3.1</v>
      </c>
      <c r="E2737" s="68">
        <v>4.8</v>
      </c>
      <c r="F2737" s="68"/>
      <c r="G2737" s="67">
        <f t="shared" si="77"/>
        <v>59.52</v>
      </c>
      <c r="H2737" s="947" t="s">
        <v>1303</v>
      </c>
      <c r="I2737" s="1227"/>
    </row>
    <row r="2738" spans="1:9" s="78" customFormat="1" ht="18" customHeight="1">
      <c r="A2738" s="432"/>
      <c r="B2738" s="63" t="s">
        <v>1149</v>
      </c>
      <c r="C2738" s="76">
        <v>1</v>
      </c>
      <c r="D2738" s="77">
        <v>4.7</v>
      </c>
      <c r="E2738" s="68">
        <v>3.05</v>
      </c>
      <c r="F2738" s="68"/>
      <c r="G2738" s="67">
        <f t="shared" si="77"/>
        <v>14.34</v>
      </c>
      <c r="H2738" s="947" t="s">
        <v>1303</v>
      </c>
      <c r="I2738" s="1227"/>
    </row>
    <row r="2739" spans="1:9" ht="18" customHeight="1">
      <c r="A2739" s="128"/>
      <c r="B2739" s="356" t="s">
        <v>2084</v>
      </c>
      <c r="C2739" s="76">
        <v>1</v>
      </c>
      <c r="D2739" s="77">
        <v>4.8</v>
      </c>
      <c r="E2739" s="68">
        <v>8.0500000000000007</v>
      </c>
      <c r="F2739" s="68"/>
      <c r="G2739" s="67">
        <f t="shared" si="77"/>
        <v>38.64</v>
      </c>
      <c r="H2739" s="947" t="s">
        <v>1303</v>
      </c>
    </row>
    <row r="2740" spans="1:9" ht="18" customHeight="1">
      <c r="A2740" s="128"/>
      <c r="B2740" s="64" t="s">
        <v>1706</v>
      </c>
      <c r="C2740" s="70"/>
      <c r="D2740" s="68"/>
      <c r="E2740" s="68"/>
      <c r="F2740" s="68"/>
      <c r="G2740" s="67" t="str">
        <f t="shared" si="77"/>
        <v xml:space="preserve"> </v>
      </c>
      <c r="H2740" s="947" t="s">
        <v>1303</v>
      </c>
    </row>
    <row r="2741" spans="1:9" s="78" customFormat="1" ht="18" customHeight="1">
      <c r="A2741" s="432"/>
      <c r="B2741" s="63" t="s">
        <v>2033</v>
      </c>
      <c r="C2741" s="70">
        <v>7</v>
      </c>
      <c r="D2741" s="68">
        <v>3.1</v>
      </c>
      <c r="E2741" s="68">
        <v>4.8</v>
      </c>
      <c r="F2741" s="68"/>
      <c r="G2741" s="67">
        <f t="shared" si="77"/>
        <v>104.16</v>
      </c>
      <c r="H2741" s="947" t="s">
        <v>1303</v>
      </c>
      <c r="I2741" s="1227"/>
    </row>
    <row r="2742" spans="1:9" ht="18" customHeight="1">
      <c r="A2742" s="128"/>
      <c r="B2742" s="64" t="s">
        <v>1707</v>
      </c>
      <c r="C2742" s="70"/>
      <c r="D2742" s="68"/>
      <c r="E2742" s="68"/>
      <c r="F2742" s="68"/>
      <c r="G2742" s="67" t="str">
        <f t="shared" si="77"/>
        <v xml:space="preserve"> </v>
      </c>
      <c r="H2742" s="947" t="s">
        <v>1303</v>
      </c>
    </row>
    <row r="2743" spans="1:9" s="78" customFormat="1" ht="18" customHeight="1">
      <c r="A2743" s="432"/>
      <c r="B2743" s="63" t="s">
        <v>2033</v>
      </c>
      <c r="C2743" s="70">
        <v>4</v>
      </c>
      <c r="D2743" s="68">
        <v>3.1</v>
      </c>
      <c r="E2743" s="68">
        <v>4.8</v>
      </c>
      <c r="F2743" s="68"/>
      <c r="G2743" s="67">
        <f t="shared" si="77"/>
        <v>59.52</v>
      </c>
      <c r="H2743" s="947" t="s">
        <v>1303</v>
      </c>
      <c r="I2743" s="1227"/>
    </row>
    <row r="2744" spans="1:9" s="78" customFormat="1" ht="18" customHeight="1">
      <c r="A2744" s="432"/>
      <c r="B2744" s="63" t="s">
        <v>1149</v>
      </c>
      <c r="C2744" s="76">
        <v>1</v>
      </c>
      <c r="D2744" s="77">
        <v>4.7</v>
      </c>
      <c r="E2744" s="68">
        <v>3.05</v>
      </c>
      <c r="F2744" s="68"/>
      <c r="G2744" s="67">
        <f t="shared" si="77"/>
        <v>14.34</v>
      </c>
      <c r="H2744" s="947" t="s">
        <v>1303</v>
      </c>
      <c r="I2744" s="1227"/>
    </row>
    <row r="2745" spans="1:9" ht="18" customHeight="1">
      <c r="A2745" s="128"/>
      <c r="B2745" s="356" t="s">
        <v>2085</v>
      </c>
      <c r="C2745" s="76">
        <v>1</v>
      </c>
      <c r="D2745" s="77">
        <v>4.8</v>
      </c>
      <c r="E2745" s="68">
        <v>8.0500000000000007</v>
      </c>
      <c r="F2745" s="68"/>
      <c r="G2745" s="67">
        <f t="shared" si="77"/>
        <v>38.64</v>
      </c>
      <c r="H2745" s="947" t="s">
        <v>1303</v>
      </c>
    </row>
    <row r="2746" spans="1:9" ht="18" customHeight="1">
      <c r="A2746" s="128"/>
      <c r="B2746" s="64" t="s">
        <v>1714</v>
      </c>
      <c r="C2746" s="70"/>
      <c r="D2746" s="68"/>
      <c r="E2746" s="68"/>
      <c r="F2746" s="68"/>
      <c r="G2746" s="67" t="str">
        <f t="shared" si="77"/>
        <v xml:space="preserve"> </v>
      </c>
      <c r="H2746" s="947" t="s">
        <v>1303</v>
      </c>
    </row>
    <row r="2747" spans="1:9" s="78" customFormat="1" ht="18" customHeight="1">
      <c r="A2747" s="432"/>
      <c r="B2747" s="63" t="s">
        <v>2033</v>
      </c>
      <c r="C2747" s="70">
        <v>3</v>
      </c>
      <c r="D2747" s="68">
        <v>3.1</v>
      </c>
      <c r="E2747" s="68">
        <v>4.8</v>
      </c>
      <c r="F2747" s="68"/>
      <c r="G2747" s="67">
        <f t="shared" si="77"/>
        <v>44.64</v>
      </c>
      <c r="H2747" s="947" t="s">
        <v>1303</v>
      </c>
      <c r="I2747" s="1227"/>
    </row>
    <row r="2748" spans="1:9" ht="18" customHeight="1">
      <c r="A2748" s="128"/>
      <c r="B2748" s="356" t="s">
        <v>1150</v>
      </c>
      <c r="C2748" s="76">
        <v>1</v>
      </c>
      <c r="D2748" s="77">
        <v>3.1</v>
      </c>
      <c r="E2748" s="68">
        <v>3.1</v>
      </c>
      <c r="F2748" s="68"/>
      <c r="G2748" s="67">
        <f t="shared" si="77"/>
        <v>9.61</v>
      </c>
      <c r="H2748" s="947" t="s">
        <v>1303</v>
      </c>
    </row>
    <row r="2749" spans="1:9" ht="18" customHeight="1">
      <c r="A2749" s="128"/>
      <c r="B2749" s="64" t="s">
        <v>1715</v>
      </c>
      <c r="C2749" s="70"/>
      <c r="D2749" s="68"/>
      <c r="E2749" s="68"/>
      <c r="F2749" s="68"/>
      <c r="G2749" s="67" t="str">
        <f t="shared" si="77"/>
        <v xml:space="preserve"> </v>
      </c>
      <c r="H2749" s="947" t="s">
        <v>1303</v>
      </c>
    </row>
    <row r="2750" spans="1:9" s="78" customFormat="1" ht="18" customHeight="1">
      <c r="A2750" s="432"/>
      <c r="B2750" s="63" t="s">
        <v>2033</v>
      </c>
      <c r="C2750" s="70">
        <v>4</v>
      </c>
      <c r="D2750" s="68">
        <v>3.1</v>
      </c>
      <c r="E2750" s="68">
        <v>4.8</v>
      </c>
      <c r="F2750" s="68"/>
      <c r="G2750" s="67">
        <f t="shared" si="77"/>
        <v>59.52</v>
      </c>
      <c r="H2750" s="947" t="s">
        <v>1303</v>
      </c>
      <c r="I2750" s="1227"/>
    </row>
    <row r="2751" spans="1:9" ht="18" customHeight="1">
      <c r="A2751" s="128"/>
      <c r="B2751" s="64" t="s">
        <v>1716</v>
      </c>
      <c r="C2751" s="70"/>
      <c r="D2751" s="68"/>
      <c r="E2751" s="68"/>
      <c r="F2751" s="68"/>
      <c r="G2751" s="67" t="str">
        <f t="shared" si="77"/>
        <v xml:space="preserve"> </v>
      </c>
      <c r="H2751" s="947" t="s">
        <v>1303</v>
      </c>
    </row>
    <row r="2752" spans="1:9" s="78" customFormat="1" ht="18" customHeight="1">
      <c r="A2752" s="432"/>
      <c r="B2752" s="63" t="s">
        <v>2033</v>
      </c>
      <c r="C2752" s="70">
        <v>3</v>
      </c>
      <c r="D2752" s="68">
        <v>3.1</v>
      </c>
      <c r="E2752" s="68">
        <v>4.8</v>
      </c>
      <c r="F2752" s="68"/>
      <c r="G2752" s="67">
        <f t="shared" si="77"/>
        <v>44.64</v>
      </c>
      <c r="H2752" s="947" t="s">
        <v>1303</v>
      </c>
      <c r="I2752" s="1227"/>
    </row>
    <row r="2753" spans="1:9" ht="18" customHeight="1">
      <c r="A2753" s="128"/>
      <c r="B2753" s="356" t="s">
        <v>1150</v>
      </c>
      <c r="C2753" s="76">
        <v>1</v>
      </c>
      <c r="D2753" s="77">
        <v>3.1</v>
      </c>
      <c r="E2753" s="68">
        <v>3.1</v>
      </c>
      <c r="F2753" s="68"/>
      <c r="G2753" s="67">
        <f t="shared" si="77"/>
        <v>9.61</v>
      </c>
      <c r="H2753" s="947" t="s">
        <v>1303</v>
      </c>
    </row>
    <row r="2754" spans="1:9" ht="18" customHeight="1">
      <c r="A2754" s="128"/>
      <c r="B2754" s="64" t="s">
        <v>1717</v>
      </c>
      <c r="C2754" s="70"/>
      <c r="D2754" s="68"/>
      <c r="E2754" s="68"/>
      <c r="F2754" s="68"/>
      <c r="G2754" s="67" t="str">
        <f t="shared" si="77"/>
        <v xml:space="preserve"> </v>
      </c>
      <c r="H2754" s="947" t="s">
        <v>1303</v>
      </c>
    </row>
    <row r="2755" spans="1:9" s="78" customFormat="1" ht="18" customHeight="1">
      <c r="A2755" s="432"/>
      <c r="B2755" s="63" t="s">
        <v>2033</v>
      </c>
      <c r="C2755" s="70">
        <v>4</v>
      </c>
      <c r="D2755" s="68">
        <v>3.1</v>
      </c>
      <c r="E2755" s="68">
        <v>4.8</v>
      </c>
      <c r="F2755" s="68"/>
      <c r="G2755" s="67">
        <f t="shared" si="77"/>
        <v>59.52</v>
      </c>
      <c r="H2755" s="947" t="s">
        <v>1303</v>
      </c>
      <c r="I2755" s="1227"/>
    </row>
    <row r="2756" spans="1:9" s="78" customFormat="1" ht="18" customHeight="1">
      <c r="A2756" s="432"/>
      <c r="B2756" s="64" t="s">
        <v>2071</v>
      </c>
      <c r="C2756" s="70"/>
      <c r="D2756" s="68"/>
      <c r="E2756" s="68"/>
      <c r="F2756" s="68"/>
      <c r="G2756" s="67" t="str">
        <f t="shared" si="77"/>
        <v xml:space="preserve"> </v>
      </c>
      <c r="H2756" s="947" t="s">
        <v>1303</v>
      </c>
      <c r="I2756" s="1227"/>
    </row>
    <row r="2757" spans="1:9" s="78" customFormat="1" ht="18" customHeight="1">
      <c r="A2757" s="432"/>
      <c r="B2757" s="63" t="s">
        <v>2072</v>
      </c>
      <c r="C2757" s="70">
        <v>1</v>
      </c>
      <c r="D2757" s="68">
        <f>6.45+6.4+6.4+3.25</f>
        <v>22.5</v>
      </c>
      <c r="E2757" s="68">
        <v>1.8</v>
      </c>
      <c r="F2757" s="68"/>
      <c r="G2757" s="67">
        <f t="shared" si="77"/>
        <v>40.5</v>
      </c>
      <c r="H2757" s="947" t="s">
        <v>1303</v>
      </c>
      <c r="I2757" s="1227"/>
    </row>
    <row r="2758" spans="1:9" s="78" customFormat="1" ht="18" customHeight="1">
      <c r="A2758" s="432"/>
      <c r="B2758" s="63" t="s">
        <v>2073</v>
      </c>
      <c r="C2758" s="70">
        <v>1</v>
      </c>
      <c r="D2758" s="68">
        <v>5.2</v>
      </c>
      <c r="E2758" s="68">
        <v>3.8250000000000002</v>
      </c>
      <c r="F2758" s="68"/>
      <c r="G2758" s="67">
        <f t="shared" si="77"/>
        <v>19.89</v>
      </c>
      <c r="H2758" s="947" t="s">
        <v>1303</v>
      </c>
      <c r="I2758" s="1227"/>
    </row>
    <row r="2759" spans="1:9" s="78" customFormat="1" ht="18" customHeight="1">
      <c r="A2759" s="432"/>
      <c r="B2759" s="63" t="s">
        <v>2074</v>
      </c>
      <c r="C2759" s="70">
        <v>1</v>
      </c>
      <c r="D2759" s="68">
        <f>6.45+3.25</f>
        <v>9.6999999999999993</v>
      </c>
      <c r="E2759" s="68">
        <v>1.8</v>
      </c>
      <c r="F2759" s="68"/>
      <c r="G2759" s="67">
        <f t="shared" si="77"/>
        <v>17.46</v>
      </c>
      <c r="H2759" s="947" t="s">
        <v>1303</v>
      </c>
      <c r="I2759" s="1227"/>
    </row>
    <row r="2760" spans="1:9" s="78" customFormat="1" ht="18" customHeight="1">
      <c r="A2760" s="432"/>
      <c r="B2760" s="63" t="s">
        <v>2086</v>
      </c>
      <c r="C2760" s="70">
        <v>1</v>
      </c>
      <c r="D2760" s="68">
        <f>1.425+3.175+4.125+2.725</f>
        <v>11.45</v>
      </c>
      <c r="E2760" s="68">
        <v>12.5</v>
      </c>
      <c r="F2760" s="68"/>
      <c r="G2760" s="67">
        <f t="shared" si="77"/>
        <v>143.13</v>
      </c>
      <c r="H2760" s="947" t="s">
        <v>1303</v>
      </c>
      <c r="I2760" s="1227"/>
    </row>
    <row r="2761" spans="1:9" s="78" customFormat="1" ht="18" customHeight="1">
      <c r="A2761" s="432"/>
      <c r="B2761" s="63" t="s">
        <v>2076</v>
      </c>
      <c r="C2761" s="70">
        <v>1</v>
      </c>
      <c r="D2761" s="68">
        <f>3.25+6.45+3.2</f>
        <v>12.899999999999999</v>
      </c>
      <c r="E2761" s="68">
        <v>1.8</v>
      </c>
      <c r="F2761" s="68"/>
      <c r="G2761" s="67">
        <f t="shared" si="77"/>
        <v>23.22</v>
      </c>
      <c r="H2761" s="947" t="s">
        <v>1303</v>
      </c>
      <c r="I2761" s="1227"/>
    </row>
    <row r="2762" spans="1:9" s="78" customFormat="1" ht="18" customHeight="1">
      <c r="A2762" s="432"/>
      <c r="B2762" s="63" t="s">
        <v>2077</v>
      </c>
      <c r="C2762" s="70">
        <v>1</v>
      </c>
      <c r="D2762" s="68">
        <v>5.2</v>
      </c>
      <c r="E2762" s="68">
        <v>3.8250000000000002</v>
      </c>
      <c r="F2762" s="68"/>
      <c r="G2762" s="67">
        <f t="shared" si="77"/>
        <v>19.89</v>
      </c>
      <c r="H2762" s="947" t="s">
        <v>1303</v>
      </c>
      <c r="I2762" s="1227"/>
    </row>
    <row r="2763" spans="1:9" s="78" customFormat="1" ht="18" customHeight="1">
      <c r="A2763" s="432"/>
      <c r="B2763" s="63" t="s">
        <v>2078</v>
      </c>
      <c r="C2763" s="70">
        <v>1</v>
      </c>
      <c r="D2763" s="68">
        <f>6.45+6.4+6.4+3.25</f>
        <v>22.5</v>
      </c>
      <c r="E2763" s="68">
        <v>1.8</v>
      </c>
      <c r="F2763" s="68"/>
      <c r="G2763" s="67">
        <f t="shared" si="77"/>
        <v>40.5</v>
      </c>
      <c r="H2763" s="947" t="s">
        <v>1303</v>
      </c>
      <c r="I2763" s="1227"/>
    </row>
    <row r="2764" spans="1:9" s="78" customFormat="1" ht="18" customHeight="1">
      <c r="A2764" s="432"/>
      <c r="B2764" s="63" t="s">
        <v>2079</v>
      </c>
      <c r="C2764" s="70">
        <v>1</v>
      </c>
      <c r="D2764" s="68">
        <v>3.6749999999999998</v>
      </c>
      <c r="E2764" s="68">
        <v>2.2250000000000001</v>
      </c>
      <c r="F2764" s="68"/>
      <c r="G2764" s="67">
        <f t="shared" si="77"/>
        <v>8.18</v>
      </c>
      <c r="H2764" s="947" t="s">
        <v>1303</v>
      </c>
      <c r="I2764" s="1227"/>
    </row>
    <row r="2765" spans="1:9" s="78" customFormat="1" ht="18" customHeight="1">
      <c r="A2765" s="432"/>
      <c r="B2765" s="63" t="s">
        <v>2080</v>
      </c>
      <c r="C2765" s="70">
        <v>1</v>
      </c>
      <c r="D2765" s="68">
        <f>3.2+6.45+6.45+6.3+6.45+6.45+3.2</f>
        <v>38.500000000000007</v>
      </c>
      <c r="E2765" s="68">
        <v>1.8</v>
      </c>
      <c r="F2765" s="68"/>
      <c r="G2765" s="67">
        <f t="shared" si="77"/>
        <v>69.3</v>
      </c>
      <c r="H2765" s="947" t="s">
        <v>1303</v>
      </c>
      <c r="I2765" s="1227"/>
    </row>
    <row r="2766" spans="1:9" s="78" customFormat="1" ht="18" customHeight="1">
      <c r="A2766" s="432"/>
      <c r="B2766" s="63" t="s">
        <v>2081</v>
      </c>
      <c r="C2766" s="70">
        <v>1</v>
      </c>
      <c r="D2766" s="68">
        <f>2.25+1.575</f>
        <v>3.8250000000000002</v>
      </c>
      <c r="E2766" s="68">
        <v>2.2250000000000001</v>
      </c>
      <c r="F2766" s="68"/>
      <c r="G2766" s="67">
        <f t="shared" si="77"/>
        <v>8.51</v>
      </c>
      <c r="H2766" s="947" t="s">
        <v>1303</v>
      </c>
      <c r="I2766" s="1227"/>
    </row>
    <row r="2767" spans="1:9" s="78" customFormat="1" ht="18" customHeight="1">
      <c r="A2767" s="432"/>
      <c r="B2767" s="63" t="s">
        <v>2082</v>
      </c>
      <c r="C2767" s="70">
        <v>1</v>
      </c>
      <c r="D2767" s="68">
        <v>1.5249999999999999</v>
      </c>
      <c r="E2767" s="68">
        <v>2.25</v>
      </c>
      <c r="F2767" s="68"/>
      <c r="G2767" s="67">
        <f t="shared" si="77"/>
        <v>3.43</v>
      </c>
      <c r="H2767" s="947" t="s">
        <v>1303</v>
      </c>
      <c r="I2767" s="1227"/>
    </row>
    <row r="2768" spans="1:9" ht="18" customHeight="1">
      <c r="A2768" s="354"/>
      <c r="B2768" s="80" t="s">
        <v>1718</v>
      </c>
      <c r="C2768" s="70"/>
      <c r="D2768" s="68"/>
      <c r="E2768" s="68"/>
      <c r="F2768" s="68"/>
      <c r="G2768" s="67" t="str">
        <f t="shared" si="77"/>
        <v xml:space="preserve"> </v>
      </c>
      <c r="H2768" s="947" t="s">
        <v>1303</v>
      </c>
    </row>
    <row r="2769" spans="1:9" ht="18" customHeight="1">
      <c r="A2769" s="128"/>
      <c r="B2769" s="64" t="s">
        <v>1692</v>
      </c>
      <c r="C2769" s="70"/>
      <c r="D2769" s="68"/>
      <c r="E2769" s="68"/>
      <c r="F2769" s="68"/>
      <c r="G2769" s="67" t="str">
        <f t="shared" si="77"/>
        <v xml:space="preserve"> </v>
      </c>
      <c r="H2769" s="947" t="s">
        <v>1303</v>
      </c>
    </row>
    <row r="2770" spans="1:9" s="78" customFormat="1" ht="18" customHeight="1">
      <c r="A2770" s="432"/>
      <c r="B2770" s="63" t="s">
        <v>2033</v>
      </c>
      <c r="C2770" s="70">
        <v>5</v>
      </c>
      <c r="D2770" s="68">
        <v>3.1</v>
      </c>
      <c r="E2770" s="68">
        <v>4.8</v>
      </c>
      <c r="F2770" s="68"/>
      <c r="G2770" s="67">
        <f t="shared" si="77"/>
        <v>74.400000000000006</v>
      </c>
      <c r="H2770" s="947" t="s">
        <v>1303</v>
      </c>
      <c r="I2770" s="1227"/>
    </row>
    <row r="2771" spans="1:9" ht="18" customHeight="1">
      <c r="A2771" s="128"/>
      <c r="B2771" s="64" t="s">
        <v>1697</v>
      </c>
      <c r="C2771" s="70"/>
      <c r="D2771" s="68"/>
      <c r="E2771" s="68"/>
      <c r="F2771" s="68"/>
      <c r="G2771" s="67" t="str">
        <f t="shared" si="77"/>
        <v xml:space="preserve"> </v>
      </c>
      <c r="H2771" s="947" t="s">
        <v>1303</v>
      </c>
    </row>
    <row r="2772" spans="1:9" s="78" customFormat="1" ht="18" customHeight="1">
      <c r="A2772" s="432"/>
      <c r="B2772" s="63" t="s">
        <v>2033</v>
      </c>
      <c r="C2772" s="70">
        <v>5</v>
      </c>
      <c r="D2772" s="68">
        <v>3.1</v>
      </c>
      <c r="E2772" s="68">
        <v>4.8</v>
      </c>
      <c r="F2772" s="68"/>
      <c r="G2772" s="67">
        <f t="shared" si="77"/>
        <v>74.400000000000006</v>
      </c>
      <c r="H2772" s="947" t="s">
        <v>1303</v>
      </c>
      <c r="I2772" s="1227"/>
    </row>
    <row r="2773" spans="1:9" ht="18" customHeight="1">
      <c r="A2773" s="128"/>
      <c r="B2773" s="64" t="s">
        <v>1146</v>
      </c>
      <c r="C2773" s="70"/>
      <c r="D2773" s="68"/>
      <c r="E2773" s="68"/>
      <c r="F2773" s="68"/>
      <c r="G2773" s="67" t="str">
        <f t="shared" si="77"/>
        <v xml:space="preserve"> </v>
      </c>
      <c r="H2773" s="947" t="s">
        <v>1303</v>
      </c>
    </row>
    <row r="2774" spans="1:9" s="78" customFormat="1" ht="18" customHeight="1">
      <c r="A2774" s="432"/>
      <c r="B2774" s="63" t="s">
        <v>2033</v>
      </c>
      <c r="C2774" s="70">
        <v>4</v>
      </c>
      <c r="D2774" s="68">
        <v>3.1</v>
      </c>
      <c r="E2774" s="68">
        <v>4.8</v>
      </c>
      <c r="F2774" s="68"/>
      <c r="G2774" s="67">
        <f t="shared" si="77"/>
        <v>59.52</v>
      </c>
      <c r="H2774" s="947" t="s">
        <v>1303</v>
      </c>
      <c r="I2774" s="1227"/>
    </row>
    <row r="2775" spans="1:9" ht="18" customHeight="1">
      <c r="A2775" s="128"/>
      <c r="B2775" s="64" t="s">
        <v>2083</v>
      </c>
      <c r="C2775" s="70"/>
      <c r="D2775" s="68"/>
      <c r="E2775" s="68"/>
      <c r="F2775" s="68"/>
      <c r="G2775" s="67" t="str">
        <f t="shared" si="77"/>
        <v xml:space="preserve"> </v>
      </c>
      <c r="H2775" s="947" t="s">
        <v>1303</v>
      </c>
    </row>
    <row r="2776" spans="1:9" ht="18" customHeight="1">
      <c r="A2776" s="128"/>
      <c r="B2776" s="356" t="s">
        <v>2066</v>
      </c>
      <c r="C2776" s="76">
        <v>1</v>
      </c>
      <c r="D2776" s="77">
        <v>3</v>
      </c>
      <c r="E2776" s="68">
        <v>3.7</v>
      </c>
      <c r="F2776" s="68"/>
      <c r="G2776" s="67">
        <f t="shared" si="77"/>
        <v>11.1</v>
      </c>
      <c r="H2776" s="947" t="s">
        <v>1303</v>
      </c>
    </row>
    <row r="2777" spans="1:9" s="78" customFormat="1" ht="18" customHeight="1">
      <c r="A2777" s="432"/>
      <c r="B2777" s="356" t="s">
        <v>1520</v>
      </c>
      <c r="C2777" s="76">
        <v>-2</v>
      </c>
      <c r="D2777" s="77">
        <v>1.4</v>
      </c>
      <c r="E2777" s="68">
        <v>1</v>
      </c>
      <c r="F2777" s="68"/>
      <c r="G2777" s="67">
        <f t="shared" si="77"/>
        <v>-2.8</v>
      </c>
      <c r="H2777" s="947" t="s">
        <v>1303</v>
      </c>
      <c r="I2777" s="1227"/>
    </row>
    <row r="2778" spans="1:9" s="78" customFormat="1" ht="18" customHeight="1">
      <c r="A2778" s="432"/>
      <c r="B2778" s="356" t="s">
        <v>2033</v>
      </c>
      <c r="C2778" s="76">
        <v>3</v>
      </c>
      <c r="D2778" s="77">
        <v>4.3499999999999996</v>
      </c>
      <c r="E2778" s="68">
        <v>4.8</v>
      </c>
      <c r="F2778" s="68"/>
      <c r="G2778" s="67">
        <f t="shared" si="77"/>
        <v>62.64</v>
      </c>
      <c r="H2778" s="947" t="s">
        <v>1303</v>
      </c>
      <c r="I2778" s="1227"/>
    </row>
    <row r="2779" spans="1:9" ht="18" customHeight="1">
      <c r="A2779" s="128"/>
      <c r="B2779" s="64" t="s">
        <v>1701</v>
      </c>
      <c r="C2779" s="70"/>
      <c r="D2779" s="68"/>
      <c r="E2779" s="68"/>
      <c r="F2779" s="68"/>
      <c r="G2779" s="67" t="str">
        <f t="shared" si="77"/>
        <v xml:space="preserve"> </v>
      </c>
      <c r="H2779" s="947" t="s">
        <v>1303</v>
      </c>
    </row>
    <row r="2780" spans="1:9" s="78" customFormat="1" ht="18" customHeight="1">
      <c r="A2780" s="432"/>
      <c r="B2780" s="63" t="s">
        <v>2033</v>
      </c>
      <c r="C2780" s="70">
        <v>7</v>
      </c>
      <c r="D2780" s="68">
        <v>3.1</v>
      </c>
      <c r="E2780" s="68">
        <v>4.8</v>
      </c>
      <c r="F2780" s="68"/>
      <c r="G2780" s="67">
        <f t="shared" si="77"/>
        <v>104.16</v>
      </c>
      <c r="H2780" s="947" t="s">
        <v>1303</v>
      </c>
      <c r="I2780" s="1227"/>
    </row>
    <row r="2781" spans="1:9" ht="18" customHeight="1">
      <c r="A2781" s="128"/>
      <c r="B2781" s="64" t="s">
        <v>1704</v>
      </c>
      <c r="C2781" s="70"/>
      <c r="D2781" s="68"/>
      <c r="E2781" s="68"/>
      <c r="F2781" s="68"/>
      <c r="G2781" s="67" t="str">
        <f t="shared" si="77"/>
        <v xml:space="preserve"> </v>
      </c>
      <c r="H2781" s="947" t="s">
        <v>1303</v>
      </c>
    </row>
    <row r="2782" spans="1:9" s="78" customFormat="1" ht="18" customHeight="1">
      <c r="A2782" s="432"/>
      <c r="B2782" s="63" t="s">
        <v>2033</v>
      </c>
      <c r="C2782" s="70">
        <v>4</v>
      </c>
      <c r="D2782" s="68">
        <v>3.1</v>
      </c>
      <c r="E2782" s="68">
        <v>4.8</v>
      </c>
      <c r="F2782" s="68"/>
      <c r="G2782" s="67">
        <f t="shared" si="77"/>
        <v>59.52</v>
      </c>
      <c r="H2782" s="947" t="s">
        <v>1303</v>
      </c>
      <c r="I2782" s="1227"/>
    </row>
    <row r="2783" spans="1:9" s="78" customFormat="1" ht="18" customHeight="1">
      <c r="A2783" s="432"/>
      <c r="B2783" s="63" t="s">
        <v>1149</v>
      </c>
      <c r="C2783" s="76">
        <v>1</v>
      </c>
      <c r="D2783" s="77">
        <v>4.7</v>
      </c>
      <c r="E2783" s="68">
        <v>3.05</v>
      </c>
      <c r="F2783" s="68"/>
      <c r="G2783" s="67">
        <f t="shared" si="77"/>
        <v>14.34</v>
      </c>
      <c r="H2783" s="947" t="s">
        <v>1303</v>
      </c>
      <c r="I2783" s="1227"/>
    </row>
    <row r="2784" spans="1:9" ht="18" customHeight="1">
      <c r="A2784" s="128"/>
      <c r="B2784" s="356" t="s">
        <v>2084</v>
      </c>
      <c r="C2784" s="76">
        <v>1</v>
      </c>
      <c r="D2784" s="77">
        <v>4.8</v>
      </c>
      <c r="E2784" s="68">
        <v>8.0500000000000007</v>
      </c>
      <c r="F2784" s="68"/>
      <c r="G2784" s="67">
        <f t="shared" si="77"/>
        <v>38.64</v>
      </c>
      <c r="H2784" s="947" t="s">
        <v>1303</v>
      </c>
    </row>
    <row r="2785" spans="1:9" ht="18" customHeight="1">
      <c r="A2785" s="128"/>
      <c r="B2785" s="64" t="s">
        <v>1706</v>
      </c>
      <c r="C2785" s="70"/>
      <c r="D2785" s="68"/>
      <c r="E2785" s="68"/>
      <c r="F2785" s="68"/>
      <c r="G2785" s="67" t="str">
        <f t="shared" si="77"/>
        <v xml:space="preserve"> </v>
      </c>
      <c r="H2785" s="947" t="s">
        <v>1303</v>
      </c>
    </row>
    <row r="2786" spans="1:9" s="78" customFormat="1" ht="18" customHeight="1">
      <c r="A2786" s="432"/>
      <c r="B2786" s="63" t="s">
        <v>2033</v>
      </c>
      <c r="C2786" s="70">
        <v>7</v>
      </c>
      <c r="D2786" s="68">
        <v>3.1</v>
      </c>
      <c r="E2786" s="68">
        <v>4.8</v>
      </c>
      <c r="F2786" s="68"/>
      <c r="G2786" s="67">
        <f t="shared" si="77"/>
        <v>104.16</v>
      </c>
      <c r="H2786" s="947" t="s">
        <v>1303</v>
      </c>
      <c r="I2786" s="1227"/>
    </row>
    <row r="2787" spans="1:9" ht="18" customHeight="1">
      <c r="A2787" s="128"/>
      <c r="B2787" s="64" t="s">
        <v>1707</v>
      </c>
      <c r="C2787" s="70"/>
      <c r="D2787" s="68"/>
      <c r="E2787" s="68"/>
      <c r="F2787" s="68"/>
      <c r="G2787" s="67" t="str">
        <f t="shared" si="77"/>
        <v xml:space="preserve"> </v>
      </c>
      <c r="H2787" s="947" t="s">
        <v>1303</v>
      </c>
    </row>
    <row r="2788" spans="1:9" s="78" customFormat="1" ht="18" customHeight="1">
      <c r="A2788" s="432"/>
      <c r="B2788" s="63" t="s">
        <v>2033</v>
      </c>
      <c r="C2788" s="70">
        <v>4</v>
      </c>
      <c r="D2788" s="68">
        <v>3.1</v>
      </c>
      <c r="E2788" s="68">
        <v>4.8</v>
      </c>
      <c r="F2788" s="68"/>
      <c r="G2788" s="67">
        <f t="shared" si="77"/>
        <v>59.52</v>
      </c>
      <c r="H2788" s="947" t="s">
        <v>1303</v>
      </c>
      <c r="I2788" s="1227"/>
    </row>
    <row r="2789" spans="1:9" s="78" customFormat="1" ht="18" customHeight="1">
      <c r="A2789" s="432"/>
      <c r="B2789" s="63" t="s">
        <v>1149</v>
      </c>
      <c r="C2789" s="76">
        <v>1</v>
      </c>
      <c r="D2789" s="77">
        <v>4.7</v>
      </c>
      <c r="E2789" s="68">
        <v>3.05</v>
      </c>
      <c r="F2789" s="68"/>
      <c r="G2789" s="67">
        <f t="shared" si="77"/>
        <v>14.34</v>
      </c>
      <c r="H2789" s="947" t="s">
        <v>1303</v>
      </c>
      <c r="I2789" s="1227"/>
    </row>
    <row r="2790" spans="1:9" ht="18" customHeight="1">
      <c r="A2790" s="128"/>
      <c r="B2790" s="356" t="s">
        <v>2085</v>
      </c>
      <c r="C2790" s="76">
        <v>1</v>
      </c>
      <c r="D2790" s="77">
        <v>4.8</v>
      </c>
      <c r="E2790" s="68">
        <v>8.0500000000000007</v>
      </c>
      <c r="F2790" s="68"/>
      <c r="G2790" s="67">
        <f t="shared" si="77"/>
        <v>38.64</v>
      </c>
      <c r="H2790" s="947" t="s">
        <v>1303</v>
      </c>
    </row>
    <row r="2791" spans="1:9" ht="18" customHeight="1">
      <c r="A2791" s="128"/>
      <c r="B2791" s="64" t="s">
        <v>1714</v>
      </c>
      <c r="C2791" s="70"/>
      <c r="D2791" s="68"/>
      <c r="E2791" s="68"/>
      <c r="F2791" s="68"/>
      <c r="G2791" s="67" t="str">
        <f t="shared" si="77"/>
        <v xml:space="preserve"> </v>
      </c>
      <c r="H2791" s="947" t="s">
        <v>1303</v>
      </c>
    </row>
    <row r="2792" spans="1:9" s="78" customFormat="1" ht="18" customHeight="1">
      <c r="A2792" s="432"/>
      <c r="B2792" s="63" t="s">
        <v>2033</v>
      </c>
      <c r="C2792" s="70">
        <v>3</v>
      </c>
      <c r="D2792" s="68">
        <v>3.1</v>
      </c>
      <c r="E2792" s="68">
        <v>4.8</v>
      </c>
      <c r="F2792" s="68"/>
      <c r="G2792" s="67">
        <f t="shared" si="77"/>
        <v>44.64</v>
      </c>
      <c r="H2792" s="947" t="s">
        <v>1303</v>
      </c>
      <c r="I2792" s="1227"/>
    </row>
    <row r="2793" spans="1:9" ht="18" customHeight="1">
      <c r="A2793" s="128"/>
      <c r="B2793" s="356" t="s">
        <v>1150</v>
      </c>
      <c r="C2793" s="76">
        <v>1</v>
      </c>
      <c r="D2793" s="77">
        <v>3.1</v>
      </c>
      <c r="E2793" s="68">
        <v>3.1</v>
      </c>
      <c r="F2793" s="68"/>
      <c r="G2793" s="67">
        <f t="shared" si="77"/>
        <v>9.61</v>
      </c>
      <c r="H2793" s="947" t="s">
        <v>1303</v>
      </c>
    </row>
    <row r="2794" spans="1:9" ht="18" customHeight="1">
      <c r="A2794" s="128"/>
      <c r="B2794" s="64" t="s">
        <v>1715</v>
      </c>
      <c r="C2794" s="70"/>
      <c r="D2794" s="68"/>
      <c r="E2794" s="68"/>
      <c r="F2794" s="68"/>
      <c r="G2794" s="67" t="str">
        <f t="shared" si="77"/>
        <v xml:space="preserve"> </v>
      </c>
      <c r="H2794" s="947" t="s">
        <v>1303</v>
      </c>
    </row>
    <row r="2795" spans="1:9" s="78" customFormat="1" ht="18" customHeight="1">
      <c r="A2795" s="432"/>
      <c r="B2795" s="63" t="s">
        <v>2033</v>
      </c>
      <c r="C2795" s="70">
        <v>4</v>
      </c>
      <c r="D2795" s="68">
        <v>3.1</v>
      </c>
      <c r="E2795" s="68">
        <v>4.8</v>
      </c>
      <c r="F2795" s="68"/>
      <c r="G2795" s="67">
        <f t="shared" si="77"/>
        <v>59.52</v>
      </c>
      <c r="H2795" s="947" t="s">
        <v>1303</v>
      </c>
      <c r="I2795" s="1227"/>
    </row>
    <row r="2796" spans="1:9" ht="18" customHeight="1">
      <c r="A2796" s="128"/>
      <c r="B2796" s="64" t="s">
        <v>1716</v>
      </c>
      <c r="C2796" s="70"/>
      <c r="D2796" s="68"/>
      <c r="E2796" s="68"/>
      <c r="F2796" s="68"/>
      <c r="G2796" s="67" t="str">
        <f t="shared" si="77"/>
        <v xml:space="preserve"> </v>
      </c>
      <c r="H2796" s="947" t="s">
        <v>1303</v>
      </c>
    </row>
    <row r="2797" spans="1:9" s="78" customFormat="1" ht="18" customHeight="1">
      <c r="A2797" s="432"/>
      <c r="B2797" s="63" t="s">
        <v>2033</v>
      </c>
      <c r="C2797" s="70">
        <v>3</v>
      </c>
      <c r="D2797" s="68">
        <v>3.1</v>
      </c>
      <c r="E2797" s="68">
        <v>4.8</v>
      </c>
      <c r="F2797" s="68"/>
      <c r="G2797" s="67">
        <f t="shared" si="77"/>
        <v>44.64</v>
      </c>
      <c r="H2797" s="947" t="s">
        <v>1303</v>
      </c>
      <c r="I2797" s="1227"/>
    </row>
    <row r="2798" spans="1:9" ht="18" customHeight="1">
      <c r="A2798" s="128"/>
      <c r="B2798" s="356" t="s">
        <v>1150</v>
      </c>
      <c r="C2798" s="76">
        <v>1</v>
      </c>
      <c r="D2798" s="77">
        <v>3.1</v>
      </c>
      <c r="E2798" s="68">
        <v>3.1</v>
      </c>
      <c r="F2798" s="68"/>
      <c r="G2798" s="67">
        <f t="shared" si="77"/>
        <v>9.61</v>
      </c>
      <c r="H2798" s="947" t="s">
        <v>1303</v>
      </c>
    </row>
    <row r="2799" spans="1:9" ht="18" customHeight="1">
      <c r="A2799" s="128"/>
      <c r="B2799" s="64" t="s">
        <v>1717</v>
      </c>
      <c r="C2799" s="70"/>
      <c r="D2799" s="68"/>
      <c r="E2799" s="68"/>
      <c r="F2799" s="68"/>
      <c r="G2799" s="67" t="str">
        <f t="shared" ref="G2799:G2854" si="78">IF(C2799&lt;&gt;0,ROUND(PRODUCT(D2799:F2799)*C2799,2)," ")</f>
        <v xml:space="preserve"> </v>
      </c>
      <c r="H2799" s="947" t="s">
        <v>1303</v>
      </c>
    </row>
    <row r="2800" spans="1:9" s="78" customFormat="1" ht="18" customHeight="1">
      <c r="A2800" s="432"/>
      <c r="B2800" s="63" t="s">
        <v>2033</v>
      </c>
      <c r="C2800" s="70">
        <v>4</v>
      </c>
      <c r="D2800" s="68">
        <v>3.1</v>
      </c>
      <c r="E2800" s="68">
        <v>4.8</v>
      </c>
      <c r="F2800" s="68"/>
      <c r="G2800" s="67">
        <f t="shared" si="78"/>
        <v>59.52</v>
      </c>
      <c r="H2800" s="947" t="s">
        <v>1303</v>
      </c>
      <c r="I2800" s="1227"/>
    </row>
    <row r="2801" spans="1:9" s="78" customFormat="1" ht="18" customHeight="1">
      <c r="A2801" s="432"/>
      <c r="B2801" s="63"/>
      <c r="C2801" s="70"/>
      <c r="D2801" s="68"/>
      <c r="E2801" s="68"/>
      <c r="F2801" s="68"/>
      <c r="G2801" s="67" t="str">
        <f t="shared" si="78"/>
        <v xml:space="preserve"> </v>
      </c>
      <c r="H2801" s="947" t="s">
        <v>1303</v>
      </c>
      <c r="I2801" s="1227"/>
    </row>
    <row r="2802" spans="1:9" s="78" customFormat="1" ht="18" customHeight="1">
      <c r="A2802" s="432"/>
      <c r="B2802" s="64" t="s">
        <v>2071</v>
      </c>
      <c r="C2802" s="70"/>
      <c r="D2802" s="68"/>
      <c r="E2802" s="68"/>
      <c r="F2802" s="68"/>
      <c r="G2802" s="67" t="str">
        <f t="shared" si="78"/>
        <v xml:space="preserve"> </v>
      </c>
      <c r="H2802" s="947" t="s">
        <v>1303</v>
      </c>
      <c r="I2802" s="1227"/>
    </row>
    <row r="2803" spans="1:9" s="78" customFormat="1" ht="18" customHeight="1">
      <c r="A2803" s="432"/>
      <c r="B2803" s="63" t="s">
        <v>2072</v>
      </c>
      <c r="C2803" s="70">
        <v>1</v>
      </c>
      <c r="D2803" s="68">
        <f>6.45+6.4+6.4+3.25</f>
        <v>22.5</v>
      </c>
      <c r="E2803" s="68">
        <v>1.8</v>
      </c>
      <c r="F2803" s="68"/>
      <c r="G2803" s="67">
        <f t="shared" si="78"/>
        <v>40.5</v>
      </c>
      <c r="H2803" s="947" t="s">
        <v>1303</v>
      </c>
      <c r="I2803" s="1227"/>
    </row>
    <row r="2804" spans="1:9" s="78" customFormat="1" ht="18" customHeight="1">
      <c r="A2804" s="432"/>
      <c r="B2804" s="63" t="s">
        <v>2073</v>
      </c>
      <c r="C2804" s="70">
        <v>1</v>
      </c>
      <c r="D2804" s="68">
        <v>5.2</v>
      </c>
      <c r="E2804" s="68">
        <v>3.8250000000000002</v>
      </c>
      <c r="F2804" s="68"/>
      <c r="G2804" s="67">
        <f t="shared" si="78"/>
        <v>19.89</v>
      </c>
      <c r="H2804" s="947" t="s">
        <v>1303</v>
      </c>
      <c r="I2804" s="1227"/>
    </row>
    <row r="2805" spans="1:9" s="78" customFormat="1" ht="18" customHeight="1">
      <c r="A2805" s="432"/>
      <c r="B2805" s="63" t="s">
        <v>2074</v>
      </c>
      <c r="C2805" s="70">
        <v>1</v>
      </c>
      <c r="D2805" s="68">
        <f>6.45+3.25</f>
        <v>9.6999999999999993</v>
      </c>
      <c r="E2805" s="68">
        <v>1.8</v>
      </c>
      <c r="F2805" s="68"/>
      <c r="G2805" s="67">
        <f t="shared" si="78"/>
        <v>17.46</v>
      </c>
      <c r="H2805" s="947" t="s">
        <v>1303</v>
      </c>
      <c r="I2805" s="1227"/>
    </row>
    <row r="2806" spans="1:9" s="78" customFormat="1" ht="18" customHeight="1">
      <c r="A2806" s="432"/>
      <c r="B2806" s="63" t="s">
        <v>2086</v>
      </c>
      <c r="C2806" s="70">
        <v>1</v>
      </c>
      <c r="D2806" s="68">
        <f>1.425+3.175+4.125+2.725</f>
        <v>11.45</v>
      </c>
      <c r="E2806" s="68">
        <v>12.5</v>
      </c>
      <c r="F2806" s="68"/>
      <c r="G2806" s="67">
        <f t="shared" si="78"/>
        <v>143.13</v>
      </c>
      <c r="H2806" s="947" t="s">
        <v>1303</v>
      </c>
      <c r="I2806" s="1227"/>
    </row>
    <row r="2807" spans="1:9" s="78" customFormat="1" ht="18" customHeight="1">
      <c r="A2807" s="432"/>
      <c r="B2807" s="63" t="s">
        <v>2076</v>
      </c>
      <c r="C2807" s="70">
        <v>1</v>
      </c>
      <c r="D2807" s="68">
        <f>3.25+6.45+3.2</f>
        <v>12.899999999999999</v>
      </c>
      <c r="E2807" s="68">
        <v>1.8</v>
      </c>
      <c r="F2807" s="68"/>
      <c r="G2807" s="67">
        <f t="shared" si="78"/>
        <v>23.22</v>
      </c>
      <c r="H2807" s="947" t="s">
        <v>1303</v>
      </c>
      <c r="I2807" s="1227"/>
    </row>
    <row r="2808" spans="1:9" s="78" customFormat="1" ht="18" customHeight="1">
      <c r="A2808" s="432"/>
      <c r="B2808" s="63" t="s">
        <v>2077</v>
      </c>
      <c r="C2808" s="70">
        <v>1</v>
      </c>
      <c r="D2808" s="68">
        <v>5.2</v>
      </c>
      <c r="E2808" s="68">
        <v>3.8250000000000002</v>
      </c>
      <c r="F2808" s="68"/>
      <c r="G2808" s="67">
        <f t="shared" si="78"/>
        <v>19.89</v>
      </c>
      <c r="H2808" s="947" t="s">
        <v>1303</v>
      </c>
      <c r="I2808" s="1227"/>
    </row>
    <row r="2809" spans="1:9" s="78" customFormat="1" ht="18" customHeight="1">
      <c r="A2809" s="432"/>
      <c r="B2809" s="63" t="s">
        <v>2078</v>
      </c>
      <c r="C2809" s="70">
        <v>1</v>
      </c>
      <c r="D2809" s="68">
        <f>6.45+6.4+6.4+3.25</f>
        <v>22.5</v>
      </c>
      <c r="E2809" s="68">
        <v>1.8</v>
      </c>
      <c r="F2809" s="68"/>
      <c r="G2809" s="67">
        <f t="shared" si="78"/>
        <v>40.5</v>
      </c>
      <c r="H2809" s="947" t="s">
        <v>1303</v>
      </c>
      <c r="I2809" s="1227"/>
    </row>
    <row r="2810" spans="1:9" s="78" customFormat="1" ht="18" customHeight="1">
      <c r="A2810" s="432"/>
      <c r="B2810" s="63" t="s">
        <v>2079</v>
      </c>
      <c r="C2810" s="70">
        <v>1</v>
      </c>
      <c r="D2810" s="68">
        <v>3.6749999999999998</v>
      </c>
      <c r="E2810" s="68">
        <v>2.2250000000000001</v>
      </c>
      <c r="F2810" s="68"/>
      <c r="G2810" s="67">
        <f t="shared" si="78"/>
        <v>8.18</v>
      </c>
      <c r="H2810" s="947" t="s">
        <v>1303</v>
      </c>
      <c r="I2810" s="1227"/>
    </row>
    <row r="2811" spans="1:9" s="78" customFormat="1" ht="18" customHeight="1">
      <c r="A2811" s="432"/>
      <c r="B2811" s="63" t="s">
        <v>2080</v>
      </c>
      <c r="C2811" s="70">
        <v>1</v>
      </c>
      <c r="D2811" s="68">
        <f>3.2+6.45+6.45+6.3+6.45+6.45+3.2</f>
        <v>38.500000000000007</v>
      </c>
      <c r="E2811" s="68">
        <v>1.8</v>
      </c>
      <c r="F2811" s="68"/>
      <c r="G2811" s="67">
        <f t="shared" si="78"/>
        <v>69.3</v>
      </c>
      <c r="H2811" s="947" t="s">
        <v>1303</v>
      </c>
      <c r="I2811" s="1227"/>
    </row>
    <row r="2812" spans="1:9" s="78" customFormat="1" ht="18" customHeight="1">
      <c r="A2812" s="432"/>
      <c r="B2812" s="63" t="s">
        <v>2081</v>
      </c>
      <c r="C2812" s="70">
        <v>1</v>
      </c>
      <c r="D2812" s="68">
        <f>2.25+1.575</f>
        <v>3.8250000000000002</v>
      </c>
      <c r="E2812" s="68">
        <v>2.2250000000000001</v>
      </c>
      <c r="F2812" s="68"/>
      <c r="G2812" s="67">
        <f t="shared" si="78"/>
        <v>8.51</v>
      </c>
      <c r="H2812" s="947" t="s">
        <v>1303</v>
      </c>
      <c r="I2812" s="1227"/>
    </row>
    <row r="2813" spans="1:9" s="78" customFormat="1" ht="18" customHeight="1">
      <c r="A2813" s="432"/>
      <c r="B2813" s="63" t="s">
        <v>2082</v>
      </c>
      <c r="C2813" s="70">
        <v>1</v>
      </c>
      <c r="D2813" s="68">
        <v>1.5249999999999999</v>
      </c>
      <c r="E2813" s="68">
        <v>2.25</v>
      </c>
      <c r="F2813" s="68"/>
      <c r="G2813" s="67">
        <f t="shared" si="78"/>
        <v>3.43</v>
      </c>
      <c r="H2813" s="947" t="s">
        <v>1303</v>
      </c>
      <c r="I2813" s="1227"/>
    </row>
    <row r="2814" spans="1:9" s="78" customFormat="1" ht="18" customHeight="1">
      <c r="A2814" s="432"/>
      <c r="B2814" s="63"/>
      <c r="C2814" s="70"/>
      <c r="D2814" s="68"/>
      <c r="E2814" s="68"/>
      <c r="F2814" s="68"/>
      <c r="G2814" s="67" t="str">
        <f t="shared" si="78"/>
        <v xml:space="preserve"> </v>
      </c>
      <c r="H2814" s="947" t="s">
        <v>1303</v>
      </c>
      <c r="I2814" s="1227"/>
    </row>
    <row r="2815" spans="1:9" s="606" customFormat="1" ht="18" customHeight="1">
      <c r="A2815" s="675"/>
      <c r="B2815" s="548" t="s">
        <v>2156</v>
      </c>
      <c r="C2815" s="404"/>
      <c r="D2815" s="405"/>
      <c r="E2815" s="405"/>
      <c r="F2815" s="405"/>
      <c r="G2815" s="67" t="str">
        <f t="shared" si="78"/>
        <v xml:space="preserve"> </v>
      </c>
      <c r="H2815" s="947" t="s">
        <v>1303</v>
      </c>
      <c r="I2815" s="1242"/>
    </row>
    <row r="2816" spans="1:9" s="606" customFormat="1" ht="18" customHeight="1">
      <c r="A2816" s="675"/>
      <c r="B2816" s="548" t="s">
        <v>2157</v>
      </c>
      <c r="C2816" s="404"/>
      <c r="D2816" s="405"/>
      <c r="E2816" s="405"/>
      <c r="F2816" s="405"/>
      <c r="G2816" s="67" t="str">
        <f t="shared" si="78"/>
        <v xml:space="preserve"> </v>
      </c>
      <c r="H2816" s="947" t="s">
        <v>1303</v>
      </c>
      <c r="I2816" s="1242"/>
    </row>
    <row r="2817" spans="1:9" s="606" customFormat="1" ht="18" customHeight="1">
      <c r="A2817" s="675"/>
      <c r="B2817" s="81" t="s">
        <v>1307</v>
      </c>
      <c r="C2817" s="404">
        <v>1</v>
      </c>
      <c r="D2817" s="405">
        <f>5.187-0.1-0.1</f>
        <v>4.987000000000001</v>
      </c>
      <c r="E2817" s="405">
        <f>1.73+1.2+1.73</f>
        <v>4.66</v>
      </c>
      <c r="F2817" s="405"/>
      <c r="G2817" s="67">
        <f t="shared" si="78"/>
        <v>23.24</v>
      </c>
      <c r="H2817" s="947" t="s">
        <v>1303</v>
      </c>
      <c r="I2817" s="1242"/>
    </row>
    <row r="2818" spans="1:9" s="606" customFormat="1" ht="18" customHeight="1">
      <c r="A2818" s="675"/>
      <c r="B2818" s="81" t="s">
        <v>1308</v>
      </c>
      <c r="C2818" s="404">
        <v>1</v>
      </c>
      <c r="D2818" s="405">
        <v>4.9870000000000001</v>
      </c>
      <c r="E2818" s="405">
        <v>4.66</v>
      </c>
      <c r="F2818" s="405"/>
      <c r="G2818" s="67">
        <f t="shared" si="78"/>
        <v>23.24</v>
      </c>
      <c r="H2818" s="947" t="s">
        <v>1303</v>
      </c>
      <c r="I2818" s="1242"/>
    </row>
    <row r="2819" spans="1:9" s="606" customFormat="1" ht="18" customHeight="1">
      <c r="A2819" s="675"/>
      <c r="B2819" s="81" t="s">
        <v>1309</v>
      </c>
      <c r="C2819" s="404">
        <v>1</v>
      </c>
      <c r="D2819" s="405">
        <f>2.298+4.6+3.825-0.1-0.1</f>
        <v>10.523</v>
      </c>
      <c r="E2819" s="405">
        <v>1.8</v>
      </c>
      <c r="F2819" s="405"/>
      <c r="G2819" s="67">
        <f t="shared" si="78"/>
        <v>18.940000000000001</v>
      </c>
      <c r="H2819" s="947" t="s">
        <v>1303</v>
      </c>
      <c r="I2819" s="1242"/>
    </row>
    <row r="2820" spans="1:9" s="606" customFormat="1" ht="18" customHeight="1">
      <c r="A2820" s="675"/>
      <c r="B2820" s="81" t="s">
        <v>1310</v>
      </c>
      <c r="C2820" s="404">
        <v>1</v>
      </c>
      <c r="D2820" s="405">
        <f>2.25-0.1</f>
        <v>2.15</v>
      </c>
      <c r="E2820" s="405">
        <f>2.298+4.6+0.125+0.1-0.1</f>
        <v>7.0229999999999997</v>
      </c>
      <c r="F2820" s="405"/>
      <c r="G2820" s="67">
        <f t="shared" si="78"/>
        <v>15.1</v>
      </c>
      <c r="H2820" s="947" t="s">
        <v>1303</v>
      </c>
      <c r="I2820" s="1242"/>
    </row>
    <row r="2821" spans="1:9" s="606" customFormat="1" ht="18" customHeight="1">
      <c r="A2821" s="675"/>
      <c r="B2821" s="81" t="s">
        <v>2158</v>
      </c>
      <c r="C2821" s="404"/>
      <c r="D2821" s="405"/>
      <c r="E2821" s="405"/>
      <c r="F2821" s="405"/>
      <c r="G2821" s="67" t="str">
        <f t="shared" si="78"/>
        <v xml:space="preserve"> </v>
      </c>
      <c r="H2821" s="947" t="s">
        <v>1303</v>
      </c>
      <c r="I2821" s="1242"/>
    </row>
    <row r="2822" spans="1:9" s="606" customFormat="1" ht="18" customHeight="1">
      <c r="A2822" s="675"/>
      <c r="B2822" s="81" t="s">
        <v>2159</v>
      </c>
      <c r="C2822" s="404">
        <v>1</v>
      </c>
      <c r="D2822" s="405">
        <f>5.187-0.1-0.1</f>
        <v>4.987000000000001</v>
      </c>
      <c r="E2822" s="405">
        <f>1.73+1.2+1.73</f>
        <v>4.66</v>
      </c>
      <c r="F2822" s="405"/>
      <c r="G2822" s="67">
        <f t="shared" si="78"/>
        <v>23.24</v>
      </c>
      <c r="H2822" s="947" t="s">
        <v>1303</v>
      </c>
      <c r="I2822" s="1242"/>
    </row>
    <row r="2823" spans="1:9" s="606" customFormat="1" ht="18" customHeight="1">
      <c r="A2823" s="675"/>
      <c r="B2823" s="81" t="s">
        <v>2160</v>
      </c>
      <c r="C2823" s="404">
        <v>1</v>
      </c>
      <c r="D2823" s="405">
        <v>4.9870000000000001</v>
      </c>
      <c r="E2823" s="405">
        <v>4.66</v>
      </c>
      <c r="F2823" s="405"/>
      <c r="G2823" s="67">
        <f t="shared" si="78"/>
        <v>23.24</v>
      </c>
      <c r="H2823" s="947" t="s">
        <v>1303</v>
      </c>
      <c r="I2823" s="1242"/>
    </row>
    <row r="2824" spans="1:9" s="606" customFormat="1" ht="18" customHeight="1">
      <c r="A2824" s="675"/>
      <c r="B2824" s="81" t="s">
        <v>2161</v>
      </c>
      <c r="C2824" s="404">
        <v>1</v>
      </c>
      <c r="D2824" s="405">
        <f>2.298+4.6+3.825-0.1-0.1</f>
        <v>10.523</v>
      </c>
      <c r="E2824" s="405">
        <v>1.8</v>
      </c>
      <c r="F2824" s="405"/>
      <c r="G2824" s="67">
        <f t="shared" si="78"/>
        <v>18.940000000000001</v>
      </c>
      <c r="H2824" s="947" t="s">
        <v>1303</v>
      </c>
      <c r="I2824" s="1242"/>
    </row>
    <row r="2825" spans="1:9" s="606" customFormat="1" ht="18" customHeight="1">
      <c r="A2825" s="675"/>
      <c r="B2825" s="81" t="s">
        <v>2162</v>
      </c>
      <c r="C2825" s="404">
        <v>1</v>
      </c>
      <c r="D2825" s="405">
        <f>2.25-0.1</f>
        <v>2.15</v>
      </c>
      <c r="E2825" s="405">
        <f>2.298+4.6+0.125+0.1-0.1</f>
        <v>7.0229999999999997</v>
      </c>
      <c r="F2825" s="405"/>
      <c r="G2825" s="67">
        <f t="shared" si="78"/>
        <v>15.1</v>
      </c>
      <c r="H2825" s="947" t="s">
        <v>1303</v>
      </c>
      <c r="I2825" s="1242"/>
    </row>
    <row r="2826" spans="1:9" s="606" customFormat="1" ht="18" customHeight="1">
      <c r="A2826" s="675"/>
      <c r="B2826" s="548" t="s">
        <v>2163</v>
      </c>
      <c r="C2826" s="404"/>
      <c r="D2826" s="405"/>
      <c r="E2826" s="405"/>
      <c r="F2826" s="405"/>
      <c r="G2826" s="67" t="str">
        <f t="shared" si="78"/>
        <v xml:space="preserve"> </v>
      </c>
      <c r="H2826" s="947" t="s">
        <v>1303</v>
      </c>
      <c r="I2826" s="1242"/>
    </row>
    <row r="2827" spans="1:9" s="606" customFormat="1" ht="18" customHeight="1">
      <c r="A2827" s="675"/>
      <c r="B2827" s="81" t="s">
        <v>1307</v>
      </c>
      <c r="C2827" s="404">
        <v>1</v>
      </c>
      <c r="D2827" s="405">
        <f>5.187-0.1-0.1</f>
        <v>4.987000000000001</v>
      </c>
      <c r="E2827" s="405">
        <f>1.73+1.2+1.73</f>
        <v>4.66</v>
      </c>
      <c r="F2827" s="405"/>
      <c r="G2827" s="67">
        <f t="shared" si="78"/>
        <v>23.24</v>
      </c>
      <c r="H2827" s="947" t="s">
        <v>1303</v>
      </c>
      <c r="I2827" s="1242"/>
    </row>
    <row r="2828" spans="1:9" s="606" customFormat="1" ht="18" customHeight="1">
      <c r="A2828" s="675"/>
      <c r="B2828" s="81" t="s">
        <v>1308</v>
      </c>
      <c r="C2828" s="404">
        <v>1</v>
      </c>
      <c r="D2828" s="405">
        <v>4.9870000000000001</v>
      </c>
      <c r="E2828" s="405">
        <v>4.66</v>
      </c>
      <c r="F2828" s="405"/>
      <c r="G2828" s="67">
        <f t="shared" si="78"/>
        <v>23.24</v>
      </c>
      <c r="H2828" s="947" t="s">
        <v>1303</v>
      </c>
      <c r="I2828" s="1242"/>
    </row>
    <row r="2829" spans="1:9" s="606" customFormat="1" ht="18" customHeight="1">
      <c r="A2829" s="675"/>
      <c r="B2829" s="81" t="s">
        <v>1309</v>
      </c>
      <c r="C2829" s="404">
        <v>1</v>
      </c>
      <c r="D2829" s="405">
        <f>2.298+4.6+3.825-0.1-0.1</f>
        <v>10.523</v>
      </c>
      <c r="E2829" s="405">
        <v>1.8</v>
      </c>
      <c r="F2829" s="405"/>
      <c r="G2829" s="67">
        <f t="shared" si="78"/>
        <v>18.940000000000001</v>
      </c>
      <c r="H2829" s="947" t="s">
        <v>1303</v>
      </c>
      <c r="I2829" s="1242"/>
    </row>
    <row r="2830" spans="1:9" s="606" customFormat="1" ht="18" customHeight="1">
      <c r="A2830" s="675"/>
      <c r="B2830" s="81" t="s">
        <v>1310</v>
      </c>
      <c r="C2830" s="404">
        <v>1</v>
      </c>
      <c r="D2830" s="405">
        <f>2.25-0.1</f>
        <v>2.15</v>
      </c>
      <c r="E2830" s="405">
        <f>2.298+4.6+0.125+0.1-0.1</f>
        <v>7.0229999999999997</v>
      </c>
      <c r="F2830" s="405"/>
      <c r="G2830" s="67">
        <f t="shared" si="78"/>
        <v>15.1</v>
      </c>
      <c r="H2830" s="947" t="s">
        <v>1303</v>
      </c>
      <c r="I2830" s="1242"/>
    </row>
    <row r="2831" spans="1:9" s="606" customFormat="1" ht="18" customHeight="1">
      <c r="A2831" s="675"/>
      <c r="B2831" s="81" t="s">
        <v>2158</v>
      </c>
      <c r="C2831" s="404"/>
      <c r="D2831" s="405"/>
      <c r="E2831" s="405"/>
      <c r="F2831" s="405"/>
      <c r="G2831" s="67" t="str">
        <f t="shared" si="78"/>
        <v xml:space="preserve"> </v>
      </c>
      <c r="H2831" s="947" t="s">
        <v>1303</v>
      </c>
      <c r="I2831" s="1242"/>
    </row>
    <row r="2832" spans="1:9" s="606" customFormat="1" ht="18" customHeight="1">
      <c r="A2832" s="675"/>
      <c r="B2832" s="81" t="s">
        <v>2159</v>
      </c>
      <c r="C2832" s="404">
        <v>1</v>
      </c>
      <c r="D2832" s="405">
        <f>5.187-0.1-0.1</f>
        <v>4.987000000000001</v>
      </c>
      <c r="E2832" s="405">
        <f>1.73+1.2+1.73</f>
        <v>4.66</v>
      </c>
      <c r="F2832" s="405"/>
      <c r="G2832" s="67">
        <f t="shared" si="78"/>
        <v>23.24</v>
      </c>
      <c r="H2832" s="947" t="s">
        <v>1303</v>
      </c>
      <c r="I2832" s="1242"/>
    </row>
    <row r="2833" spans="1:9" s="606" customFormat="1" ht="18" customHeight="1">
      <c r="A2833" s="675"/>
      <c r="B2833" s="81" t="s">
        <v>2160</v>
      </c>
      <c r="C2833" s="404">
        <v>1</v>
      </c>
      <c r="D2833" s="405">
        <v>4.9870000000000001</v>
      </c>
      <c r="E2833" s="405">
        <v>4.66</v>
      </c>
      <c r="F2833" s="405"/>
      <c r="G2833" s="67">
        <f t="shared" si="78"/>
        <v>23.24</v>
      </c>
      <c r="H2833" s="947" t="s">
        <v>1303</v>
      </c>
      <c r="I2833" s="1242"/>
    </row>
    <row r="2834" spans="1:9" s="606" customFormat="1" ht="18" customHeight="1">
      <c r="A2834" s="675"/>
      <c r="B2834" s="81" t="s">
        <v>2161</v>
      </c>
      <c r="C2834" s="404">
        <v>1</v>
      </c>
      <c r="D2834" s="405">
        <f>2.298+4.6+3.825-0.1-0.1</f>
        <v>10.523</v>
      </c>
      <c r="E2834" s="405">
        <v>1.8</v>
      </c>
      <c r="F2834" s="405"/>
      <c r="G2834" s="67">
        <f t="shared" si="78"/>
        <v>18.940000000000001</v>
      </c>
      <c r="H2834" s="947" t="s">
        <v>1303</v>
      </c>
      <c r="I2834" s="1242"/>
    </row>
    <row r="2835" spans="1:9" s="606" customFormat="1" ht="18" customHeight="1">
      <c r="A2835" s="675"/>
      <c r="B2835" s="81" t="s">
        <v>2162</v>
      </c>
      <c r="C2835" s="404">
        <v>1</v>
      </c>
      <c r="D2835" s="405">
        <f>2.25-0.1</f>
        <v>2.15</v>
      </c>
      <c r="E2835" s="405">
        <f>2.298+4.6+0.125+0.1-0.1</f>
        <v>7.0229999999999997</v>
      </c>
      <c r="F2835" s="405"/>
      <c r="G2835" s="67">
        <f t="shared" si="78"/>
        <v>15.1</v>
      </c>
      <c r="H2835" s="947" t="s">
        <v>1303</v>
      </c>
      <c r="I2835" s="1242"/>
    </row>
    <row r="2836" spans="1:9" s="606" customFormat="1" ht="18" customHeight="1">
      <c r="A2836" s="675"/>
      <c r="B2836" s="548" t="s">
        <v>2164</v>
      </c>
      <c r="C2836" s="404"/>
      <c r="D2836" s="405"/>
      <c r="E2836" s="405"/>
      <c r="F2836" s="405"/>
      <c r="G2836" s="67" t="str">
        <f t="shared" si="78"/>
        <v xml:space="preserve"> </v>
      </c>
      <c r="H2836" s="947" t="s">
        <v>1303</v>
      </c>
      <c r="I2836" s="1242"/>
    </row>
    <row r="2837" spans="1:9" s="606" customFormat="1" ht="18" customHeight="1">
      <c r="A2837" s="675"/>
      <c r="B2837" s="81" t="s">
        <v>1307</v>
      </c>
      <c r="C2837" s="404">
        <v>1</v>
      </c>
      <c r="D2837" s="405">
        <f>5.187-0.1-0.1</f>
        <v>4.987000000000001</v>
      </c>
      <c r="E2837" s="405">
        <f>1.73+1.2+1.73</f>
        <v>4.66</v>
      </c>
      <c r="F2837" s="405"/>
      <c r="G2837" s="67">
        <f t="shared" si="78"/>
        <v>23.24</v>
      </c>
      <c r="H2837" s="947" t="s">
        <v>1303</v>
      </c>
      <c r="I2837" s="1242"/>
    </row>
    <row r="2838" spans="1:9" s="606" customFormat="1" ht="18" customHeight="1">
      <c r="A2838" s="675"/>
      <c r="B2838" s="81" t="s">
        <v>1308</v>
      </c>
      <c r="C2838" s="404">
        <v>1</v>
      </c>
      <c r="D2838" s="405">
        <v>4.9870000000000001</v>
      </c>
      <c r="E2838" s="405">
        <v>4.66</v>
      </c>
      <c r="F2838" s="405"/>
      <c r="G2838" s="67">
        <f t="shared" si="78"/>
        <v>23.24</v>
      </c>
      <c r="H2838" s="947" t="s">
        <v>1303</v>
      </c>
      <c r="I2838" s="1242"/>
    </row>
    <row r="2839" spans="1:9" s="606" customFormat="1" ht="18" customHeight="1">
      <c r="A2839" s="675"/>
      <c r="B2839" s="81" t="s">
        <v>1309</v>
      </c>
      <c r="C2839" s="404">
        <v>1</v>
      </c>
      <c r="D2839" s="405">
        <f>2.298+4.6+3.825-0.1-0.1</f>
        <v>10.523</v>
      </c>
      <c r="E2839" s="405">
        <v>1.8</v>
      </c>
      <c r="F2839" s="405"/>
      <c r="G2839" s="67">
        <f t="shared" si="78"/>
        <v>18.940000000000001</v>
      </c>
      <c r="H2839" s="947" t="s">
        <v>1303</v>
      </c>
      <c r="I2839" s="1242"/>
    </row>
    <row r="2840" spans="1:9" s="606" customFormat="1" ht="18" customHeight="1">
      <c r="A2840" s="675"/>
      <c r="B2840" s="81" t="s">
        <v>1310</v>
      </c>
      <c r="C2840" s="404">
        <v>1</v>
      </c>
      <c r="D2840" s="405">
        <f>2.25-0.1</f>
        <v>2.15</v>
      </c>
      <c r="E2840" s="405">
        <f>2.298+4.6+0.125+0.1-0.1</f>
        <v>7.0229999999999997</v>
      </c>
      <c r="F2840" s="405"/>
      <c r="G2840" s="67">
        <f t="shared" si="78"/>
        <v>15.1</v>
      </c>
      <c r="H2840" s="947" t="s">
        <v>1303</v>
      </c>
      <c r="I2840" s="1242"/>
    </row>
    <row r="2841" spans="1:9" s="606" customFormat="1" ht="18" customHeight="1">
      <c r="A2841" s="675"/>
      <c r="B2841" s="548" t="s">
        <v>2158</v>
      </c>
      <c r="C2841" s="404"/>
      <c r="D2841" s="405"/>
      <c r="E2841" s="405"/>
      <c r="F2841" s="405"/>
      <c r="G2841" s="67" t="str">
        <f t="shared" si="78"/>
        <v xml:space="preserve"> </v>
      </c>
      <c r="H2841" s="947" t="s">
        <v>1303</v>
      </c>
      <c r="I2841" s="1242"/>
    </row>
    <row r="2842" spans="1:9" s="606" customFormat="1" ht="18" customHeight="1">
      <c r="A2842" s="675"/>
      <c r="B2842" s="81" t="s">
        <v>2159</v>
      </c>
      <c r="C2842" s="404">
        <v>1</v>
      </c>
      <c r="D2842" s="405">
        <f>5.187-0.1-0.1</f>
        <v>4.987000000000001</v>
      </c>
      <c r="E2842" s="405">
        <f>1.73+1.2+1.73</f>
        <v>4.66</v>
      </c>
      <c r="F2842" s="405"/>
      <c r="G2842" s="67">
        <f t="shared" si="78"/>
        <v>23.24</v>
      </c>
      <c r="H2842" s="947" t="s">
        <v>1303</v>
      </c>
      <c r="I2842" s="1242"/>
    </row>
    <row r="2843" spans="1:9" s="606" customFormat="1" ht="18" customHeight="1">
      <c r="A2843" s="675"/>
      <c r="B2843" s="81" t="s">
        <v>2160</v>
      </c>
      <c r="C2843" s="404">
        <v>1</v>
      </c>
      <c r="D2843" s="405">
        <v>4.9870000000000001</v>
      </c>
      <c r="E2843" s="405">
        <v>4.66</v>
      </c>
      <c r="F2843" s="405"/>
      <c r="G2843" s="67">
        <f t="shared" si="78"/>
        <v>23.24</v>
      </c>
      <c r="H2843" s="947" t="s">
        <v>1303</v>
      </c>
      <c r="I2843" s="1242"/>
    </row>
    <row r="2844" spans="1:9" s="606" customFormat="1" ht="18" customHeight="1">
      <c r="A2844" s="675"/>
      <c r="B2844" s="81" t="s">
        <v>2161</v>
      </c>
      <c r="C2844" s="404">
        <v>1</v>
      </c>
      <c r="D2844" s="405">
        <f>2.298+4.6+3.825-0.1-0.1</f>
        <v>10.523</v>
      </c>
      <c r="E2844" s="405">
        <v>1.8</v>
      </c>
      <c r="F2844" s="405"/>
      <c r="G2844" s="67">
        <f t="shared" si="78"/>
        <v>18.940000000000001</v>
      </c>
      <c r="H2844" s="947" t="s">
        <v>1303</v>
      </c>
      <c r="I2844" s="1242"/>
    </row>
    <row r="2845" spans="1:9" s="606" customFormat="1" ht="18" customHeight="1">
      <c r="A2845" s="675"/>
      <c r="B2845" s="81" t="s">
        <v>2162</v>
      </c>
      <c r="C2845" s="404">
        <v>1</v>
      </c>
      <c r="D2845" s="405">
        <f>2.25-0.1</f>
        <v>2.15</v>
      </c>
      <c r="E2845" s="405">
        <f>2.298+4.6+0.125+0.1-0.1</f>
        <v>7.0229999999999997</v>
      </c>
      <c r="F2845" s="405"/>
      <c r="G2845" s="67">
        <f t="shared" si="78"/>
        <v>15.1</v>
      </c>
      <c r="H2845" s="947" t="s">
        <v>1303</v>
      </c>
      <c r="I2845" s="1242"/>
    </row>
    <row r="2846" spans="1:9" s="606" customFormat="1" ht="18" customHeight="1">
      <c r="A2846" s="675"/>
      <c r="B2846" s="81"/>
      <c r="C2846" s="404"/>
      <c r="D2846" s="405"/>
      <c r="E2846" s="405"/>
      <c r="F2846" s="405"/>
      <c r="G2846" s="67" t="str">
        <f t="shared" si="78"/>
        <v xml:space="preserve"> </v>
      </c>
      <c r="H2846" s="946"/>
      <c r="I2846" s="1242"/>
    </row>
    <row r="2847" spans="1:9" ht="18" customHeight="1">
      <c r="A2847" s="641" t="s">
        <v>1306</v>
      </c>
      <c r="B2847" s="64" t="s">
        <v>1146</v>
      </c>
      <c r="C2847" s="70"/>
      <c r="D2847" s="68"/>
      <c r="E2847" s="68"/>
      <c r="F2847" s="68"/>
      <c r="G2847" s="67" t="str">
        <f t="shared" si="78"/>
        <v xml:space="preserve"> </v>
      </c>
      <c r="H2847" s="947"/>
    </row>
    <row r="2848" spans="1:9" s="78" customFormat="1" ht="18" customHeight="1">
      <c r="A2848" s="432"/>
      <c r="B2848" s="356" t="s">
        <v>1395</v>
      </c>
      <c r="C2848" s="76">
        <v>2</v>
      </c>
      <c r="D2848" s="572">
        <v>1.85</v>
      </c>
      <c r="E2848" s="567">
        <v>1.7</v>
      </c>
      <c r="F2848" s="68"/>
      <c r="G2848" s="67">
        <f t="shared" si="78"/>
        <v>6.29</v>
      </c>
      <c r="H2848" s="947" t="s">
        <v>1306</v>
      </c>
      <c r="I2848" s="1227"/>
    </row>
    <row r="2849" spans="1:10" ht="18" customHeight="1">
      <c r="A2849" s="128"/>
      <c r="B2849" s="64" t="s">
        <v>1147</v>
      </c>
      <c r="C2849" s="70"/>
      <c r="D2849" s="68"/>
      <c r="E2849" s="68"/>
      <c r="F2849" s="68"/>
      <c r="G2849" s="67" t="str">
        <f t="shared" si="78"/>
        <v xml:space="preserve"> </v>
      </c>
      <c r="H2849" s="947" t="s">
        <v>1306</v>
      </c>
    </row>
    <row r="2850" spans="1:10" s="78" customFormat="1" ht="18" customHeight="1">
      <c r="A2850" s="432"/>
      <c r="B2850" s="356" t="s">
        <v>1394</v>
      </c>
      <c r="C2850" s="76">
        <v>1</v>
      </c>
      <c r="D2850" s="572">
        <v>1.7</v>
      </c>
      <c r="E2850" s="567">
        <v>2.7</v>
      </c>
      <c r="F2850" s="68"/>
      <c r="G2850" s="67">
        <f t="shared" si="78"/>
        <v>4.59</v>
      </c>
      <c r="H2850" s="947" t="s">
        <v>1306</v>
      </c>
      <c r="I2850" s="1227"/>
    </row>
    <row r="2851" spans="1:10" s="78" customFormat="1" ht="18" customHeight="1">
      <c r="A2851" s="75"/>
      <c r="B2851" s="80" t="s">
        <v>939</v>
      </c>
      <c r="C2851" s="70"/>
      <c r="D2851" s="68"/>
      <c r="E2851" s="68"/>
      <c r="F2851" s="68"/>
      <c r="G2851" s="67" t="str">
        <f t="shared" si="78"/>
        <v xml:space="preserve"> </v>
      </c>
      <c r="H2851" s="930"/>
      <c r="I2851" s="1227"/>
    </row>
    <row r="2852" spans="1:10" ht="18" customHeight="1">
      <c r="A2852" s="354" t="s">
        <v>1442</v>
      </c>
      <c r="B2852" s="649" t="s">
        <v>1639</v>
      </c>
      <c r="C2852" s="647"/>
      <c r="D2852" s="648"/>
      <c r="E2852" s="648"/>
      <c r="F2852" s="648"/>
      <c r="G2852" s="67" t="str">
        <f t="shared" si="78"/>
        <v xml:space="preserve"> </v>
      </c>
      <c r="H2852" s="952"/>
      <c r="I2852" s="1133"/>
    </row>
    <row r="2853" spans="1:10" s="78" customFormat="1" ht="18" customHeight="1">
      <c r="A2853" s="432"/>
      <c r="B2853" s="650" t="s">
        <v>1641</v>
      </c>
      <c r="C2853" s="651"/>
      <c r="D2853" s="652"/>
      <c r="E2853" s="648"/>
      <c r="F2853" s="648"/>
      <c r="G2853" s="67" t="str">
        <f t="shared" si="78"/>
        <v xml:space="preserve"> </v>
      </c>
      <c r="H2853" s="953"/>
      <c r="I2853" s="1227"/>
    </row>
    <row r="2854" spans="1:10" ht="18" customHeight="1">
      <c r="A2854" s="128"/>
      <c r="B2854" s="646" t="s">
        <v>1640</v>
      </c>
      <c r="C2854" s="647">
        <f>1</f>
        <v>1</v>
      </c>
      <c r="D2854" s="648">
        <v>3</v>
      </c>
      <c r="E2854" s="648">
        <v>3</v>
      </c>
      <c r="F2854" s="648"/>
      <c r="G2854" s="67">
        <f t="shared" si="78"/>
        <v>9</v>
      </c>
      <c r="H2854" s="952"/>
      <c r="J2854" s="627"/>
    </row>
    <row r="2855" spans="1:10" ht="18" customHeight="1">
      <c r="A2855" s="354"/>
      <c r="B2855" s="63"/>
      <c r="C2855" s="70"/>
      <c r="D2855" s="68"/>
      <c r="E2855" s="68"/>
      <c r="F2855" s="68"/>
      <c r="G2855" s="68"/>
      <c r="H2855" s="929"/>
      <c r="I2855" s="1133"/>
    </row>
    <row r="2856" spans="1:10" s="686" customFormat="1" ht="18" customHeight="1">
      <c r="A2856" s="932"/>
      <c r="B2856" s="874" t="s">
        <v>2188</v>
      </c>
      <c r="C2856" s="875"/>
      <c r="D2856" s="874"/>
      <c r="E2856" s="874"/>
      <c r="F2856" s="874"/>
      <c r="G2856" s="842">
        <f>SUM(G2668:G2855)</f>
        <v>4475.1899999999969</v>
      </c>
      <c r="H2856" s="945" t="s">
        <v>10</v>
      </c>
      <c r="I2856" s="1247" t="s">
        <v>469</v>
      </c>
    </row>
    <row r="2857" spans="1:10" s="79" customFormat="1" ht="18" customHeight="1">
      <c r="A2857" s="934"/>
      <c r="B2857" s="566"/>
      <c r="C2857" s="565"/>
      <c r="D2857" s="254"/>
      <c r="E2857" s="254"/>
      <c r="F2857" s="254"/>
      <c r="G2857" s="566"/>
      <c r="H2857" s="935"/>
      <c r="I2857" s="1231"/>
    </row>
    <row r="2858" spans="1:10" ht="18" customHeight="1">
      <c r="A2858" s="380" t="s">
        <v>471</v>
      </c>
      <c r="B2858" s="387" t="s">
        <v>1642</v>
      </c>
      <c r="C2858" s="70"/>
      <c r="D2858" s="67"/>
      <c r="E2858" s="67"/>
      <c r="F2858" s="67"/>
      <c r="G2858" s="67"/>
      <c r="H2858" s="929"/>
    </row>
    <row r="2859" spans="1:10" s="606" customFormat="1" ht="18" customHeight="1">
      <c r="A2859" s="641" t="s">
        <v>1303</v>
      </c>
      <c r="B2859" s="548" t="s">
        <v>2165</v>
      </c>
      <c r="C2859" s="404"/>
      <c r="D2859" s="405"/>
      <c r="E2859" s="405"/>
      <c r="F2859" s="405"/>
      <c r="G2859" s="405">
        <f>PRODUCT(C2859:F2859)</f>
        <v>0</v>
      </c>
      <c r="H2859" s="946"/>
      <c r="I2859" s="1242"/>
    </row>
    <row r="2860" spans="1:10" s="606" customFormat="1" ht="18" customHeight="1">
      <c r="A2860" s="675"/>
      <c r="B2860" s="548" t="s">
        <v>2166</v>
      </c>
      <c r="C2860" s="404"/>
      <c r="D2860" s="405"/>
      <c r="E2860" s="405"/>
      <c r="F2860" s="405"/>
      <c r="G2860" s="405"/>
      <c r="H2860" s="946"/>
      <c r="I2860" s="1242"/>
    </row>
    <row r="2861" spans="1:10" s="606" customFormat="1" ht="18" customHeight="1">
      <c r="A2861" s="675"/>
      <c r="B2861" s="81" t="s">
        <v>1311</v>
      </c>
      <c r="C2861" s="404">
        <v>1</v>
      </c>
      <c r="D2861" s="405">
        <v>4.9870000000000001</v>
      </c>
      <c r="E2861" s="405">
        <v>2.4</v>
      </c>
      <c r="F2861" s="405"/>
      <c r="G2861" s="67">
        <f t="shared" ref="G2861:G2924" si="79">IF(C2861&lt;&gt;0,ROUND(PRODUCT(D2861:F2861)*C2861,2)," ")</f>
        <v>11.97</v>
      </c>
      <c r="H2861" s="946" t="s">
        <v>1303</v>
      </c>
      <c r="I2861" s="1242"/>
    </row>
    <row r="2862" spans="1:10" s="606" customFormat="1" ht="18" customHeight="1">
      <c r="A2862" s="675"/>
      <c r="B2862" s="81" t="s">
        <v>1312</v>
      </c>
      <c r="C2862" s="404">
        <v>1</v>
      </c>
      <c r="D2862" s="405">
        <v>4.9870000000000001</v>
      </c>
      <c r="E2862" s="405">
        <v>2.4</v>
      </c>
      <c r="F2862" s="405"/>
      <c r="G2862" s="67">
        <f t="shared" si="79"/>
        <v>11.97</v>
      </c>
      <c r="H2862" s="946" t="s">
        <v>1303</v>
      </c>
      <c r="I2862" s="1242"/>
    </row>
    <row r="2863" spans="1:10" s="606" customFormat="1" ht="18" customHeight="1">
      <c r="A2863" s="675"/>
      <c r="B2863" s="81" t="s">
        <v>1313</v>
      </c>
      <c r="C2863" s="404">
        <v>1</v>
      </c>
      <c r="D2863" s="405">
        <v>4.9870000000000001</v>
      </c>
      <c r="E2863" s="405">
        <v>2.4</v>
      </c>
      <c r="F2863" s="405"/>
      <c r="G2863" s="67">
        <f t="shared" si="79"/>
        <v>11.97</v>
      </c>
      <c r="H2863" s="946" t="s">
        <v>1303</v>
      </c>
      <c r="I2863" s="1242"/>
    </row>
    <row r="2864" spans="1:10" s="606" customFormat="1" ht="18" customHeight="1">
      <c r="A2864" s="675"/>
      <c r="B2864" s="81" t="s">
        <v>1314</v>
      </c>
      <c r="C2864" s="404">
        <v>1</v>
      </c>
      <c r="D2864" s="405">
        <v>4.9870000000000001</v>
      </c>
      <c r="E2864" s="405">
        <v>2.4</v>
      </c>
      <c r="F2864" s="405"/>
      <c r="G2864" s="67">
        <f t="shared" si="79"/>
        <v>11.97</v>
      </c>
      <c r="H2864" s="946" t="s">
        <v>1303</v>
      </c>
      <c r="I2864" s="1242"/>
    </row>
    <row r="2865" spans="1:9" s="606" customFormat="1" ht="18" customHeight="1">
      <c r="A2865" s="675"/>
      <c r="B2865" s="81" t="s">
        <v>1315</v>
      </c>
      <c r="C2865" s="404">
        <v>1</v>
      </c>
      <c r="D2865" s="405">
        <v>4.66</v>
      </c>
      <c r="E2865" s="405">
        <v>2.4</v>
      </c>
      <c r="F2865" s="405"/>
      <c r="G2865" s="67">
        <f t="shared" si="79"/>
        <v>11.18</v>
      </c>
      <c r="H2865" s="946" t="s">
        <v>1303</v>
      </c>
      <c r="I2865" s="1242"/>
    </row>
    <row r="2866" spans="1:9" s="606" customFormat="1" ht="18" customHeight="1">
      <c r="A2866" s="675"/>
      <c r="B2866" s="81" t="s">
        <v>2167</v>
      </c>
      <c r="C2866" s="404">
        <v>-1</v>
      </c>
      <c r="D2866" s="405">
        <v>1.8</v>
      </c>
      <c r="E2866" s="405">
        <v>2.1</v>
      </c>
      <c r="F2866" s="405"/>
      <c r="G2866" s="67">
        <f t="shared" si="79"/>
        <v>-3.78</v>
      </c>
      <c r="H2866" s="946" t="s">
        <v>1303</v>
      </c>
      <c r="I2866" s="1242"/>
    </row>
    <row r="2867" spans="1:9" s="606" customFormat="1" ht="18" customHeight="1">
      <c r="A2867" s="675"/>
      <c r="B2867" s="81" t="s">
        <v>1316</v>
      </c>
      <c r="C2867" s="404">
        <v>1</v>
      </c>
      <c r="D2867" s="405">
        <v>4.66</v>
      </c>
      <c r="E2867" s="405">
        <v>2.4</v>
      </c>
      <c r="F2867" s="405"/>
      <c r="G2867" s="67">
        <f t="shared" si="79"/>
        <v>11.18</v>
      </c>
      <c r="H2867" s="946" t="s">
        <v>1303</v>
      </c>
      <c r="I2867" s="1242"/>
    </row>
    <row r="2868" spans="1:9" s="606" customFormat="1" ht="18" customHeight="1">
      <c r="A2868" s="675"/>
      <c r="B2868" s="81" t="s">
        <v>2167</v>
      </c>
      <c r="C2868" s="404">
        <v>-1</v>
      </c>
      <c r="D2868" s="405">
        <v>1.8</v>
      </c>
      <c r="E2868" s="405">
        <v>2.1</v>
      </c>
      <c r="F2868" s="405"/>
      <c r="G2868" s="67">
        <f t="shared" si="79"/>
        <v>-3.78</v>
      </c>
      <c r="H2868" s="946" t="s">
        <v>1303</v>
      </c>
      <c r="I2868" s="1242"/>
    </row>
    <row r="2869" spans="1:9" s="606" customFormat="1" ht="18" customHeight="1">
      <c r="A2869" s="675"/>
      <c r="B2869" s="81" t="s">
        <v>1317</v>
      </c>
      <c r="C2869" s="404">
        <v>1</v>
      </c>
      <c r="D2869" s="405">
        <v>1.8</v>
      </c>
      <c r="E2869" s="405">
        <v>2.4</v>
      </c>
      <c r="F2869" s="405"/>
      <c r="G2869" s="67">
        <f t="shared" si="79"/>
        <v>4.32</v>
      </c>
      <c r="H2869" s="946" t="s">
        <v>1303</v>
      </c>
      <c r="I2869" s="1242"/>
    </row>
    <row r="2870" spans="1:9" s="606" customFormat="1" ht="18" customHeight="1">
      <c r="A2870" s="675"/>
      <c r="B2870" s="81" t="s">
        <v>1318</v>
      </c>
      <c r="C2870" s="404">
        <v>1</v>
      </c>
      <c r="D2870" s="405">
        <v>5.05</v>
      </c>
      <c r="E2870" s="405">
        <v>2.4</v>
      </c>
      <c r="F2870" s="405"/>
      <c r="G2870" s="67">
        <f t="shared" si="79"/>
        <v>12.12</v>
      </c>
      <c r="H2870" s="946" t="s">
        <v>1303</v>
      </c>
      <c r="I2870" s="1242"/>
    </row>
    <row r="2871" spans="1:9" s="606" customFormat="1" ht="18" customHeight="1">
      <c r="A2871" s="675"/>
      <c r="B2871" s="81" t="s">
        <v>1319</v>
      </c>
      <c r="C2871" s="404">
        <v>1</v>
      </c>
      <c r="D2871" s="405">
        <v>7.0250000000000004</v>
      </c>
      <c r="E2871" s="405">
        <v>2.4</v>
      </c>
      <c r="F2871" s="405"/>
      <c r="G2871" s="67">
        <f t="shared" si="79"/>
        <v>16.86</v>
      </c>
      <c r="H2871" s="946" t="s">
        <v>1303</v>
      </c>
      <c r="I2871" s="1242"/>
    </row>
    <row r="2872" spans="1:9" s="606" customFormat="1" ht="18" customHeight="1">
      <c r="A2872" s="675"/>
      <c r="B2872" s="81" t="s">
        <v>1320</v>
      </c>
      <c r="C2872" s="404">
        <v>1</v>
      </c>
      <c r="D2872" s="405">
        <f>4.125-0.1-0.1</f>
        <v>3.9250000000000003</v>
      </c>
      <c r="E2872" s="405">
        <v>2.4</v>
      </c>
      <c r="F2872" s="405"/>
      <c r="G2872" s="67">
        <f t="shared" si="79"/>
        <v>9.42</v>
      </c>
      <c r="H2872" s="946" t="s">
        <v>1303</v>
      </c>
      <c r="I2872" s="1242"/>
    </row>
    <row r="2873" spans="1:9" s="606" customFormat="1" ht="18" customHeight="1">
      <c r="A2873" s="675"/>
      <c r="B2873" s="548" t="s">
        <v>2168</v>
      </c>
      <c r="C2873" s="404"/>
      <c r="D2873" s="405"/>
      <c r="E2873" s="405"/>
      <c r="F2873" s="405"/>
      <c r="G2873" s="67" t="str">
        <f t="shared" si="79"/>
        <v xml:space="preserve"> </v>
      </c>
      <c r="H2873" s="946" t="s">
        <v>1303</v>
      </c>
      <c r="I2873" s="1242"/>
    </row>
    <row r="2874" spans="1:9" s="606" customFormat="1" ht="18" customHeight="1">
      <c r="A2874" s="675"/>
      <c r="B2874" s="81" t="s">
        <v>1311</v>
      </c>
      <c r="C2874" s="404">
        <v>1</v>
      </c>
      <c r="D2874" s="405">
        <v>4.9870000000000001</v>
      </c>
      <c r="E2874" s="405">
        <v>2.4</v>
      </c>
      <c r="F2874" s="405"/>
      <c r="G2874" s="67">
        <f t="shared" si="79"/>
        <v>11.97</v>
      </c>
      <c r="H2874" s="946" t="s">
        <v>1303</v>
      </c>
      <c r="I2874" s="1242"/>
    </row>
    <row r="2875" spans="1:9" s="606" customFormat="1" ht="18" customHeight="1">
      <c r="A2875" s="675"/>
      <c r="B2875" s="81" t="s">
        <v>1312</v>
      </c>
      <c r="C2875" s="404">
        <v>1</v>
      </c>
      <c r="D2875" s="405">
        <v>4.9870000000000001</v>
      </c>
      <c r="E2875" s="405">
        <v>2.4</v>
      </c>
      <c r="F2875" s="405"/>
      <c r="G2875" s="67">
        <f t="shared" si="79"/>
        <v>11.97</v>
      </c>
      <c r="H2875" s="946" t="s">
        <v>1303</v>
      </c>
      <c r="I2875" s="1242"/>
    </row>
    <row r="2876" spans="1:9" s="606" customFormat="1" ht="18" customHeight="1">
      <c r="A2876" s="675"/>
      <c r="B2876" s="81" t="s">
        <v>1313</v>
      </c>
      <c r="C2876" s="404">
        <v>1</v>
      </c>
      <c r="D2876" s="405">
        <v>4.9870000000000001</v>
      </c>
      <c r="E2876" s="405">
        <v>2.4</v>
      </c>
      <c r="F2876" s="405"/>
      <c r="G2876" s="67">
        <f t="shared" si="79"/>
        <v>11.97</v>
      </c>
      <c r="H2876" s="946" t="s">
        <v>1303</v>
      </c>
      <c r="I2876" s="1242"/>
    </row>
    <row r="2877" spans="1:9" s="606" customFormat="1" ht="18" customHeight="1">
      <c r="A2877" s="675"/>
      <c r="B2877" s="81" t="s">
        <v>1314</v>
      </c>
      <c r="C2877" s="404">
        <v>1</v>
      </c>
      <c r="D2877" s="405">
        <v>4.9870000000000001</v>
      </c>
      <c r="E2877" s="405">
        <v>2.4</v>
      </c>
      <c r="F2877" s="405"/>
      <c r="G2877" s="67">
        <f t="shared" si="79"/>
        <v>11.97</v>
      </c>
      <c r="H2877" s="946" t="s">
        <v>1303</v>
      </c>
      <c r="I2877" s="1242"/>
    </row>
    <row r="2878" spans="1:9" s="606" customFormat="1" ht="18" customHeight="1">
      <c r="A2878" s="675"/>
      <c r="B2878" s="81" t="s">
        <v>1315</v>
      </c>
      <c r="C2878" s="404">
        <v>1</v>
      </c>
      <c r="D2878" s="405">
        <v>4.66</v>
      </c>
      <c r="E2878" s="405">
        <v>2.4</v>
      </c>
      <c r="F2878" s="405"/>
      <c r="G2878" s="67">
        <f t="shared" si="79"/>
        <v>11.18</v>
      </c>
      <c r="H2878" s="946" t="s">
        <v>1303</v>
      </c>
      <c r="I2878" s="1242"/>
    </row>
    <row r="2879" spans="1:9" s="606" customFormat="1" ht="18" customHeight="1">
      <c r="A2879" s="675"/>
      <c r="B2879" s="81" t="s">
        <v>2167</v>
      </c>
      <c r="C2879" s="404">
        <v>-1</v>
      </c>
      <c r="D2879" s="405">
        <v>1.8</v>
      </c>
      <c r="E2879" s="405">
        <v>2.1</v>
      </c>
      <c r="F2879" s="405"/>
      <c r="G2879" s="67">
        <f t="shared" si="79"/>
        <v>-3.78</v>
      </c>
      <c r="H2879" s="946" t="s">
        <v>1303</v>
      </c>
      <c r="I2879" s="1242"/>
    </row>
    <row r="2880" spans="1:9" s="606" customFormat="1" ht="18" customHeight="1">
      <c r="A2880" s="675"/>
      <c r="B2880" s="81" t="s">
        <v>1316</v>
      </c>
      <c r="C2880" s="404">
        <v>1</v>
      </c>
      <c r="D2880" s="405">
        <v>4.66</v>
      </c>
      <c r="E2880" s="405">
        <v>2.4</v>
      </c>
      <c r="F2880" s="405"/>
      <c r="G2880" s="67">
        <f t="shared" si="79"/>
        <v>11.18</v>
      </c>
      <c r="H2880" s="946" t="s">
        <v>1303</v>
      </c>
      <c r="I2880" s="1242"/>
    </row>
    <row r="2881" spans="1:9" s="606" customFormat="1" ht="18" customHeight="1">
      <c r="A2881" s="675"/>
      <c r="B2881" s="81" t="s">
        <v>2167</v>
      </c>
      <c r="C2881" s="404">
        <v>-1</v>
      </c>
      <c r="D2881" s="405">
        <v>1.8</v>
      </c>
      <c r="E2881" s="405">
        <v>2.1</v>
      </c>
      <c r="F2881" s="405"/>
      <c r="G2881" s="67">
        <f t="shared" si="79"/>
        <v>-3.78</v>
      </c>
      <c r="H2881" s="946" t="s">
        <v>1303</v>
      </c>
      <c r="I2881" s="1242"/>
    </row>
    <row r="2882" spans="1:9" s="606" customFormat="1" ht="18" customHeight="1">
      <c r="A2882" s="675"/>
      <c r="B2882" s="81" t="s">
        <v>1317</v>
      </c>
      <c r="C2882" s="404">
        <v>1</v>
      </c>
      <c r="D2882" s="405">
        <v>1.8</v>
      </c>
      <c r="E2882" s="405">
        <v>2.4</v>
      </c>
      <c r="F2882" s="405"/>
      <c r="G2882" s="67">
        <f t="shared" si="79"/>
        <v>4.32</v>
      </c>
      <c r="H2882" s="946" t="s">
        <v>1303</v>
      </c>
      <c r="I2882" s="1242"/>
    </row>
    <row r="2883" spans="1:9" s="606" customFormat="1" ht="18" customHeight="1">
      <c r="A2883" s="675"/>
      <c r="B2883" s="81" t="s">
        <v>1318</v>
      </c>
      <c r="C2883" s="404">
        <v>1</v>
      </c>
      <c r="D2883" s="405">
        <v>5.05</v>
      </c>
      <c r="E2883" s="405">
        <v>2.4</v>
      </c>
      <c r="F2883" s="405"/>
      <c r="G2883" s="67">
        <f t="shared" si="79"/>
        <v>12.12</v>
      </c>
      <c r="H2883" s="946" t="s">
        <v>1303</v>
      </c>
      <c r="I2883" s="1242"/>
    </row>
    <row r="2884" spans="1:9" s="606" customFormat="1" ht="18" customHeight="1">
      <c r="A2884" s="675"/>
      <c r="B2884" s="81" t="s">
        <v>1319</v>
      </c>
      <c r="C2884" s="404">
        <v>1</v>
      </c>
      <c r="D2884" s="405">
        <v>7.0250000000000004</v>
      </c>
      <c r="E2884" s="405">
        <v>2.4</v>
      </c>
      <c r="F2884" s="405"/>
      <c r="G2884" s="67">
        <f t="shared" si="79"/>
        <v>16.86</v>
      </c>
      <c r="H2884" s="946" t="s">
        <v>1303</v>
      </c>
      <c r="I2884" s="1242"/>
    </row>
    <row r="2885" spans="1:9" s="606" customFormat="1" ht="18" customHeight="1">
      <c r="A2885" s="675"/>
      <c r="B2885" s="81" t="s">
        <v>1320</v>
      </c>
      <c r="C2885" s="404">
        <v>1</v>
      </c>
      <c r="D2885" s="405">
        <f>4.125-0.1-0.1</f>
        <v>3.9250000000000003</v>
      </c>
      <c r="E2885" s="405">
        <v>2.4</v>
      </c>
      <c r="F2885" s="405"/>
      <c r="G2885" s="67">
        <f t="shared" si="79"/>
        <v>9.42</v>
      </c>
      <c r="H2885" s="946" t="s">
        <v>1303</v>
      </c>
      <c r="I2885" s="1242"/>
    </row>
    <row r="2886" spans="1:9" s="606" customFormat="1" ht="18" customHeight="1">
      <c r="A2886" s="675"/>
      <c r="B2886" s="548" t="s">
        <v>2169</v>
      </c>
      <c r="C2886" s="404"/>
      <c r="D2886" s="405"/>
      <c r="E2886" s="405"/>
      <c r="F2886" s="405"/>
      <c r="G2886" s="67" t="str">
        <f t="shared" si="79"/>
        <v xml:space="preserve"> </v>
      </c>
      <c r="H2886" s="946" t="s">
        <v>1303</v>
      </c>
      <c r="I2886" s="1242"/>
    </row>
    <row r="2887" spans="1:9" s="606" customFormat="1" ht="18" customHeight="1">
      <c r="A2887" s="675"/>
      <c r="B2887" s="81" t="s">
        <v>1311</v>
      </c>
      <c r="C2887" s="404">
        <v>1</v>
      </c>
      <c r="D2887" s="405">
        <v>4.9870000000000001</v>
      </c>
      <c r="E2887" s="405">
        <v>2.4</v>
      </c>
      <c r="F2887" s="405"/>
      <c r="G2887" s="67">
        <f t="shared" si="79"/>
        <v>11.97</v>
      </c>
      <c r="H2887" s="946" t="s">
        <v>1303</v>
      </c>
      <c r="I2887" s="1242"/>
    </row>
    <row r="2888" spans="1:9" s="606" customFormat="1" ht="18" customHeight="1">
      <c r="A2888" s="675"/>
      <c r="B2888" s="81" t="s">
        <v>1312</v>
      </c>
      <c r="C2888" s="404">
        <v>1</v>
      </c>
      <c r="D2888" s="405">
        <v>4.9870000000000001</v>
      </c>
      <c r="E2888" s="405">
        <v>2.4</v>
      </c>
      <c r="F2888" s="405"/>
      <c r="G2888" s="67">
        <f t="shared" si="79"/>
        <v>11.97</v>
      </c>
      <c r="H2888" s="946" t="s">
        <v>1303</v>
      </c>
      <c r="I2888" s="1242"/>
    </row>
    <row r="2889" spans="1:9" s="606" customFormat="1" ht="18" customHeight="1">
      <c r="A2889" s="675"/>
      <c r="B2889" s="81" t="s">
        <v>1313</v>
      </c>
      <c r="C2889" s="404">
        <v>1</v>
      </c>
      <c r="D2889" s="405">
        <v>4.9870000000000001</v>
      </c>
      <c r="E2889" s="405">
        <v>2.4</v>
      </c>
      <c r="F2889" s="405"/>
      <c r="G2889" s="67">
        <f t="shared" si="79"/>
        <v>11.97</v>
      </c>
      <c r="H2889" s="946" t="s">
        <v>1303</v>
      </c>
      <c r="I2889" s="1242"/>
    </row>
    <row r="2890" spans="1:9" s="606" customFormat="1" ht="18" customHeight="1">
      <c r="A2890" s="675"/>
      <c r="B2890" s="81" t="s">
        <v>1314</v>
      </c>
      <c r="C2890" s="404">
        <v>1</v>
      </c>
      <c r="D2890" s="405">
        <v>4.9870000000000001</v>
      </c>
      <c r="E2890" s="405">
        <v>2.4</v>
      </c>
      <c r="F2890" s="405"/>
      <c r="G2890" s="67">
        <f t="shared" si="79"/>
        <v>11.97</v>
      </c>
      <c r="H2890" s="946" t="s">
        <v>1303</v>
      </c>
      <c r="I2890" s="1242"/>
    </row>
    <row r="2891" spans="1:9" s="606" customFormat="1" ht="18" customHeight="1">
      <c r="A2891" s="675"/>
      <c r="B2891" s="81" t="s">
        <v>1315</v>
      </c>
      <c r="C2891" s="404">
        <v>1</v>
      </c>
      <c r="D2891" s="405">
        <v>4.66</v>
      </c>
      <c r="E2891" s="405">
        <v>2.4</v>
      </c>
      <c r="F2891" s="405"/>
      <c r="G2891" s="67">
        <f t="shared" si="79"/>
        <v>11.18</v>
      </c>
      <c r="H2891" s="946" t="s">
        <v>1303</v>
      </c>
      <c r="I2891" s="1242"/>
    </row>
    <row r="2892" spans="1:9" s="606" customFormat="1" ht="18" customHeight="1">
      <c r="A2892" s="675"/>
      <c r="B2892" s="81" t="s">
        <v>2167</v>
      </c>
      <c r="C2892" s="404">
        <v>-1</v>
      </c>
      <c r="D2892" s="405">
        <v>1.8</v>
      </c>
      <c r="E2892" s="405">
        <v>2.1</v>
      </c>
      <c r="F2892" s="405"/>
      <c r="G2892" s="67">
        <f t="shared" si="79"/>
        <v>-3.78</v>
      </c>
      <c r="H2892" s="946" t="s">
        <v>1303</v>
      </c>
      <c r="I2892" s="1242"/>
    </row>
    <row r="2893" spans="1:9" s="606" customFormat="1" ht="18" customHeight="1">
      <c r="A2893" s="675"/>
      <c r="B2893" s="81" t="s">
        <v>1316</v>
      </c>
      <c r="C2893" s="404">
        <v>1</v>
      </c>
      <c r="D2893" s="405">
        <v>4.66</v>
      </c>
      <c r="E2893" s="405">
        <v>2.4</v>
      </c>
      <c r="F2893" s="405"/>
      <c r="G2893" s="67">
        <f t="shared" si="79"/>
        <v>11.18</v>
      </c>
      <c r="H2893" s="946" t="s">
        <v>1303</v>
      </c>
      <c r="I2893" s="1242"/>
    </row>
    <row r="2894" spans="1:9" s="606" customFormat="1" ht="18" customHeight="1">
      <c r="A2894" s="675"/>
      <c r="B2894" s="81" t="s">
        <v>2167</v>
      </c>
      <c r="C2894" s="404">
        <v>-1</v>
      </c>
      <c r="D2894" s="405">
        <v>1.8</v>
      </c>
      <c r="E2894" s="405">
        <v>2.1</v>
      </c>
      <c r="F2894" s="405"/>
      <c r="G2894" s="67">
        <f t="shared" si="79"/>
        <v>-3.78</v>
      </c>
      <c r="H2894" s="946" t="s">
        <v>1303</v>
      </c>
      <c r="I2894" s="1242"/>
    </row>
    <row r="2895" spans="1:9" s="606" customFormat="1" ht="18" customHeight="1">
      <c r="A2895" s="675"/>
      <c r="B2895" s="81" t="s">
        <v>1317</v>
      </c>
      <c r="C2895" s="404">
        <v>1</v>
      </c>
      <c r="D2895" s="405">
        <v>1.8</v>
      </c>
      <c r="E2895" s="405">
        <v>2.4</v>
      </c>
      <c r="F2895" s="405"/>
      <c r="G2895" s="67">
        <f t="shared" si="79"/>
        <v>4.32</v>
      </c>
      <c r="H2895" s="946" t="s">
        <v>1303</v>
      </c>
      <c r="I2895" s="1242"/>
    </row>
    <row r="2896" spans="1:9" s="606" customFormat="1" ht="18" customHeight="1">
      <c r="A2896" s="675"/>
      <c r="B2896" s="81" t="s">
        <v>1318</v>
      </c>
      <c r="C2896" s="404">
        <v>1</v>
      </c>
      <c r="D2896" s="405">
        <v>5.05</v>
      </c>
      <c r="E2896" s="405">
        <v>2.4</v>
      </c>
      <c r="F2896" s="405"/>
      <c r="G2896" s="67">
        <f t="shared" si="79"/>
        <v>12.12</v>
      </c>
      <c r="H2896" s="946" t="s">
        <v>1303</v>
      </c>
      <c r="I2896" s="1242"/>
    </row>
    <row r="2897" spans="1:9" s="606" customFormat="1" ht="18" customHeight="1">
      <c r="A2897" s="675"/>
      <c r="B2897" s="81" t="s">
        <v>1319</v>
      </c>
      <c r="C2897" s="404">
        <v>1</v>
      </c>
      <c r="D2897" s="405">
        <v>7.0250000000000004</v>
      </c>
      <c r="E2897" s="405">
        <v>2.4</v>
      </c>
      <c r="F2897" s="405"/>
      <c r="G2897" s="67">
        <f t="shared" si="79"/>
        <v>16.86</v>
      </c>
      <c r="H2897" s="946" t="s">
        <v>1303</v>
      </c>
      <c r="I2897" s="1242"/>
    </row>
    <row r="2898" spans="1:9" s="606" customFormat="1" ht="18" customHeight="1">
      <c r="A2898" s="675"/>
      <c r="B2898" s="81" t="s">
        <v>1320</v>
      </c>
      <c r="C2898" s="404">
        <v>1</v>
      </c>
      <c r="D2898" s="405">
        <f>4.125-0.1-0.1</f>
        <v>3.9250000000000003</v>
      </c>
      <c r="E2898" s="405">
        <v>2.4</v>
      </c>
      <c r="F2898" s="405"/>
      <c r="G2898" s="67">
        <f t="shared" si="79"/>
        <v>9.42</v>
      </c>
      <c r="H2898" s="946" t="s">
        <v>1303</v>
      </c>
      <c r="I2898" s="1242"/>
    </row>
    <row r="2899" spans="1:9" s="606" customFormat="1" ht="18" customHeight="1">
      <c r="A2899" s="675"/>
      <c r="B2899" s="548" t="s">
        <v>2168</v>
      </c>
      <c r="C2899" s="404"/>
      <c r="D2899" s="405"/>
      <c r="E2899" s="405"/>
      <c r="F2899" s="405"/>
      <c r="G2899" s="67" t="str">
        <f t="shared" si="79"/>
        <v xml:space="preserve"> </v>
      </c>
      <c r="H2899" s="946" t="s">
        <v>1303</v>
      </c>
      <c r="I2899" s="1242"/>
    </row>
    <row r="2900" spans="1:9" s="606" customFormat="1" ht="18" customHeight="1">
      <c r="A2900" s="675"/>
      <c r="B2900" s="81" t="s">
        <v>1311</v>
      </c>
      <c r="C2900" s="404">
        <v>1</v>
      </c>
      <c r="D2900" s="405">
        <v>4.9870000000000001</v>
      </c>
      <c r="E2900" s="405">
        <v>2.4</v>
      </c>
      <c r="F2900" s="405"/>
      <c r="G2900" s="67">
        <f t="shared" si="79"/>
        <v>11.97</v>
      </c>
      <c r="H2900" s="946" t="s">
        <v>1303</v>
      </c>
      <c r="I2900" s="1242"/>
    </row>
    <row r="2901" spans="1:9" s="606" customFormat="1" ht="18" customHeight="1">
      <c r="A2901" s="675"/>
      <c r="B2901" s="81" t="s">
        <v>1312</v>
      </c>
      <c r="C2901" s="404">
        <v>1</v>
      </c>
      <c r="D2901" s="405">
        <v>4.9870000000000001</v>
      </c>
      <c r="E2901" s="405">
        <v>2.4</v>
      </c>
      <c r="F2901" s="405"/>
      <c r="G2901" s="67">
        <f t="shared" si="79"/>
        <v>11.97</v>
      </c>
      <c r="H2901" s="946" t="s">
        <v>1303</v>
      </c>
      <c r="I2901" s="1242"/>
    </row>
    <row r="2902" spans="1:9" s="606" customFormat="1" ht="18" customHeight="1">
      <c r="A2902" s="675"/>
      <c r="B2902" s="81" t="s">
        <v>1313</v>
      </c>
      <c r="C2902" s="404">
        <v>1</v>
      </c>
      <c r="D2902" s="405">
        <v>4.9870000000000001</v>
      </c>
      <c r="E2902" s="405">
        <v>2.4</v>
      </c>
      <c r="F2902" s="405"/>
      <c r="G2902" s="67">
        <f t="shared" si="79"/>
        <v>11.97</v>
      </c>
      <c r="H2902" s="946" t="s">
        <v>1303</v>
      </c>
      <c r="I2902" s="1242"/>
    </row>
    <row r="2903" spans="1:9" s="606" customFormat="1" ht="18" customHeight="1">
      <c r="A2903" s="675"/>
      <c r="B2903" s="81" t="s">
        <v>1314</v>
      </c>
      <c r="C2903" s="404">
        <v>1</v>
      </c>
      <c r="D2903" s="405">
        <v>4.9870000000000001</v>
      </c>
      <c r="E2903" s="405">
        <v>2.4</v>
      </c>
      <c r="F2903" s="405"/>
      <c r="G2903" s="67">
        <f t="shared" si="79"/>
        <v>11.97</v>
      </c>
      <c r="H2903" s="946" t="s">
        <v>1303</v>
      </c>
      <c r="I2903" s="1242"/>
    </row>
    <row r="2904" spans="1:9" s="606" customFormat="1" ht="18" customHeight="1">
      <c r="A2904" s="675"/>
      <c r="B2904" s="81" t="s">
        <v>1315</v>
      </c>
      <c r="C2904" s="404">
        <v>1</v>
      </c>
      <c r="D2904" s="405">
        <v>4.66</v>
      </c>
      <c r="E2904" s="405">
        <v>2.4</v>
      </c>
      <c r="F2904" s="405"/>
      <c r="G2904" s="67">
        <f t="shared" si="79"/>
        <v>11.18</v>
      </c>
      <c r="H2904" s="946" t="s">
        <v>1303</v>
      </c>
      <c r="I2904" s="1242"/>
    </row>
    <row r="2905" spans="1:9" s="606" customFormat="1" ht="18" customHeight="1">
      <c r="A2905" s="675"/>
      <c r="B2905" s="81" t="s">
        <v>2167</v>
      </c>
      <c r="C2905" s="404">
        <v>-1</v>
      </c>
      <c r="D2905" s="405">
        <v>1.8</v>
      </c>
      <c r="E2905" s="405">
        <v>2.1</v>
      </c>
      <c r="F2905" s="405"/>
      <c r="G2905" s="67">
        <f t="shared" si="79"/>
        <v>-3.78</v>
      </c>
      <c r="H2905" s="946" t="s">
        <v>1303</v>
      </c>
      <c r="I2905" s="1242"/>
    </row>
    <row r="2906" spans="1:9" s="606" customFormat="1" ht="18" customHeight="1">
      <c r="A2906" s="675"/>
      <c r="B2906" s="81" t="s">
        <v>1316</v>
      </c>
      <c r="C2906" s="404">
        <v>1</v>
      </c>
      <c r="D2906" s="405">
        <v>4.66</v>
      </c>
      <c r="E2906" s="405">
        <v>2.4</v>
      </c>
      <c r="F2906" s="405"/>
      <c r="G2906" s="67">
        <f t="shared" si="79"/>
        <v>11.18</v>
      </c>
      <c r="H2906" s="946" t="s">
        <v>1303</v>
      </c>
      <c r="I2906" s="1242"/>
    </row>
    <row r="2907" spans="1:9" s="606" customFormat="1" ht="18" customHeight="1">
      <c r="A2907" s="675"/>
      <c r="B2907" s="81" t="s">
        <v>2167</v>
      </c>
      <c r="C2907" s="404">
        <v>-1</v>
      </c>
      <c r="D2907" s="405">
        <v>1.8</v>
      </c>
      <c r="E2907" s="405">
        <v>2.1</v>
      </c>
      <c r="F2907" s="405"/>
      <c r="G2907" s="67">
        <f t="shared" si="79"/>
        <v>-3.78</v>
      </c>
      <c r="H2907" s="946" t="s">
        <v>1303</v>
      </c>
      <c r="I2907" s="1242"/>
    </row>
    <row r="2908" spans="1:9" s="606" customFormat="1" ht="18" customHeight="1">
      <c r="A2908" s="675"/>
      <c r="B2908" s="81" t="s">
        <v>1317</v>
      </c>
      <c r="C2908" s="404">
        <v>1</v>
      </c>
      <c r="D2908" s="405">
        <v>1.8</v>
      </c>
      <c r="E2908" s="405">
        <v>2.4</v>
      </c>
      <c r="F2908" s="405"/>
      <c r="G2908" s="67">
        <f t="shared" si="79"/>
        <v>4.32</v>
      </c>
      <c r="H2908" s="946" t="s">
        <v>1303</v>
      </c>
      <c r="I2908" s="1242"/>
    </row>
    <row r="2909" spans="1:9" s="606" customFormat="1" ht="18" customHeight="1">
      <c r="A2909" s="675"/>
      <c r="B2909" s="81" t="s">
        <v>1318</v>
      </c>
      <c r="C2909" s="404">
        <v>1</v>
      </c>
      <c r="D2909" s="405">
        <v>5.05</v>
      </c>
      <c r="E2909" s="405">
        <v>2.4</v>
      </c>
      <c r="F2909" s="405"/>
      <c r="G2909" s="67">
        <f t="shared" si="79"/>
        <v>12.12</v>
      </c>
      <c r="H2909" s="946" t="s">
        <v>1303</v>
      </c>
      <c r="I2909" s="1242"/>
    </row>
    <row r="2910" spans="1:9" s="606" customFormat="1" ht="18" customHeight="1">
      <c r="A2910" s="675"/>
      <c r="B2910" s="81" t="s">
        <v>1319</v>
      </c>
      <c r="C2910" s="404">
        <v>1</v>
      </c>
      <c r="D2910" s="405">
        <v>7.0250000000000004</v>
      </c>
      <c r="E2910" s="405">
        <v>2.4</v>
      </c>
      <c r="F2910" s="405"/>
      <c r="G2910" s="67">
        <f t="shared" si="79"/>
        <v>16.86</v>
      </c>
      <c r="H2910" s="946" t="s">
        <v>1303</v>
      </c>
      <c r="I2910" s="1242"/>
    </row>
    <row r="2911" spans="1:9" s="606" customFormat="1" ht="18" customHeight="1">
      <c r="A2911" s="675"/>
      <c r="B2911" s="81" t="s">
        <v>1320</v>
      </c>
      <c r="C2911" s="404">
        <v>1</v>
      </c>
      <c r="D2911" s="405">
        <f>4.125-0.1-0.1</f>
        <v>3.9250000000000003</v>
      </c>
      <c r="E2911" s="405">
        <v>2.4</v>
      </c>
      <c r="F2911" s="405"/>
      <c r="G2911" s="67">
        <f t="shared" si="79"/>
        <v>9.42</v>
      </c>
      <c r="H2911" s="946" t="s">
        <v>1303</v>
      </c>
      <c r="I2911" s="1242"/>
    </row>
    <row r="2912" spans="1:9" s="606" customFormat="1" ht="18" customHeight="1">
      <c r="A2912" s="675"/>
      <c r="B2912" s="548" t="s">
        <v>2170</v>
      </c>
      <c r="C2912" s="404"/>
      <c r="D2912" s="405"/>
      <c r="E2912" s="405"/>
      <c r="F2912" s="405"/>
      <c r="G2912" s="67" t="str">
        <f t="shared" si="79"/>
        <v xml:space="preserve"> </v>
      </c>
      <c r="H2912" s="946" t="s">
        <v>1303</v>
      </c>
      <c r="I2912" s="1242"/>
    </row>
    <row r="2913" spans="1:9" s="606" customFormat="1" ht="18" customHeight="1">
      <c r="A2913" s="675"/>
      <c r="B2913" s="81" t="s">
        <v>1311</v>
      </c>
      <c r="C2913" s="404">
        <v>1</v>
      </c>
      <c r="D2913" s="405">
        <v>4.9870000000000001</v>
      </c>
      <c r="E2913" s="405">
        <v>2.4</v>
      </c>
      <c r="F2913" s="405"/>
      <c r="G2913" s="67">
        <f t="shared" si="79"/>
        <v>11.97</v>
      </c>
      <c r="H2913" s="946" t="s">
        <v>1303</v>
      </c>
      <c r="I2913" s="1242"/>
    </row>
    <row r="2914" spans="1:9" s="606" customFormat="1" ht="18" customHeight="1">
      <c r="A2914" s="675"/>
      <c r="B2914" s="81" t="s">
        <v>1312</v>
      </c>
      <c r="C2914" s="404">
        <v>1</v>
      </c>
      <c r="D2914" s="405">
        <v>4.9870000000000001</v>
      </c>
      <c r="E2914" s="405">
        <v>2.4</v>
      </c>
      <c r="F2914" s="405"/>
      <c r="G2914" s="67">
        <f t="shared" si="79"/>
        <v>11.97</v>
      </c>
      <c r="H2914" s="946" t="s">
        <v>1303</v>
      </c>
      <c r="I2914" s="1242"/>
    </row>
    <row r="2915" spans="1:9" s="606" customFormat="1" ht="18" customHeight="1">
      <c r="A2915" s="675"/>
      <c r="B2915" s="81" t="s">
        <v>1313</v>
      </c>
      <c r="C2915" s="404">
        <v>1</v>
      </c>
      <c r="D2915" s="405">
        <v>4.9870000000000001</v>
      </c>
      <c r="E2915" s="405">
        <v>2.4</v>
      </c>
      <c r="F2915" s="405"/>
      <c r="G2915" s="67">
        <f t="shared" si="79"/>
        <v>11.97</v>
      </c>
      <c r="H2915" s="946" t="s">
        <v>1303</v>
      </c>
      <c r="I2915" s="1242"/>
    </row>
    <row r="2916" spans="1:9" s="606" customFormat="1" ht="18" customHeight="1">
      <c r="A2916" s="675"/>
      <c r="B2916" s="81" t="s">
        <v>1314</v>
      </c>
      <c r="C2916" s="404">
        <v>1</v>
      </c>
      <c r="D2916" s="405">
        <v>4.9870000000000001</v>
      </c>
      <c r="E2916" s="405">
        <v>2.4</v>
      </c>
      <c r="F2916" s="405"/>
      <c r="G2916" s="67">
        <f t="shared" si="79"/>
        <v>11.97</v>
      </c>
      <c r="H2916" s="946" t="s">
        <v>1303</v>
      </c>
      <c r="I2916" s="1242"/>
    </row>
    <row r="2917" spans="1:9" s="606" customFormat="1" ht="18" customHeight="1">
      <c r="A2917" s="675"/>
      <c r="B2917" s="81" t="s">
        <v>1315</v>
      </c>
      <c r="C2917" s="404">
        <v>1</v>
      </c>
      <c r="D2917" s="405">
        <v>4.66</v>
      </c>
      <c r="E2917" s="405">
        <v>2.4</v>
      </c>
      <c r="F2917" s="405"/>
      <c r="G2917" s="67">
        <f t="shared" si="79"/>
        <v>11.18</v>
      </c>
      <c r="H2917" s="946" t="s">
        <v>1303</v>
      </c>
      <c r="I2917" s="1242"/>
    </row>
    <row r="2918" spans="1:9" s="606" customFormat="1" ht="18" customHeight="1">
      <c r="A2918" s="675"/>
      <c r="B2918" s="81" t="s">
        <v>2167</v>
      </c>
      <c r="C2918" s="404">
        <v>-1</v>
      </c>
      <c r="D2918" s="405">
        <v>1.8</v>
      </c>
      <c r="E2918" s="405">
        <v>2.1</v>
      </c>
      <c r="F2918" s="405"/>
      <c r="G2918" s="67">
        <f t="shared" si="79"/>
        <v>-3.78</v>
      </c>
      <c r="H2918" s="946" t="s">
        <v>1303</v>
      </c>
      <c r="I2918" s="1242"/>
    </row>
    <row r="2919" spans="1:9" s="606" customFormat="1" ht="18" customHeight="1">
      <c r="A2919" s="675"/>
      <c r="B2919" s="81" t="s">
        <v>1316</v>
      </c>
      <c r="C2919" s="404">
        <v>1</v>
      </c>
      <c r="D2919" s="405">
        <v>4.66</v>
      </c>
      <c r="E2919" s="405">
        <v>2.4</v>
      </c>
      <c r="F2919" s="405"/>
      <c r="G2919" s="67">
        <f t="shared" si="79"/>
        <v>11.18</v>
      </c>
      <c r="H2919" s="946" t="s">
        <v>1303</v>
      </c>
      <c r="I2919" s="1242"/>
    </row>
    <row r="2920" spans="1:9" s="606" customFormat="1" ht="18" customHeight="1">
      <c r="A2920" s="675"/>
      <c r="B2920" s="81" t="s">
        <v>2167</v>
      </c>
      <c r="C2920" s="404">
        <v>-1</v>
      </c>
      <c r="D2920" s="405">
        <v>1.8</v>
      </c>
      <c r="E2920" s="405">
        <v>2.1</v>
      </c>
      <c r="F2920" s="405"/>
      <c r="G2920" s="67">
        <f t="shared" si="79"/>
        <v>-3.78</v>
      </c>
      <c r="H2920" s="946" t="s">
        <v>1303</v>
      </c>
      <c r="I2920" s="1242"/>
    </row>
    <row r="2921" spans="1:9" s="606" customFormat="1" ht="18" customHeight="1">
      <c r="A2921" s="675"/>
      <c r="B2921" s="81" t="s">
        <v>1317</v>
      </c>
      <c r="C2921" s="404">
        <v>1</v>
      </c>
      <c r="D2921" s="405">
        <v>1.8</v>
      </c>
      <c r="E2921" s="405">
        <v>2.4</v>
      </c>
      <c r="F2921" s="405"/>
      <c r="G2921" s="67">
        <f t="shared" si="79"/>
        <v>4.32</v>
      </c>
      <c r="H2921" s="946" t="s">
        <v>1303</v>
      </c>
      <c r="I2921" s="1242"/>
    </row>
    <row r="2922" spans="1:9" s="606" customFormat="1" ht="18" customHeight="1">
      <c r="A2922" s="675"/>
      <c r="B2922" s="81" t="s">
        <v>1318</v>
      </c>
      <c r="C2922" s="404">
        <v>1</v>
      </c>
      <c r="D2922" s="405">
        <v>5.05</v>
      </c>
      <c r="E2922" s="405">
        <v>2.4</v>
      </c>
      <c r="F2922" s="405"/>
      <c r="G2922" s="67">
        <f t="shared" si="79"/>
        <v>12.12</v>
      </c>
      <c r="H2922" s="946" t="s">
        <v>1303</v>
      </c>
      <c r="I2922" s="1242"/>
    </row>
    <row r="2923" spans="1:9" s="606" customFormat="1" ht="18" customHeight="1">
      <c r="A2923" s="675"/>
      <c r="B2923" s="81" t="s">
        <v>1319</v>
      </c>
      <c r="C2923" s="404">
        <v>1</v>
      </c>
      <c r="D2923" s="405">
        <v>7.0250000000000004</v>
      </c>
      <c r="E2923" s="405">
        <v>2.4</v>
      </c>
      <c r="F2923" s="405"/>
      <c r="G2923" s="67">
        <f t="shared" si="79"/>
        <v>16.86</v>
      </c>
      <c r="H2923" s="946" t="s">
        <v>1303</v>
      </c>
      <c r="I2923" s="1242"/>
    </row>
    <row r="2924" spans="1:9" s="606" customFormat="1" ht="18" customHeight="1">
      <c r="A2924" s="675"/>
      <c r="B2924" s="81" t="s">
        <v>1320</v>
      </c>
      <c r="C2924" s="404">
        <v>1</v>
      </c>
      <c r="D2924" s="405">
        <f>4.125-0.1-0.1</f>
        <v>3.9250000000000003</v>
      </c>
      <c r="E2924" s="405">
        <v>2.4</v>
      </c>
      <c r="F2924" s="405"/>
      <c r="G2924" s="67">
        <f t="shared" si="79"/>
        <v>9.42</v>
      </c>
      <c r="H2924" s="946" t="s">
        <v>1303</v>
      </c>
      <c r="I2924" s="1242"/>
    </row>
    <row r="2925" spans="1:9" s="606" customFormat="1" ht="18" customHeight="1">
      <c r="A2925" s="675"/>
      <c r="B2925" s="548" t="s">
        <v>2168</v>
      </c>
      <c r="C2925" s="404"/>
      <c r="D2925" s="405"/>
      <c r="E2925" s="405"/>
      <c r="F2925" s="405"/>
      <c r="G2925" s="67" t="str">
        <f t="shared" ref="G2925:G2988" si="80">IF(C2925&lt;&gt;0,ROUND(PRODUCT(D2925:F2925)*C2925,2)," ")</f>
        <v xml:space="preserve"> </v>
      </c>
      <c r="H2925" s="946" t="s">
        <v>1303</v>
      </c>
      <c r="I2925" s="1242"/>
    </row>
    <row r="2926" spans="1:9" s="606" customFormat="1" ht="18" customHeight="1">
      <c r="A2926" s="675"/>
      <c r="B2926" s="81" t="s">
        <v>1311</v>
      </c>
      <c r="C2926" s="404">
        <v>1</v>
      </c>
      <c r="D2926" s="405">
        <v>4.9870000000000001</v>
      </c>
      <c r="E2926" s="405">
        <v>2.4</v>
      </c>
      <c r="F2926" s="405"/>
      <c r="G2926" s="67">
        <f t="shared" si="80"/>
        <v>11.97</v>
      </c>
      <c r="H2926" s="946" t="s">
        <v>1303</v>
      </c>
      <c r="I2926" s="1242"/>
    </row>
    <row r="2927" spans="1:9" s="606" customFormat="1" ht="18" customHeight="1">
      <c r="A2927" s="675"/>
      <c r="B2927" s="81" t="s">
        <v>1312</v>
      </c>
      <c r="C2927" s="404">
        <v>1</v>
      </c>
      <c r="D2927" s="405">
        <v>4.9870000000000001</v>
      </c>
      <c r="E2927" s="405">
        <v>2.4</v>
      </c>
      <c r="F2927" s="405"/>
      <c r="G2927" s="67">
        <f t="shared" si="80"/>
        <v>11.97</v>
      </c>
      <c r="H2927" s="946" t="s">
        <v>1303</v>
      </c>
      <c r="I2927" s="1242"/>
    </row>
    <row r="2928" spans="1:9" s="606" customFormat="1" ht="18" customHeight="1">
      <c r="A2928" s="675"/>
      <c r="B2928" s="81" t="s">
        <v>1313</v>
      </c>
      <c r="C2928" s="404">
        <v>1</v>
      </c>
      <c r="D2928" s="405">
        <v>4.9870000000000001</v>
      </c>
      <c r="E2928" s="405">
        <v>2.4</v>
      </c>
      <c r="F2928" s="405"/>
      <c r="G2928" s="67">
        <f t="shared" si="80"/>
        <v>11.97</v>
      </c>
      <c r="H2928" s="946" t="s">
        <v>1303</v>
      </c>
      <c r="I2928" s="1242"/>
    </row>
    <row r="2929" spans="1:9" s="606" customFormat="1" ht="18" customHeight="1">
      <c r="A2929" s="675"/>
      <c r="B2929" s="81" t="s">
        <v>1314</v>
      </c>
      <c r="C2929" s="404">
        <v>1</v>
      </c>
      <c r="D2929" s="405">
        <v>4.9870000000000001</v>
      </c>
      <c r="E2929" s="405">
        <v>2.4</v>
      </c>
      <c r="F2929" s="405"/>
      <c r="G2929" s="67">
        <f t="shared" si="80"/>
        <v>11.97</v>
      </c>
      <c r="H2929" s="946" t="s">
        <v>1303</v>
      </c>
      <c r="I2929" s="1242"/>
    </row>
    <row r="2930" spans="1:9" s="606" customFormat="1" ht="18" customHeight="1">
      <c r="A2930" s="675"/>
      <c r="B2930" s="81" t="s">
        <v>1315</v>
      </c>
      <c r="C2930" s="404">
        <v>1</v>
      </c>
      <c r="D2930" s="405">
        <v>4.66</v>
      </c>
      <c r="E2930" s="405">
        <v>2.4</v>
      </c>
      <c r="F2930" s="405"/>
      <c r="G2930" s="67">
        <f t="shared" si="80"/>
        <v>11.18</v>
      </c>
      <c r="H2930" s="946" t="s">
        <v>1303</v>
      </c>
      <c r="I2930" s="1242"/>
    </row>
    <row r="2931" spans="1:9" s="606" customFormat="1" ht="18" customHeight="1">
      <c r="A2931" s="675"/>
      <c r="B2931" s="81" t="s">
        <v>2167</v>
      </c>
      <c r="C2931" s="404">
        <v>-1</v>
      </c>
      <c r="D2931" s="405">
        <v>1.8</v>
      </c>
      <c r="E2931" s="405">
        <v>2.1</v>
      </c>
      <c r="F2931" s="405"/>
      <c r="G2931" s="67">
        <f t="shared" si="80"/>
        <v>-3.78</v>
      </c>
      <c r="H2931" s="946" t="s">
        <v>1303</v>
      </c>
      <c r="I2931" s="1242"/>
    </row>
    <row r="2932" spans="1:9" s="606" customFormat="1" ht="18" customHeight="1">
      <c r="A2932" s="675"/>
      <c r="B2932" s="81" t="s">
        <v>1316</v>
      </c>
      <c r="C2932" s="404">
        <v>1</v>
      </c>
      <c r="D2932" s="405">
        <v>4.66</v>
      </c>
      <c r="E2932" s="405">
        <v>2.4</v>
      </c>
      <c r="F2932" s="405"/>
      <c r="G2932" s="67">
        <f t="shared" si="80"/>
        <v>11.18</v>
      </c>
      <c r="H2932" s="946" t="s">
        <v>1303</v>
      </c>
      <c r="I2932" s="1242"/>
    </row>
    <row r="2933" spans="1:9" s="606" customFormat="1" ht="18" customHeight="1">
      <c r="A2933" s="675"/>
      <c r="B2933" s="81" t="s">
        <v>2167</v>
      </c>
      <c r="C2933" s="404">
        <v>-1</v>
      </c>
      <c r="D2933" s="405">
        <v>1.8</v>
      </c>
      <c r="E2933" s="405">
        <v>2.1</v>
      </c>
      <c r="F2933" s="405"/>
      <c r="G2933" s="67">
        <f t="shared" si="80"/>
        <v>-3.78</v>
      </c>
      <c r="H2933" s="946" t="s">
        <v>1303</v>
      </c>
      <c r="I2933" s="1242"/>
    </row>
    <row r="2934" spans="1:9" s="606" customFormat="1" ht="18" customHeight="1">
      <c r="A2934" s="675"/>
      <c r="B2934" s="81" t="s">
        <v>1317</v>
      </c>
      <c r="C2934" s="404">
        <v>1</v>
      </c>
      <c r="D2934" s="405">
        <v>1.8</v>
      </c>
      <c r="E2934" s="405">
        <v>2.4</v>
      </c>
      <c r="F2934" s="405"/>
      <c r="G2934" s="67">
        <f t="shared" si="80"/>
        <v>4.32</v>
      </c>
      <c r="H2934" s="946" t="s">
        <v>1303</v>
      </c>
      <c r="I2934" s="1242"/>
    </row>
    <row r="2935" spans="1:9" s="606" customFormat="1" ht="18" customHeight="1">
      <c r="A2935" s="675"/>
      <c r="B2935" s="81" t="s">
        <v>1318</v>
      </c>
      <c r="C2935" s="404">
        <v>1</v>
      </c>
      <c r="D2935" s="405">
        <v>5.05</v>
      </c>
      <c r="E2935" s="405">
        <v>2.4</v>
      </c>
      <c r="F2935" s="405"/>
      <c r="G2935" s="67">
        <f t="shared" si="80"/>
        <v>12.12</v>
      </c>
      <c r="H2935" s="946" t="s">
        <v>1303</v>
      </c>
      <c r="I2935" s="1242"/>
    </row>
    <row r="2936" spans="1:9" s="606" customFormat="1" ht="18" customHeight="1">
      <c r="A2936" s="675"/>
      <c r="B2936" s="81" t="s">
        <v>1319</v>
      </c>
      <c r="C2936" s="404">
        <v>1</v>
      </c>
      <c r="D2936" s="405">
        <v>7.0250000000000004</v>
      </c>
      <c r="E2936" s="405">
        <v>2.4</v>
      </c>
      <c r="F2936" s="405"/>
      <c r="G2936" s="67">
        <f t="shared" si="80"/>
        <v>16.86</v>
      </c>
      <c r="H2936" s="946" t="s">
        <v>1303</v>
      </c>
      <c r="I2936" s="1242"/>
    </row>
    <row r="2937" spans="1:9" s="606" customFormat="1" ht="18" customHeight="1">
      <c r="A2937" s="675"/>
      <c r="B2937" s="81" t="s">
        <v>1320</v>
      </c>
      <c r="C2937" s="404">
        <v>1</v>
      </c>
      <c r="D2937" s="405">
        <f>4.125-0.1-0.1</f>
        <v>3.9250000000000003</v>
      </c>
      <c r="E2937" s="405">
        <v>2.4</v>
      </c>
      <c r="F2937" s="405"/>
      <c r="G2937" s="67">
        <f t="shared" si="80"/>
        <v>9.42</v>
      </c>
      <c r="H2937" s="946" t="s">
        <v>1303</v>
      </c>
      <c r="I2937" s="1242"/>
    </row>
    <row r="2938" spans="1:9" s="606" customFormat="1" ht="18" customHeight="1">
      <c r="A2938" s="675"/>
      <c r="B2938" s="81"/>
      <c r="C2938" s="404"/>
      <c r="D2938" s="405"/>
      <c r="E2938" s="405"/>
      <c r="F2938" s="405"/>
      <c r="G2938" s="67" t="str">
        <f t="shared" si="80"/>
        <v xml:space="preserve"> </v>
      </c>
      <c r="H2938" s="946"/>
      <c r="I2938" s="1242"/>
    </row>
    <row r="2939" spans="1:9" s="606" customFormat="1" ht="18" customHeight="1">
      <c r="A2939" s="641" t="s">
        <v>1306</v>
      </c>
      <c r="B2939" s="548" t="s">
        <v>1373</v>
      </c>
      <c r="C2939" s="404">
        <f>2*2*3</f>
        <v>12</v>
      </c>
      <c r="D2939" s="567">
        <v>3.1</v>
      </c>
      <c r="E2939" s="405">
        <v>2.4</v>
      </c>
      <c r="F2939" s="405"/>
      <c r="G2939" s="67">
        <f t="shared" si="80"/>
        <v>89.28</v>
      </c>
      <c r="H2939" s="946" t="s">
        <v>1306</v>
      </c>
      <c r="I2939" s="1242"/>
    </row>
    <row r="2940" spans="1:9" s="606" customFormat="1" ht="18" customHeight="1">
      <c r="A2940" s="675"/>
      <c r="B2940" s="548"/>
      <c r="C2940" s="404">
        <f>2*2*3</f>
        <v>12</v>
      </c>
      <c r="D2940" s="567">
        <v>3.1</v>
      </c>
      <c r="E2940" s="405">
        <v>2.4</v>
      </c>
      <c r="F2940" s="405"/>
      <c r="G2940" s="67">
        <f t="shared" si="80"/>
        <v>89.28</v>
      </c>
      <c r="H2940" s="946" t="s">
        <v>1306</v>
      </c>
      <c r="I2940" s="1242"/>
    </row>
    <row r="2941" spans="1:9" s="606" customFormat="1" ht="18" customHeight="1">
      <c r="A2941" s="675"/>
      <c r="B2941" s="81" t="s">
        <v>2171</v>
      </c>
      <c r="C2941" s="404">
        <v>-6</v>
      </c>
      <c r="D2941" s="405">
        <v>1.5</v>
      </c>
      <c r="E2941" s="405">
        <v>2.1</v>
      </c>
      <c r="F2941" s="405"/>
      <c r="G2941" s="67">
        <f t="shared" si="80"/>
        <v>-18.899999999999999</v>
      </c>
      <c r="H2941" s="946" t="s">
        <v>1306</v>
      </c>
      <c r="I2941" s="1242"/>
    </row>
    <row r="2942" spans="1:9" s="606" customFormat="1" ht="18" customHeight="1">
      <c r="A2942" s="675"/>
      <c r="B2942" s="548" t="s">
        <v>1374</v>
      </c>
      <c r="C2942" s="404">
        <v>12</v>
      </c>
      <c r="D2942" s="405">
        <v>4.7</v>
      </c>
      <c r="E2942" s="405">
        <v>2.4</v>
      </c>
      <c r="F2942" s="405"/>
      <c r="G2942" s="67">
        <f t="shared" si="80"/>
        <v>135.36000000000001</v>
      </c>
      <c r="H2942" s="946" t="s">
        <v>1306</v>
      </c>
      <c r="I2942" s="1242"/>
    </row>
    <row r="2943" spans="1:9" s="606" customFormat="1" ht="18" customHeight="1">
      <c r="A2943" s="675"/>
      <c r="B2943" s="81"/>
      <c r="C2943" s="404">
        <v>12</v>
      </c>
      <c r="D2943" s="405">
        <v>3.05</v>
      </c>
      <c r="E2943" s="405">
        <v>2.4</v>
      </c>
      <c r="F2943" s="405"/>
      <c r="G2943" s="67">
        <f t="shared" si="80"/>
        <v>87.84</v>
      </c>
      <c r="H2943" s="946" t="s">
        <v>1306</v>
      </c>
      <c r="I2943" s="1242"/>
    </row>
    <row r="2944" spans="1:9" s="606" customFormat="1" ht="18" customHeight="1">
      <c r="A2944" s="675"/>
      <c r="B2944" s="81" t="s">
        <v>964</v>
      </c>
      <c r="C2944" s="404">
        <v>-6</v>
      </c>
      <c r="D2944" s="405">
        <v>1</v>
      </c>
      <c r="E2944" s="405">
        <v>2.1</v>
      </c>
      <c r="F2944" s="405"/>
      <c r="G2944" s="67">
        <f t="shared" si="80"/>
        <v>-12.6</v>
      </c>
      <c r="H2944" s="946" t="s">
        <v>1306</v>
      </c>
      <c r="I2944" s="1242"/>
    </row>
    <row r="2945" spans="1:9" s="606" customFormat="1" ht="18" customHeight="1">
      <c r="A2945" s="675"/>
      <c r="B2945" s="548" t="s">
        <v>1375</v>
      </c>
      <c r="C2945" s="404">
        <v>4</v>
      </c>
      <c r="D2945" s="405">
        <v>3</v>
      </c>
      <c r="E2945" s="405">
        <v>2.4</v>
      </c>
      <c r="F2945" s="405"/>
      <c r="G2945" s="67">
        <f t="shared" si="80"/>
        <v>28.8</v>
      </c>
      <c r="H2945" s="946" t="s">
        <v>1306</v>
      </c>
      <c r="I2945" s="1242"/>
    </row>
    <row r="2946" spans="1:9" s="606" customFormat="1" ht="18" customHeight="1">
      <c r="A2946" s="675"/>
      <c r="B2946" s="81"/>
      <c r="C2946" s="404">
        <v>4</v>
      </c>
      <c r="D2946" s="405">
        <v>4.7</v>
      </c>
      <c r="E2946" s="405">
        <v>2.4</v>
      </c>
      <c r="F2946" s="405"/>
      <c r="G2946" s="67">
        <f t="shared" si="80"/>
        <v>45.12</v>
      </c>
      <c r="H2946" s="946" t="s">
        <v>1306</v>
      </c>
      <c r="I2946" s="1242"/>
    </row>
    <row r="2947" spans="1:9" s="606" customFormat="1" ht="18" customHeight="1">
      <c r="A2947" s="675"/>
      <c r="B2947" s="81" t="s">
        <v>964</v>
      </c>
      <c r="C2947" s="404">
        <v>-4</v>
      </c>
      <c r="D2947" s="405">
        <v>1</v>
      </c>
      <c r="E2947" s="405">
        <v>2.1</v>
      </c>
      <c r="F2947" s="405"/>
      <c r="G2947" s="67">
        <f t="shared" si="80"/>
        <v>-8.4</v>
      </c>
      <c r="H2947" s="946" t="s">
        <v>1306</v>
      </c>
      <c r="I2947" s="1242"/>
    </row>
    <row r="2948" spans="1:9" s="606" customFormat="1" ht="18" customHeight="1">
      <c r="A2948" s="675"/>
      <c r="B2948" s="548" t="s">
        <v>1381</v>
      </c>
      <c r="C2948" s="404">
        <v>2</v>
      </c>
      <c r="D2948" s="567">
        <v>4.7</v>
      </c>
      <c r="E2948" s="405">
        <v>2.4</v>
      </c>
      <c r="F2948" s="405"/>
      <c r="G2948" s="67">
        <f t="shared" si="80"/>
        <v>22.56</v>
      </c>
      <c r="H2948" s="946" t="s">
        <v>1306</v>
      </c>
      <c r="I2948" s="1242"/>
    </row>
    <row r="2949" spans="1:9" s="606" customFormat="1" ht="18" customHeight="1">
      <c r="A2949" s="675"/>
      <c r="B2949" s="81"/>
      <c r="C2949" s="404">
        <v>2</v>
      </c>
      <c r="D2949" s="405">
        <v>3.1</v>
      </c>
      <c r="E2949" s="405">
        <v>2.4</v>
      </c>
      <c r="F2949" s="405"/>
      <c r="G2949" s="67">
        <f t="shared" si="80"/>
        <v>14.88</v>
      </c>
      <c r="H2949" s="946" t="s">
        <v>1306</v>
      </c>
      <c r="I2949" s="1242"/>
    </row>
    <row r="2950" spans="1:9" s="606" customFormat="1" ht="18" customHeight="1">
      <c r="A2950" s="675"/>
      <c r="B2950" s="81" t="s">
        <v>2172</v>
      </c>
      <c r="C2950" s="404">
        <v>-1</v>
      </c>
      <c r="D2950" s="405">
        <v>1.2</v>
      </c>
      <c r="E2950" s="405">
        <v>2.1</v>
      </c>
      <c r="F2950" s="405"/>
      <c r="G2950" s="67">
        <f t="shared" si="80"/>
        <v>-2.52</v>
      </c>
      <c r="H2950" s="946" t="s">
        <v>1306</v>
      </c>
      <c r="I2950" s="1242"/>
    </row>
    <row r="2951" spans="1:9" s="606" customFormat="1" ht="18" customHeight="1">
      <c r="A2951" s="675"/>
      <c r="B2951" s="81" t="s">
        <v>2173</v>
      </c>
      <c r="C2951" s="404">
        <v>-2</v>
      </c>
      <c r="D2951" s="405">
        <v>1.5</v>
      </c>
      <c r="E2951" s="405">
        <v>1.1000000000000001</v>
      </c>
      <c r="F2951" s="405"/>
      <c r="G2951" s="67">
        <f t="shared" si="80"/>
        <v>-3.3</v>
      </c>
      <c r="H2951" s="946" t="s">
        <v>1306</v>
      </c>
      <c r="I2951" s="1242"/>
    </row>
    <row r="2952" spans="1:9" s="606" customFormat="1" ht="18" customHeight="1">
      <c r="A2952" s="675"/>
      <c r="B2952" s="548" t="s">
        <v>1376</v>
      </c>
      <c r="C2952" s="404"/>
      <c r="D2952" s="405"/>
      <c r="E2952" s="405"/>
      <c r="F2952" s="405"/>
      <c r="G2952" s="67" t="str">
        <f t="shared" si="80"/>
        <v xml:space="preserve"> </v>
      </c>
      <c r="H2952" s="946" t="s">
        <v>1306</v>
      </c>
      <c r="I2952" s="1242"/>
    </row>
    <row r="2953" spans="1:9" s="606" customFormat="1" ht="18" customHeight="1">
      <c r="A2953" s="675"/>
      <c r="B2953" s="548" t="s">
        <v>1382</v>
      </c>
      <c r="C2953" s="404">
        <v>2</v>
      </c>
      <c r="D2953" s="405">
        <v>3.95</v>
      </c>
      <c r="E2953" s="405">
        <v>2.4</v>
      </c>
      <c r="F2953" s="405"/>
      <c r="G2953" s="67">
        <f t="shared" si="80"/>
        <v>18.96</v>
      </c>
      <c r="H2953" s="946" t="s">
        <v>1306</v>
      </c>
      <c r="I2953" s="1242"/>
    </row>
    <row r="2954" spans="1:9" s="606" customFormat="1" ht="18" customHeight="1">
      <c r="A2954" s="675"/>
      <c r="B2954" s="81"/>
      <c r="C2954" s="404">
        <v>2</v>
      </c>
      <c r="D2954" s="405">
        <f>1.485+3.2-0.1</f>
        <v>4.5850000000000009</v>
      </c>
      <c r="E2954" s="405">
        <v>2.4</v>
      </c>
      <c r="F2954" s="405"/>
      <c r="G2954" s="67">
        <f t="shared" si="80"/>
        <v>22.01</v>
      </c>
      <c r="H2954" s="946" t="s">
        <v>1306</v>
      </c>
      <c r="I2954" s="1242"/>
    </row>
    <row r="2955" spans="1:9" s="606" customFormat="1" ht="18" customHeight="1">
      <c r="A2955" s="675"/>
      <c r="B2955" s="81" t="s">
        <v>2174</v>
      </c>
      <c r="C2955" s="404">
        <v>-2</v>
      </c>
      <c r="D2955" s="405">
        <v>1.2</v>
      </c>
      <c r="E2955" s="405">
        <v>2.1</v>
      </c>
      <c r="F2955" s="405"/>
      <c r="G2955" s="67">
        <f t="shared" si="80"/>
        <v>-5.04</v>
      </c>
      <c r="H2955" s="946" t="s">
        <v>1306</v>
      </c>
      <c r="I2955" s="1242"/>
    </row>
    <row r="2956" spans="1:9" s="606" customFormat="1" ht="18" customHeight="1">
      <c r="A2956" s="675"/>
      <c r="B2956" s="81" t="s">
        <v>2175</v>
      </c>
      <c r="C2956" s="404">
        <v>-1</v>
      </c>
      <c r="D2956" s="405">
        <v>1.5</v>
      </c>
      <c r="E2956" s="405">
        <v>1.1000000000000001</v>
      </c>
      <c r="F2956" s="405"/>
      <c r="G2956" s="67">
        <f t="shared" si="80"/>
        <v>-1.65</v>
      </c>
      <c r="H2956" s="946" t="s">
        <v>1306</v>
      </c>
      <c r="I2956" s="1242"/>
    </row>
    <row r="2957" spans="1:9" s="606" customFormat="1" ht="18" customHeight="1">
      <c r="A2957" s="675"/>
      <c r="B2957" s="548" t="s">
        <v>1383</v>
      </c>
      <c r="C2957" s="404">
        <v>2</v>
      </c>
      <c r="D2957" s="405">
        <v>2.7650000000000001</v>
      </c>
      <c r="E2957" s="405">
        <v>2.4</v>
      </c>
      <c r="F2957" s="405"/>
      <c r="G2957" s="67">
        <f t="shared" si="80"/>
        <v>13.27</v>
      </c>
      <c r="H2957" s="946" t="s">
        <v>1306</v>
      </c>
      <c r="I2957" s="1242"/>
    </row>
    <row r="2958" spans="1:9" s="606" customFormat="1" ht="18" customHeight="1">
      <c r="A2958" s="675"/>
      <c r="B2958" s="81"/>
      <c r="C2958" s="404">
        <v>2</v>
      </c>
      <c r="D2958" s="405">
        <v>3.085</v>
      </c>
      <c r="E2958" s="405">
        <v>2.4</v>
      </c>
      <c r="F2958" s="405"/>
      <c r="G2958" s="67">
        <f t="shared" si="80"/>
        <v>14.81</v>
      </c>
      <c r="H2958" s="946" t="s">
        <v>1306</v>
      </c>
      <c r="I2958" s="1242"/>
    </row>
    <row r="2959" spans="1:9" s="606" customFormat="1" ht="18" customHeight="1">
      <c r="A2959" s="675"/>
      <c r="B2959" s="81" t="s">
        <v>2172</v>
      </c>
      <c r="C2959" s="404">
        <v>-1</v>
      </c>
      <c r="D2959" s="405">
        <v>1.2</v>
      </c>
      <c r="E2959" s="405">
        <v>2.1</v>
      </c>
      <c r="F2959" s="405"/>
      <c r="G2959" s="67">
        <f t="shared" si="80"/>
        <v>-2.52</v>
      </c>
      <c r="H2959" s="946" t="s">
        <v>1306</v>
      </c>
      <c r="I2959" s="1242"/>
    </row>
    <row r="2960" spans="1:9" s="606" customFormat="1" ht="18" customHeight="1">
      <c r="A2960" s="675"/>
      <c r="B2960" s="81" t="s">
        <v>2175</v>
      </c>
      <c r="C2960" s="404">
        <v>-1</v>
      </c>
      <c r="D2960" s="405">
        <v>1.5</v>
      </c>
      <c r="E2960" s="405">
        <v>1.1000000000000001</v>
      </c>
      <c r="F2960" s="405"/>
      <c r="G2960" s="67">
        <f t="shared" si="80"/>
        <v>-1.65</v>
      </c>
      <c r="H2960" s="946" t="s">
        <v>1306</v>
      </c>
      <c r="I2960" s="1242"/>
    </row>
    <row r="2961" spans="1:9" s="606" customFormat="1" ht="18" customHeight="1">
      <c r="A2961" s="675"/>
      <c r="B2961" s="548" t="s">
        <v>1384</v>
      </c>
      <c r="C2961" s="404">
        <v>2</v>
      </c>
      <c r="D2961" s="405">
        <v>3.1</v>
      </c>
      <c r="E2961" s="405">
        <v>2.4</v>
      </c>
      <c r="F2961" s="405"/>
      <c r="G2961" s="67">
        <f t="shared" si="80"/>
        <v>14.88</v>
      </c>
      <c r="H2961" s="946" t="s">
        <v>1306</v>
      </c>
      <c r="I2961" s="1242"/>
    </row>
    <row r="2962" spans="1:9" s="606" customFormat="1" ht="18" customHeight="1">
      <c r="A2962" s="675"/>
      <c r="B2962" s="81"/>
      <c r="C2962" s="404">
        <v>2</v>
      </c>
      <c r="D2962" s="405">
        <f>2.01+1.135</f>
        <v>3.1449999999999996</v>
      </c>
      <c r="E2962" s="405">
        <v>2.4</v>
      </c>
      <c r="F2962" s="405"/>
      <c r="G2962" s="67">
        <f t="shared" si="80"/>
        <v>15.1</v>
      </c>
      <c r="H2962" s="946" t="s">
        <v>1306</v>
      </c>
      <c r="I2962" s="1242"/>
    </row>
    <row r="2963" spans="1:9" s="606" customFormat="1" ht="18" customHeight="1">
      <c r="A2963" s="675"/>
      <c r="B2963" s="81" t="s">
        <v>2172</v>
      </c>
      <c r="C2963" s="404">
        <v>-1</v>
      </c>
      <c r="D2963" s="405">
        <v>1.2</v>
      </c>
      <c r="E2963" s="405">
        <v>2.1</v>
      </c>
      <c r="F2963" s="405"/>
      <c r="G2963" s="67">
        <f t="shared" si="80"/>
        <v>-2.52</v>
      </c>
      <c r="H2963" s="946" t="s">
        <v>1306</v>
      </c>
      <c r="I2963" s="1242"/>
    </row>
    <row r="2964" spans="1:9" s="606" customFormat="1" ht="18" customHeight="1">
      <c r="A2964" s="675"/>
      <c r="B2964" s="81" t="s">
        <v>2175</v>
      </c>
      <c r="C2964" s="404">
        <v>-1</v>
      </c>
      <c r="D2964" s="405">
        <v>1.5</v>
      </c>
      <c r="E2964" s="405">
        <v>1.1000000000000001</v>
      </c>
      <c r="F2964" s="405"/>
      <c r="G2964" s="67">
        <f t="shared" si="80"/>
        <v>-1.65</v>
      </c>
      <c r="H2964" s="946" t="s">
        <v>1306</v>
      </c>
      <c r="I2964" s="1242"/>
    </row>
    <row r="2965" spans="1:9" s="606" customFormat="1" ht="18" customHeight="1">
      <c r="A2965" s="675"/>
      <c r="B2965" s="548" t="s">
        <v>1385</v>
      </c>
      <c r="C2965" s="568">
        <v>1</v>
      </c>
      <c r="D2965" s="405">
        <f>1.3+1.08</f>
        <v>2.38</v>
      </c>
      <c r="E2965" s="405">
        <v>2.4</v>
      </c>
      <c r="F2965" s="405"/>
      <c r="G2965" s="67">
        <f t="shared" si="80"/>
        <v>5.71</v>
      </c>
      <c r="H2965" s="946" t="s">
        <v>1306</v>
      </c>
      <c r="I2965" s="1242"/>
    </row>
    <row r="2966" spans="1:9" s="606" customFormat="1" ht="18" customHeight="1">
      <c r="A2966" s="675"/>
      <c r="B2966" s="81"/>
      <c r="C2966" s="568">
        <v>1</v>
      </c>
      <c r="D2966" s="405">
        <v>3.1</v>
      </c>
      <c r="E2966" s="405">
        <v>2.4</v>
      </c>
      <c r="F2966" s="405"/>
      <c r="G2966" s="67">
        <f t="shared" si="80"/>
        <v>7.44</v>
      </c>
      <c r="H2966" s="946" t="s">
        <v>1306</v>
      </c>
      <c r="I2966" s="1242"/>
    </row>
    <row r="2967" spans="1:9" s="606" customFormat="1" ht="18" customHeight="1">
      <c r="A2967" s="675"/>
      <c r="B2967" s="81" t="s">
        <v>2176</v>
      </c>
      <c r="C2967" s="404">
        <v>-1</v>
      </c>
      <c r="D2967" s="405">
        <v>1</v>
      </c>
      <c r="E2967" s="405">
        <v>2.1</v>
      </c>
      <c r="F2967" s="405"/>
      <c r="G2967" s="67">
        <f t="shared" si="80"/>
        <v>-2.1</v>
      </c>
      <c r="H2967" s="946" t="s">
        <v>1306</v>
      </c>
      <c r="I2967" s="1242"/>
    </row>
    <row r="2968" spans="1:9" s="606" customFormat="1" ht="18" customHeight="1">
      <c r="A2968" s="675"/>
      <c r="B2968" s="81" t="s">
        <v>1386</v>
      </c>
      <c r="C2968" s="404">
        <v>2</v>
      </c>
      <c r="D2968" s="405">
        <v>1.3</v>
      </c>
      <c r="E2968" s="405">
        <v>2.4</v>
      </c>
      <c r="F2968" s="405"/>
      <c r="G2968" s="67">
        <f t="shared" si="80"/>
        <v>6.24</v>
      </c>
      <c r="H2968" s="946" t="s">
        <v>1306</v>
      </c>
      <c r="I2968" s="1242"/>
    </row>
    <row r="2969" spans="1:9" s="606" customFormat="1" ht="18" customHeight="1">
      <c r="A2969" s="675"/>
      <c r="B2969" s="81"/>
      <c r="C2969" s="404">
        <v>2</v>
      </c>
      <c r="D2969" s="405">
        <v>1.5</v>
      </c>
      <c r="E2969" s="405">
        <v>2.4</v>
      </c>
      <c r="F2969" s="405"/>
      <c r="G2969" s="67">
        <f t="shared" si="80"/>
        <v>7.2</v>
      </c>
      <c r="H2969" s="946" t="s">
        <v>1306</v>
      </c>
      <c r="I2969" s="1242"/>
    </row>
    <row r="2970" spans="1:9" s="606" customFormat="1" ht="18" customHeight="1">
      <c r="A2970" s="675"/>
      <c r="B2970" s="81" t="s">
        <v>1140</v>
      </c>
      <c r="C2970" s="404">
        <v>-1</v>
      </c>
      <c r="D2970" s="405">
        <v>0.8</v>
      </c>
      <c r="E2970" s="405">
        <v>2.1</v>
      </c>
      <c r="F2970" s="405"/>
      <c r="G2970" s="67">
        <f t="shared" si="80"/>
        <v>-1.68</v>
      </c>
      <c r="H2970" s="946" t="s">
        <v>1306</v>
      </c>
      <c r="I2970" s="1242"/>
    </row>
    <row r="2971" spans="1:9" s="606" customFormat="1" ht="18" customHeight="1">
      <c r="A2971" s="675"/>
      <c r="B2971" s="81" t="s">
        <v>2177</v>
      </c>
      <c r="C2971" s="404">
        <v>-1</v>
      </c>
      <c r="D2971" s="405">
        <v>0.6</v>
      </c>
      <c r="E2971" s="405">
        <v>0.6</v>
      </c>
      <c r="F2971" s="405"/>
      <c r="G2971" s="67">
        <f t="shared" si="80"/>
        <v>-0.36</v>
      </c>
      <c r="H2971" s="946" t="s">
        <v>1306</v>
      </c>
      <c r="I2971" s="1242"/>
    </row>
    <row r="2972" spans="1:9" s="606" customFormat="1" ht="18" customHeight="1">
      <c r="A2972" s="675"/>
      <c r="B2972" s="548" t="s">
        <v>1387</v>
      </c>
      <c r="C2972" s="404">
        <v>2</v>
      </c>
      <c r="D2972" s="405">
        <v>1.7849999999999999</v>
      </c>
      <c r="E2972" s="405">
        <v>2.4</v>
      </c>
      <c r="F2972" s="405"/>
      <c r="G2972" s="67">
        <f t="shared" si="80"/>
        <v>8.57</v>
      </c>
      <c r="H2972" s="946" t="s">
        <v>1306</v>
      </c>
      <c r="I2972" s="1242"/>
    </row>
    <row r="2973" spans="1:9" s="606" customFormat="1" ht="18" customHeight="1">
      <c r="A2973" s="675"/>
      <c r="B2973" s="81"/>
      <c r="C2973" s="404">
        <v>2</v>
      </c>
      <c r="D2973" s="405">
        <v>3.1</v>
      </c>
      <c r="E2973" s="405">
        <v>2.4</v>
      </c>
      <c r="F2973" s="405"/>
      <c r="G2973" s="67">
        <f t="shared" si="80"/>
        <v>14.88</v>
      </c>
      <c r="H2973" s="946" t="s">
        <v>1306</v>
      </c>
      <c r="I2973" s="1242"/>
    </row>
    <row r="2974" spans="1:9" s="606" customFormat="1" ht="18" customHeight="1">
      <c r="A2974" s="675"/>
      <c r="B2974" s="81" t="s">
        <v>2172</v>
      </c>
      <c r="C2974" s="404">
        <v>-1</v>
      </c>
      <c r="D2974" s="405">
        <v>1.2</v>
      </c>
      <c r="E2974" s="405">
        <v>2.1</v>
      </c>
      <c r="F2974" s="405"/>
      <c r="G2974" s="67">
        <f t="shared" si="80"/>
        <v>-2.52</v>
      </c>
      <c r="H2974" s="946" t="s">
        <v>1306</v>
      </c>
      <c r="I2974" s="1242"/>
    </row>
    <row r="2975" spans="1:9" s="606" customFormat="1" ht="18" customHeight="1">
      <c r="A2975" s="675"/>
      <c r="B2975" s="81" t="s">
        <v>2175</v>
      </c>
      <c r="C2975" s="404">
        <v>-1</v>
      </c>
      <c r="D2975" s="405">
        <v>1.5</v>
      </c>
      <c r="E2975" s="405">
        <v>1.1000000000000001</v>
      </c>
      <c r="F2975" s="405"/>
      <c r="G2975" s="67">
        <f t="shared" si="80"/>
        <v>-1.65</v>
      </c>
      <c r="H2975" s="946" t="s">
        <v>1306</v>
      </c>
      <c r="I2975" s="1242"/>
    </row>
    <row r="2976" spans="1:9" s="606" customFormat="1" ht="18" customHeight="1">
      <c r="A2976" s="675"/>
      <c r="B2976" s="81" t="s">
        <v>1388</v>
      </c>
      <c r="C2976" s="404">
        <v>1</v>
      </c>
      <c r="D2976" s="405">
        <v>2.33</v>
      </c>
      <c r="E2976" s="405">
        <v>2.4</v>
      </c>
      <c r="F2976" s="405"/>
      <c r="G2976" s="67">
        <f t="shared" si="80"/>
        <v>5.59</v>
      </c>
      <c r="H2976" s="946" t="s">
        <v>1306</v>
      </c>
      <c r="I2976" s="1242"/>
    </row>
    <row r="2977" spans="1:9" s="606" customFormat="1" ht="18" customHeight="1">
      <c r="A2977" s="675"/>
      <c r="B2977" s="81"/>
      <c r="C2977" s="404">
        <v>1</v>
      </c>
      <c r="D2977" s="405">
        <f>3.2+0.7+2.245-0.1</f>
        <v>6.0450000000000008</v>
      </c>
      <c r="E2977" s="405">
        <v>2.4</v>
      </c>
      <c r="F2977" s="405"/>
      <c r="G2977" s="67">
        <f t="shared" si="80"/>
        <v>14.51</v>
      </c>
      <c r="H2977" s="946" t="s">
        <v>1306</v>
      </c>
      <c r="I2977" s="1242"/>
    </row>
    <row r="2978" spans="1:9" s="606" customFormat="1" ht="18" customHeight="1">
      <c r="A2978" s="675"/>
      <c r="B2978" s="81"/>
      <c r="C2978" s="404">
        <v>1</v>
      </c>
      <c r="D2978" s="567">
        <v>7.6459999999999999</v>
      </c>
      <c r="E2978" s="405">
        <v>2.4</v>
      </c>
      <c r="F2978" s="405"/>
      <c r="G2978" s="67">
        <f t="shared" si="80"/>
        <v>18.350000000000001</v>
      </c>
      <c r="H2978" s="946" t="s">
        <v>1306</v>
      </c>
      <c r="I2978" s="1242"/>
    </row>
    <row r="2979" spans="1:9" s="606" customFormat="1" ht="18" customHeight="1">
      <c r="A2979" s="675"/>
      <c r="B2979" s="81" t="s">
        <v>2175</v>
      </c>
      <c r="C2979" s="404">
        <v>-1</v>
      </c>
      <c r="D2979" s="405">
        <v>1.5</v>
      </c>
      <c r="E2979" s="405">
        <v>1.1000000000000001</v>
      </c>
      <c r="F2979" s="405"/>
      <c r="G2979" s="67">
        <f t="shared" si="80"/>
        <v>-1.65</v>
      </c>
      <c r="H2979" s="946" t="s">
        <v>1306</v>
      </c>
      <c r="I2979" s="1242"/>
    </row>
    <row r="2980" spans="1:9" s="606" customFormat="1" ht="18" customHeight="1">
      <c r="A2980" s="675"/>
      <c r="B2980" s="81" t="s">
        <v>1389</v>
      </c>
      <c r="C2980" s="404">
        <v>1</v>
      </c>
      <c r="D2980" s="405">
        <v>3.95</v>
      </c>
      <c r="E2980" s="405">
        <v>2.4</v>
      </c>
      <c r="F2980" s="405"/>
      <c r="G2980" s="67">
        <f t="shared" si="80"/>
        <v>9.48</v>
      </c>
      <c r="H2980" s="946" t="s">
        <v>1306</v>
      </c>
      <c r="I2980" s="1242"/>
    </row>
    <row r="2981" spans="1:9" s="606" customFormat="1" ht="18" customHeight="1">
      <c r="A2981" s="675"/>
      <c r="B2981" s="81" t="s">
        <v>1390</v>
      </c>
      <c r="C2981" s="404">
        <v>1</v>
      </c>
      <c r="D2981" s="405">
        <v>2.27</v>
      </c>
      <c r="E2981" s="405">
        <v>2.4</v>
      </c>
      <c r="F2981" s="405"/>
      <c r="G2981" s="67">
        <f t="shared" si="80"/>
        <v>5.45</v>
      </c>
      <c r="H2981" s="946" t="s">
        <v>1306</v>
      </c>
      <c r="I2981" s="1242"/>
    </row>
    <row r="2982" spans="1:9" s="606" customFormat="1" ht="18" customHeight="1">
      <c r="A2982" s="675"/>
      <c r="B2982" s="81" t="s">
        <v>2172</v>
      </c>
      <c r="C2982" s="404">
        <v>-1</v>
      </c>
      <c r="D2982" s="405">
        <v>1.2</v>
      </c>
      <c r="E2982" s="405">
        <v>2.1</v>
      </c>
      <c r="F2982" s="405"/>
      <c r="G2982" s="67">
        <f t="shared" si="80"/>
        <v>-2.52</v>
      </c>
      <c r="H2982" s="946" t="s">
        <v>1306</v>
      </c>
      <c r="I2982" s="1242"/>
    </row>
    <row r="2983" spans="1:9" s="606" customFormat="1" ht="18" customHeight="1">
      <c r="A2983" s="675"/>
      <c r="B2983" s="81" t="s">
        <v>1391</v>
      </c>
      <c r="C2983" s="404">
        <v>1</v>
      </c>
      <c r="D2983" s="405">
        <v>2.7650000000000001</v>
      </c>
      <c r="E2983" s="405">
        <v>2.4</v>
      </c>
      <c r="F2983" s="405"/>
      <c r="G2983" s="67">
        <f t="shared" si="80"/>
        <v>6.64</v>
      </c>
      <c r="H2983" s="946" t="s">
        <v>1306</v>
      </c>
      <c r="I2983" s="1242"/>
    </row>
    <row r="2984" spans="1:9" s="606" customFormat="1" ht="18" customHeight="1">
      <c r="A2984" s="675"/>
      <c r="B2984" s="81" t="s">
        <v>2172</v>
      </c>
      <c r="C2984" s="404">
        <v>-1</v>
      </c>
      <c r="D2984" s="405">
        <v>1.2</v>
      </c>
      <c r="E2984" s="405">
        <v>2.1</v>
      </c>
      <c r="F2984" s="405"/>
      <c r="G2984" s="67">
        <f t="shared" si="80"/>
        <v>-2.52</v>
      </c>
      <c r="H2984" s="946" t="s">
        <v>1306</v>
      </c>
      <c r="I2984" s="1242"/>
    </row>
    <row r="2985" spans="1:9" s="606" customFormat="1" ht="18" customHeight="1">
      <c r="A2985" s="675"/>
      <c r="B2985" s="81" t="s">
        <v>1392</v>
      </c>
      <c r="C2985" s="404">
        <v>1</v>
      </c>
      <c r="D2985" s="405">
        <v>3.1</v>
      </c>
      <c r="E2985" s="405">
        <v>2.4</v>
      </c>
      <c r="F2985" s="405"/>
      <c r="G2985" s="67">
        <f t="shared" si="80"/>
        <v>7.44</v>
      </c>
      <c r="H2985" s="946" t="s">
        <v>1306</v>
      </c>
      <c r="I2985" s="1242"/>
    </row>
    <row r="2986" spans="1:9" s="606" customFormat="1" ht="18" customHeight="1">
      <c r="A2986" s="675"/>
      <c r="B2986" s="81" t="s">
        <v>2172</v>
      </c>
      <c r="C2986" s="404">
        <v>-1</v>
      </c>
      <c r="D2986" s="405">
        <v>1.2</v>
      </c>
      <c r="E2986" s="405">
        <v>2.1</v>
      </c>
      <c r="F2986" s="405"/>
      <c r="G2986" s="67">
        <f t="shared" si="80"/>
        <v>-2.52</v>
      </c>
      <c r="H2986" s="946" t="s">
        <v>1306</v>
      </c>
      <c r="I2986" s="1242"/>
    </row>
    <row r="2987" spans="1:9" s="606" customFormat="1" ht="18" customHeight="1">
      <c r="A2987" s="675"/>
      <c r="B2987" s="81" t="s">
        <v>1393</v>
      </c>
      <c r="C2987" s="404">
        <v>1</v>
      </c>
      <c r="D2987" s="405">
        <v>1.63</v>
      </c>
      <c r="E2987" s="405">
        <v>2.4</v>
      </c>
      <c r="F2987" s="405"/>
      <c r="G2987" s="67">
        <f t="shared" si="80"/>
        <v>3.91</v>
      </c>
      <c r="H2987" s="946" t="s">
        <v>1306</v>
      </c>
      <c r="I2987" s="1242"/>
    </row>
    <row r="2988" spans="1:9" s="606" customFormat="1" ht="18" customHeight="1">
      <c r="A2988" s="675"/>
      <c r="B2988" s="81" t="s">
        <v>2172</v>
      </c>
      <c r="C2988" s="404">
        <v>-1</v>
      </c>
      <c r="D2988" s="405">
        <v>1.2</v>
      </c>
      <c r="E2988" s="405">
        <v>2.1</v>
      </c>
      <c r="F2988" s="405"/>
      <c r="G2988" s="67">
        <f t="shared" si="80"/>
        <v>-2.52</v>
      </c>
      <c r="H2988" s="946" t="s">
        <v>1306</v>
      </c>
      <c r="I2988" s="1242"/>
    </row>
    <row r="2989" spans="1:9" s="606" customFormat="1" ht="18" customHeight="1">
      <c r="A2989" s="675"/>
      <c r="B2989" s="81" t="s">
        <v>2178</v>
      </c>
      <c r="C2989" s="404">
        <v>1</v>
      </c>
      <c r="D2989" s="567">
        <v>3.2650000000000001</v>
      </c>
      <c r="E2989" s="405">
        <v>2.4</v>
      </c>
      <c r="F2989" s="405"/>
      <c r="G2989" s="67">
        <f t="shared" ref="G2989:G3004" si="81">IF(C2989&lt;&gt;0,ROUND(PRODUCT(D2989:F2989)*C2989,2)," ")</f>
        <v>7.84</v>
      </c>
      <c r="H2989" s="946" t="s">
        <v>1306</v>
      </c>
      <c r="I2989" s="1242"/>
    </row>
    <row r="2990" spans="1:9" s="606" customFormat="1" ht="18" customHeight="1">
      <c r="A2990" s="675"/>
      <c r="B2990" s="81" t="s">
        <v>2179</v>
      </c>
      <c r="C2990" s="404">
        <v>-1</v>
      </c>
      <c r="D2990" s="405">
        <v>0.9</v>
      </c>
      <c r="E2990" s="405">
        <v>2.1</v>
      </c>
      <c r="F2990" s="405"/>
      <c r="G2990" s="67">
        <f t="shared" si="81"/>
        <v>-1.89</v>
      </c>
      <c r="H2990" s="946" t="s">
        <v>1306</v>
      </c>
      <c r="I2990" s="1242"/>
    </row>
    <row r="2991" spans="1:9" s="606" customFormat="1" ht="18" customHeight="1">
      <c r="A2991" s="675"/>
      <c r="B2991" s="81" t="s">
        <v>1142</v>
      </c>
      <c r="C2991" s="404">
        <v>-1</v>
      </c>
      <c r="D2991" s="405">
        <v>1.2</v>
      </c>
      <c r="E2991" s="405">
        <v>2.1</v>
      </c>
      <c r="F2991" s="405"/>
      <c r="G2991" s="67">
        <f t="shared" si="81"/>
        <v>-2.52</v>
      </c>
      <c r="H2991" s="946" t="s">
        <v>1306</v>
      </c>
      <c r="I2991" s="1242"/>
    </row>
    <row r="2992" spans="1:9" ht="18" customHeight="1">
      <c r="A2992" s="641"/>
      <c r="B2992" s="64" t="s">
        <v>1146</v>
      </c>
      <c r="C2992" s="70"/>
      <c r="D2992" s="68"/>
      <c r="E2992" s="68"/>
      <c r="F2992" s="68"/>
      <c r="G2992" s="67" t="str">
        <f t="shared" si="81"/>
        <v xml:space="preserve"> </v>
      </c>
      <c r="H2992" s="947"/>
    </row>
    <row r="2993" spans="1:10" s="78" customFormat="1" ht="18" customHeight="1">
      <c r="A2993" s="432"/>
      <c r="B2993" s="356" t="s">
        <v>1395</v>
      </c>
      <c r="C2993" s="76">
        <v>2</v>
      </c>
      <c r="D2993" s="572">
        <v>1.75</v>
      </c>
      <c r="E2993" s="68">
        <v>2.4</v>
      </c>
      <c r="F2993" s="68"/>
      <c r="G2993" s="67">
        <f t="shared" si="81"/>
        <v>8.4</v>
      </c>
      <c r="H2993" s="947" t="s">
        <v>1306</v>
      </c>
      <c r="I2993" s="1227"/>
    </row>
    <row r="2994" spans="1:10" s="78" customFormat="1" ht="18" customHeight="1">
      <c r="A2994" s="432"/>
      <c r="B2994" s="356"/>
      <c r="C2994" s="76">
        <v>2</v>
      </c>
      <c r="D2994" s="572">
        <v>1.85</v>
      </c>
      <c r="E2994" s="68">
        <v>2.4</v>
      </c>
      <c r="F2994" s="68"/>
      <c r="G2994" s="67">
        <f t="shared" si="81"/>
        <v>8.8800000000000008</v>
      </c>
      <c r="H2994" s="947" t="s">
        <v>1306</v>
      </c>
      <c r="I2994" s="1227"/>
    </row>
    <row r="2995" spans="1:10" s="78" customFormat="1" ht="18" customHeight="1">
      <c r="A2995" s="432"/>
      <c r="B2995" s="356" t="s">
        <v>2177</v>
      </c>
      <c r="C2995" s="76">
        <v>-2</v>
      </c>
      <c r="D2995" s="77">
        <v>0.6</v>
      </c>
      <c r="E2995" s="68">
        <v>0.6</v>
      </c>
      <c r="F2995" s="68"/>
      <c r="G2995" s="67">
        <f t="shared" si="81"/>
        <v>-0.72</v>
      </c>
      <c r="H2995" s="947" t="s">
        <v>1306</v>
      </c>
      <c r="I2995" s="1227"/>
    </row>
    <row r="2996" spans="1:10" s="78" customFormat="1" ht="18" customHeight="1">
      <c r="A2996" s="432"/>
      <c r="B2996" s="356" t="s">
        <v>1140</v>
      </c>
      <c r="C2996" s="76">
        <v>-2</v>
      </c>
      <c r="D2996" s="77">
        <v>0.8</v>
      </c>
      <c r="E2996" s="68">
        <v>2.1</v>
      </c>
      <c r="F2996" s="68"/>
      <c r="G2996" s="67">
        <f t="shared" si="81"/>
        <v>-3.36</v>
      </c>
      <c r="H2996" s="947" t="s">
        <v>1306</v>
      </c>
      <c r="I2996" s="1227"/>
    </row>
    <row r="2997" spans="1:10" ht="18" customHeight="1">
      <c r="A2997" s="128"/>
      <c r="B2997" s="64" t="s">
        <v>1147</v>
      </c>
      <c r="C2997" s="70"/>
      <c r="D2997" s="68"/>
      <c r="E2997" s="68"/>
      <c r="F2997" s="68"/>
      <c r="G2997" s="67" t="str">
        <f t="shared" si="81"/>
        <v xml:space="preserve"> </v>
      </c>
      <c r="H2997" s="947" t="s">
        <v>1306</v>
      </c>
    </row>
    <row r="2998" spans="1:10" s="78" customFormat="1" ht="18" customHeight="1">
      <c r="A2998" s="432"/>
      <c r="B2998" s="356" t="s">
        <v>1394</v>
      </c>
      <c r="C2998" s="76">
        <v>2</v>
      </c>
      <c r="D2998" s="572">
        <v>1.7</v>
      </c>
      <c r="E2998" s="68">
        <v>2.4</v>
      </c>
      <c r="F2998" s="68"/>
      <c r="G2998" s="67">
        <f t="shared" si="81"/>
        <v>8.16</v>
      </c>
      <c r="H2998" s="947" t="s">
        <v>1306</v>
      </c>
      <c r="I2998" s="1227"/>
    </row>
    <row r="2999" spans="1:10" s="606" customFormat="1" ht="18" customHeight="1">
      <c r="A2999" s="675"/>
      <c r="B2999" s="81"/>
      <c r="C2999" s="404">
        <v>2</v>
      </c>
      <c r="D2999" s="567">
        <v>2.7</v>
      </c>
      <c r="E2999" s="405">
        <v>2.4</v>
      </c>
      <c r="F2999" s="405"/>
      <c r="G2999" s="67">
        <f t="shared" si="81"/>
        <v>12.96</v>
      </c>
      <c r="H2999" s="947" t="s">
        <v>1306</v>
      </c>
      <c r="I2999" s="1242"/>
    </row>
    <row r="3000" spans="1:10" s="78" customFormat="1" ht="18" customHeight="1">
      <c r="A3000" s="432"/>
      <c r="B3000" s="356" t="s">
        <v>2177</v>
      </c>
      <c r="C3000" s="76">
        <v>-1</v>
      </c>
      <c r="D3000" s="77">
        <v>0.6</v>
      </c>
      <c r="E3000" s="68">
        <v>0.6</v>
      </c>
      <c r="F3000" s="68"/>
      <c r="G3000" s="67">
        <f t="shared" si="81"/>
        <v>-0.36</v>
      </c>
      <c r="H3000" s="947" t="s">
        <v>1306</v>
      </c>
      <c r="I3000" s="1227"/>
    </row>
    <row r="3001" spans="1:10" s="78" customFormat="1" ht="18" customHeight="1">
      <c r="A3001" s="432"/>
      <c r="B3001" s="356" t="s">
        <v>1140</v>
      </c>
      <c r="C3001" s="76">
        <v>-1</v>
      </c>
      <c r="D3001" s="77">
        <v>0.8</v>
      </c>
      <c r="E3001" s="68">
        <v>2.1</v>
      </c>
      <c r="F3001" s="68"/>
      <c r="G3001" s="67">
        <f t="shared" si="81"/>
        <v>-1.68</v>
      </c>
      <c r="H3001" s="947" t="s">
        <v>1306</v>
      </c>
      <c r="I3001" s="1227"/>
    </row>
    <row r="3002" spans="1:10" ht="18" customHeight="1">
      <c r="A3002" s="354" t="s">
        <v>1442</v>
      </c>
      <c r="B3002" s="63" t="s">
        <v>1639</v>
      </c>
      <c r="C3002" s="70"/>
      <c r="D3002" s="68"/>
      <c r="E3002" s="68"/>
      <c r="F3002" s="68"/>
      <c r="G3002" s="67" t="str">
        <f t="shared" si="81"/>
        <v xml:space="preserve"> </v>
      </c>
      <c r="H3002" s="929"/>
      <c r="I3002" s="1133"/>
    </row>
    <row r="3003" spans="1:10" s="78" customFormat="1" ht="18" customHeight="1">
      <c r="A3003" s="432"/>
      <c r="B3003" s="356" t="s">
        <v>1641</v>
      </c>
      <c r="C3003" s="76"/>
      <c r="D3003" s="77"/>
      <c r="E3003" s="68"/>
      <c r="F3003" s="68"/>
      <c r="G3003" s="67" t="str">
        <f t="shared" si="81"/>
        <v xml:space="preserve"> </v>
      </c>
      <c r="H3003" s="930"/>
      <c r="I3003" s="1227"/>
    </row>
    <row r="3004" spans="1:10" s="78" customFormat="1" ht="18" customHeight="1">
      <c r="A3004" s="432"/>
      <c r="B3004" s="63" t="s">
        <v>1643</v>
      </c>
      <c r="C3004" s="404">
        <f>1</f>
        <v>1</v>
      </c>
      <c r="D3004" s="405">
        <v>5</v>
      </c>
      <c r="E3004" s="405">
        <v>4</v>
      </c>
      <c r="F3004" s="405"/>
      <c r="G3004" s="67">
        <f t="shared" si="81"/>
        <v>20</v>
      </c>
      <c r="H3004" s="930"/>
      <c r="I3004" s="1227"/>
    </row>
    <row r="3005" spans="1:10" ht="18" customHeight="1">
      <c r="A3005" s="932"/>
      <c r="B3005" s="874" t="s">
        <v>2188</v>
      </c>
      <c r="C3005" s="875"/>
      <c r="D3005" s="874"/>
      <c r="E3005" s="874"/>
      <c r="F3005" s="874"/>
      <c r="G3005" s="842">
        <f>SUM(G2861:G3004)</f>
        <v>1340.8800000000008</v>
      </c>
      <c r="H3005" s="945" t="s">
        <v>10</v>
      </c>
      <c r="I3005" s="1226" t="s">
        <v>471</v>
      </c>
    </row>
    <row r="3006" spans="1:10" s="79" customFormat="1" ht="18" customHeight="1">
      <c r="A3006" s="934"/>
      <c r="B3006" s="254"/>
      <c r="C3006" s="565"/>
      <c r="D3006" s="254"/>
      <c r="E3006" s="254"/>
      <c r="F3006" s="254"/>
      <c r="G3006" s="566"/>
      <c r="H3006" s="935"/>
      <c r="I3006" s="1231"/>
    </row>
    <row r="3007" spans="1:10" ht="18" customHeight="1">
      <c r="A3007" s="380" t="s">
        <v>473</v>
      </c>
      <c r="B3007" s="387" t="s">
        <v>1190</v>
      </c>
      <c r="C3007" s="70"/>
      <c r="D3007" s="67"/>
      <c r="E3007" s="67"/>
      <c r="F3007" s="67"/>
      <c r="G3007" s="67"/>
      <c r="H3007" s="929"/>
    </row>
    <row r="3008" spans="1:10" ht="18" customHeight="1">
      <c r="A3008" s="128"/>
      <c r="B3008" s="64" t="s">
        <v>1692</v>
      </c>
      <c r="C3008" s="70"/>
      <c r="D3008" s="68"/>
      <c r="E3008" s="68"/>
      <c r="F3008" s="68"/>
      <c r="G3008" s="68"/>
      <c r="H3008" s="929"/>
      <c r="J3008" s="686"/>
    </row>
    <row r="3009" spans="1:10" s="78" customFormat="1" ht="18" customHeight="1">
      <c r="A3009" s="432"/>
      <c r="B3009" s="63" t="s">
        <v>2033</v>
      </c>
      <c r="C3009" s="70">
        <v>6</v>
      </c>
      <c r="D3009" s="68">
        <v>3.1</v>
      </c>
      <c r="E3009" s="68">
        <v>0.1</v>
      </c>
      <c r="F3009" s="68"/>
      <c r="G3009" s="67">
        <f t="shared" ref="G3009:G3072" si="82">IF(C3009&lt;&gt;0,ROUND(PRODUCT(D3009:F3009)*C3009,2)," ")</f>
        <v>1.86</v>
      </c>
      <c r="H3009" s="930" t="s">
        <v>1303</v>
      </c>
      <c r="I3009" s="1227"/>
      <c r="J3009" s="686"/>
    </row>
    <row r="3010" spans="1:10" s="78" customFormat="1" ht="18" customHeight="1">
      <c r="A3010" s="432"/>
      <c r="B3010" s="63"/>
      <c r="C3010" s="70">
        <v>6</v>
      </c>
      <c r="D3010" s="68">
        <v>4.8</v>
      </c>
      <c r="E3010" s="68">
        <v>0.1</v>
      </c>
      <c r="F3010" s="68"/>
      <c r="G3010" s="67">
        <f t="shared" si="82"/>
        <v>2.88</v>
      </c>
      <c r="H3010" s="930" t="s">
        <v>1303</v>
      </c>
      <c r="I3010" s="1227"/>
      <c r="J3010" s="686"/>
    </row>
    <row r="3011" spans="1:10" s="78" customFormat="1" ht="18" customHeight="1">
      <c r="A3011" s="432"/>
      <c r="B3011" s="63" t="s">
        <v>2064</v>
      </c>
      <c r="C3011" s="70">
        <v>2</v>
      </c>
      <c r="D3011" s="68">
        <v>6.3</v>
      </c>
      <c r="E3011" s="68">
        <v>0.1</v>
      </c>
      <c r="F3011" s="68"/>
      <c r="G3011" s="67">
        <f t="shared" si="82"/>
        <v>1.26</v>
      </c>
      <c r="H3011" s="930" t="s">
        <v>1303</v>
      </c>
      <c r="I3011" s="1227"/>
      <c r="J3011" s="686"/>
    </row>
    <row r="3012" spans="1:10" s="78" customFormat="1" ht="18" customHeight="1">
      <c r="A3012" s="432"/>
      <c r="B3012" s="63"/>
      <c r="C3012" s="70">
        <v>2</v>
      </c>
      <c r="D3012" s="68">
        <v>4.8</v>
      </c>
      <c r="E3012" s="68">
        <v>0.1</v>
      </c>
      <c r="F3012" s="68"/>
      <c r="G3012" s="67">
        <f t="shared" si="82"/>
        <v>0.96</v>
      </c>
      <c r="H3012" s="930" t="s">
        <v>1303</v>
      </c>
      <c r="I3012" s="1227"/>
      <c r="J3012" s="686"/>
    </row>
    <row r="3013" spans="1:10" s="78" customFormat="1" ht="18" customHeight="1">
      <c r="A3013" s="432"/>
      <c r="B3013" s="63" t="s">
        <v>2087</v>
      </c>
      <c r="C3013" s="70">
        <v>-3</v>
      </c>
      <c r="D3013" s="68">
        <v>0.9</v>
      </c>
      <c r="E3013" s="68">
        <v>0.1</v>
      </c>
      <c r="F3013" s="68"/>
      <c r="G3013" s="67">
        <f t="shared" si="82"/>
        <v>-0.27</v>
      </c>
      <c r="H3013" s="930" t="s">
        <v>1303</v>
      </c>
      <c r="I3013" s="1227"/>
      <c r="J3013" s="686"/>
    </row>
    <row r="3014" spans="1:10" s="78" customFormat="1" ht="18" customHeight="1">
      <c r="A3014" s="432"/>
      <c r="B3014" s="63" t="s">
        <v>2088</v>
      </c>
      <c r="C3014" s="70">
        <v>-1</v>
      </c>
      <c r="D3014" s="68">
        <v>1</v>
      </c>
      <c r="E3014" s="68">
        <v>0.1</v>
      </c>
      <c r="F3014" s="68"/>
      <c r="G3014" s="67">
        <f t="shared" si="82"/>
        <v>-0.1</v>
      </c>
      <c r="H3014" s="930" t="s">
        <v>1303</v>
      </c>
      <c r="I3014" s="1227"/>
      <c r="J3014" s="686"/>
    </row>
    <row r="3015" spans="1:10" ht="18" customHeight="1">
      <c r="A3015" s="128"/>
      <c r="B3015" s="64" t="s">
        <v>1697</v>
      </c>
      <c r="C3015" s="70"/>
      <c r="D3015" s="68"/>
      <c r="E3015" s="68"/>
      <c r="F3015" s="68"/>
      <c r="G3015" s="67" t="str">
        <f t="shared" si="82"/>
        <v xml:space="preserve"> </v>
      </c>
      <c r="H3015" s="930" t="s">
        <v>1303</v>
      </c>
      <c r="J3015" s="686"/>
    </row>
    <row r="3016" spans="1:10" s="78" customFormat="1" ht="18" customHeight="1">
      <c r="A3016" s="432"/>
      <c r="B3016" s="63" t="s">
        <v>2033</v>
      </c>
      <c r="C3016" s="70">
        <v>10</v>
      </c>
      <c r="D3016" s="68">
        <v>3.1</v>
      </c>
      <c r="E3016" s="68">
        <v>0.1</v>
      </c>
      <c r="F3016" s="68"/>
      <c r="G3016" s="67">
        <f t="shared" si="82"/>
        <v>3.1</v>
      </c>
      <c r="H3016" s="930" t="s">
        <v>1303</v>
      </c>
      <c r="I3016" s="1227"/>
      <c r="J3016" s="686"/>
    </row>
    <row r="3017" spans="1:10" s="78" customFormat="1" ht="18" customHeight="1">
      <c r="A3017" s="432"/>
      <c r="B3017" s="63"/>
      <c r="C3017" s="70">
        <v>10</v>
      </c>
      <c r="D3017" s="68">
        <v>4.8</v>
      </c>
      <c r="E3017" s="68">
        <v>0.1</v>
      </c>
      <c r="F3017" s="68"/>
      <c r="G3017" s="67">
        <f t="shared" si="82"/>
        <v>4.8</v>
      </c>
      <c r="H3017" s="930" t="s">
        <v>1303</v>
      </c>
      <c r="I3017" s="1227"/>
      <c r="J3017" s="686"/>
    </row>
    <row r="3018" spans="1:10" s="78" customFormat="1" ht="18" customHeight="1">
      <c r="A3018" s="432"/>
      <c r="B3018" s="63" t="s">
        <v>2089</v>
      </c>
      <c r="C3018" s="70">
        <v>-5</v>
      </c>
      <c r="D3018" s="68">
        <v>0.9</v>
      </c>
      <c r="E3018" s="68">
        <v>0.1</v>
      </c>
      <c r="F3018" s="68"/>
      <c r="G3018" s="67">
        <f t="shared" si="82"/>
        <v>-0.45</v>
      </c>
      <c r="H3018" s="930" t="s">
        <v>1303</v>
      </c>
      <c r="I3018" s="1227"/>
      <c r="J3018" s="686"/>
    </row>
    <row r="3019" spans="1:10" ht="18" customHeight="1">
      <c r="A3019" s="128"/>
      <c r="B3019" s="64" t="s">
        <v>1146</v>
      </c>
      <c r="C3019" s="70"/>
      <c r="D3019" s="68"/>
      <c r="E3019" s="68"/>
      <c r="F3019" s="68"/>
      <c r="G3019" s="67" t="str">
        <f t="shared" si="82"/>
        <v xml:space="preserve"> </v>
      </c>
      <c r="H3019" s="930" t="s">
        <v>1303</v>
      </c>
      <c r="J3019" s="686"/>
    </row>
    <row r="3020" spans="1:10" s="78" customFormat="1" ht="18" customHeight="1">
      <c r="A3020" s="432"/>
      <c r="B3020" s="63" t="s">
        <v>2033</v>
      </c>
      <c r="C3020" s="70">
        <v>8</v>
      </c>
      <c r="D3020" s="68">
        <v>3.1</v>
      </c>
      <c r="E3020" s="68">
        <v>0.1</v>
      </c>
      <c r="F3020" s="68"/>
      <c r="G3020" s="67">
        <f t="shared" si="82"/>
        <v>2.48</v>
      </c>
      <c r="H3020" s="930" t="s">
        <v>1303</v>
      </c>
      <c r="I3020" s="1227"/>
      <c r="J3020" s="686"/>
    </row>
    <row r="3021" spans="1:10" s="78" customFormat="1" ht="18" customHeight="1">
      <c r="A3021" s="432"/>
      <c r="B3021" s="63"/>
      <c r="C3021" s="70">
        <v>8</v>
      </c>
      <c r="D3021" s="68">
        <v>4.8</v>
      </c>
      <c r="E3021" s="68">
        <v>0.1</v>
      </c>
      <c r="F3021" s="68"/>
      <c r="G3021" s="67">
        <f t="shared" si="82"/>
        <v>3.84</v>
      </c>
      <c r="H3021" s="930" t="s">
        <v>1303</v>
      </c>
      <c r="I3021" s="1227"/>
      <c r="J3021" s="686"/>
    </row>
    <row r="3022" spans="1:10" ht="18" customHeight="1">
      <c r="A3022" s="128"/>
      <c r="B3022" s="64" t="s">
        <v>1147</v>
      </c>
      <c r="C3022" s="70"/>
      <c r="D3022" s="68"/>
      <c r="E3022" s="68"/>
      <c r="F3022" s="68"/>
      <c r="G3022" s="67" t="str">
        <f t="shared" si="82"/>
        <v xml:space="preserve"> </v>
      </c>
      <c r="H3022" s="930" t="s">
        <v>1303</v>
      </c>
      <c r="J3022" s="686"/>
    </row>
    <row r="3023" spans="1:10" ht="18" customHeight="1">
      <c r="A3023" s="128"/>
      <c r="B3023" s="64"/>
      <c r="C3023" s="70">
        <v>4</v>
      </c>
      <c r="D3023" s="68">
        <v>4.8</v>
      </c>
      <c r="E3023" s="68">
        <v>0.1</v>
      </c>
      <c r="F3023" s="68"/>
      <c r="G3023" s="67">
        <f t="shared" si="82"/>
        <v>1.92</v>
      </c>
      <c r="H3023" s="930" t="s">
        <v>1303</v>
      </c>
      <c r="J3023" s="686"/>
    </row>
    <row r="3024" spans="1:10" ht="18" customHeight="1">
      <c r="A3024" s="128"/>
      <c r="B3024" s="64"/>
      <c r="C3024" s="70">
        <v>2</v>
      </c>
      <c r="D3024" s="68">
        <v>9.1999999999999993</v>
      </c>
      <c r="E3024" s="68">
        <v>0.1</v>
      </c>
      <c r="F3024" s="68"/>
      <c r="G3024" s="67">
        <f t="shared" si="82"/>
        <v>1.84</v>
      </c>
      <c r="H3024" s="930" t="s">
        <v>1303</v>
      </c>
      <c r="J3024" s="686"/>
    </row>
    <row r="3025" spans="1:10" ht="18" customHeight="1">
      <c r="A3025" s="128"/>
      <c r="B3025" s="64" t="s">
        <v>1701</v>
      </c>
      <c r="C3025" s="70"/>
      <c r="D3025" s="68"/>
      <c r="E3025" s="68"/>
      <c r="F3025" s="68"/>
      <c r="G3025" s="67" t="str">
        <f t="shared" si="82"/>
        <v xml:space="preserve"> </v>
      </c>
      <c r="H3025" s="930" t="s">
        <v>1303</v>
      </c>
      <c r="J3025" s="686"/>
    </row>
    <row r="3026" spans="1:10" s="78" customFormat="1" ht="18" customHeight="1">
      <c r="A3026" s="432"/>
      <c r="B3026" s="63" t="s">
        <v>2033</v>
      </c>
      <c r="C3026" s="70">
        <v>14</v>
      </c>
      <c r="D3026" s="68">
        <v>3.1</v>
      </c>
      <c r="E3026" s="68">
        <v>0.1</v>
      </c>
      <c r="F3026" s="68"/>
      <c r="G3026" s="67">
        <f t="shared" si="82"/>
        <v>4.34</v>
      </c>
      <c r="H3026" s="930" t="s">
        <v>1303</v>
      </c>
      <c r="I3026" s="1227"/>
      <c r="J3026" s="686"/>
    </row>
    <row r="3027" spans="1:10" s="78" customFormat="1" ht="18" customHeight="1">
      <c r="A3027" s="432"/>
      <c r="B3027" s="63"/>
      <c r="C3027" s="70">
        <v>14</v>
      </c>
      <c r="D3027" s="68">
        <v>4.8</v>
      </c>
      <c r="E3027" s="68">
        <v>0.1</v>
      </c>
      <c r="F3027" s="68"/>
      <c r="G3027" s="67">
        <f t="shared" si="82"/>
        <v>6.72</v>
      </c>
      <c r="H3027" s="930" t="s">
        <v>1303</v>
      </c>
      <c r="I3027" s="1227"/>
      <c r="J3027" s="686"/>
    </row>
    <row r="3028" spans="1:10" s="78" customFormat="1" ht="18" customHeight="1">
      <c r="A3028" s="432"/>
      <c r="B3028" s="63" t="s">
        <v>2090</v>
      </c>
      <c r="C3028" s="70">
        <v>-7</v>
      </c>
      <c r="D3028" s="68">
        <v>0.9</v>
      </c>
      <c r="E3028" s="68">
        <v>0.1</v>
      </c>
      <c r="F3028" s="68"/>
      <c r="G3028" s="67">
        <f t="shared" si="82"/>
        <v>-0.63</v>
      </c>
      <c r="H3028" s="930" t="s">
        <v>1303</v>
      </c>
      <c r="I3028" s="1227"/>
      <c r="J3028" s="686"/>
    </row>
    <row r="3029" spans="1:10" ht="18" customHeight="1">
      <c r="A3029" s="128"/>
      <c r="B3029" s="64" t="s">
        <v>1704</v>
      </c>
      <c r="C3029" s="70"/>
      <c r="D3029" s="68"/>
      <c r="E3029" s="68"/>
      <c r="F3029" s="68"/>
      <c r="G3029" s="67" t="str">
        <f t="shared" si="82"/>
        <v xml:space="preserve"> </v>
      </c>
      <c r="H3029" s="930" t="s">
        <v>1303</v>
      </c>
      <c r="J3029" s="686"/>
    </row>
    <row r="3030" spans="1:10" s="78" customFormat="1" ht="18" customHeight="1">
      <c r="A3030" s="432"/>
      <c r="B3030" s="63" t="s">
        <v>2033</v>
      </c>
      <c r="C3030" s="70">
        <v>8</v>
      </c>
      <c r="D3030" s="68">
        <v>3.1</v>
      </c>
      <c r="E3030" s="68">
        <v>0.1</v>
      </c>
      <c r="F3030" s="68"/>
      <c r="G3030" s="67">
        <f t="shared" si="82"/>
        <v>2.48</v>
      </c>
      <c r="H3030" s="930" t="s">
        <v>1303</v>
      </c>
      <c r="I3030" s="1227"/>
      <c r="J3030" s="686"/>
    </row>
    <row r="3031" spans="1:10" s="78" customFormat="1" ht="18" customHeight="1">
      <c r="A3031" s="432"/>
      <c r="B3031" s="63"/>
      <c r="C3031" s="70">
        <v>8</v>
      </c>
      <c r="D3031" s="68">
        <v>4.8</v>
      </c>
      <c r="E3031" s="68">
        <v>0.1</v>
      </c>
      <c r="F3031" s="68"/>
      <c r="G3031" s="67">
        <f t="shared" si="82"/>
        <v>3.84</v>
      </c>
      <c r="H3031" s="930" t="s">
        <v>1303</v>
      </c>
      <c r="I3031" s="1227"/>
      <c r="J3031" s="686"/>
    </row>
    <row r="3032" spans="1:10" s="78" customFormat="1" ht="18" customHeight="1">
      <c r="A3032" s="432"/>
      <c r="B3032" s="63" t="s">
        <v>2090</v>
      </c>
      <c r="C3032" s="70">
        <v>-4</v>
      </c>
      <c r="D3032" s="68">
        <v>0.9</v>
      </c>
      <c r="E3032" s="68">
        <v>0.1</v>
      </c>
      <c r="F3032" s="68"/>
      <c r="G3032" s="67">
        <f t="shared" si="82"/>
        <v>-0.36</v>
      </c>
      <c r="H3032" s="930" t="s">
        <v>1303</v>
      </c>
      <c r="I3032" s="1227"/>
      <c r="J3032" s="686"/>
    </row>
    <row r="3033" spans="1:10" s="78" customFormat="1" ht="18" customHeight="1">
      <c r="A3033" s="432"/>
      <c r="B3033" s="63" t="s">
        <v>1149</v>
      </c>
      <c r="C3033" s="76">
        <v>2</v>
      </c>
      <c r="D3033" s="77">
        <v>4.7</v>
      </c>
      <c r="E3033" s="68">
        <v>0.1</v>
      </c>
      <c r="F3033" s="68"/>
      <c r="G3033" s="67">
        <f t="shared" si="82"/>
        <v>0.94</v>
      </c>
      <c r="H3033" s="930" t="s">
        <v>1303</v>
      </c>
      <c r="I3033" s="1227"/>
      <c r="J3033" s="686"/>
    </row>
    <row r="3034" spans="1:10" s="78" customFormat="1" ht="18" customHeight="1">
      <c r="A3034" s="432"/>
      <c r="B3034" s="63"/>
      <c r="C3034" s="76">
        <v>2</v>
      </c>
      <c r="D3034" s="77">
        <v>3.05</v>
      </c>
      <c r="E3034" s="68">
        <v>0.1</v>
      </c>
      <c r="F3034" s="68"/>
      <c r="G3034" s="67">
        <f t="shared" si="82"/>
        <v>0.61</v>
      </c>
      <c r="H3034" s="930" t="s">
        <v>1303</v>
      </c>
      <c r="I3034" s="1227"/>
      <c r="J3034" s="686"/>
    </row>
    <row r="3035" spans="1:10" s="78" customFormat="1" ht="18" customHeight="1">
      <c r="A3035" s="432"/>
      <c r="B3035" s="63"/>
      <c r="C3035" s="76">
        <v>-1</v>
      </c>
      <c r="D3035" s="77">
        <v>1.4</v>
      </c>
      <c r="E3035" s="68">
        <v>0.1</v>
      </c>
      <c r="F3035" s="68"/>
      <c r="G3035" s="67">
        <f t="shared" si="82"/>
        <v>-0.14000000000000001</v>
      </c>
      <c r="H3035" s="930" t="s">
        <v>1303</v>
      </c>
      <c r="I3035" s="1227"/>
      <c r="J3035" s="686"/>
    </row>
    <row r="3036" spans="1:10" ht="18" customHeight="1">
      <c r="A3036" s="128"/>
      <c r="B3036" s="356" t="s">
        <v>2069</v>
      </c>
      <c r="C3036" s="76">
        <v>2</v>
      </c>
      <c r="D3036" s="77">
        <v>4.8</v>
      </c>
      <c r="E3036" s="68">
        <v>0.1</v>
      </c>
      <c r="F3036" s="68"/>
      <c r="G3036" s="67">
        <f t="shared" si="82"/>
        <v>0.96</v>
      </c>
      <c r="H3036" s="930" t="s">
        <v>1303</v>
      </c>
      <c r="J3036" s="686"/>
    </row>
    <row r="3037" spans="1:10" ht="18" customHeight="1">
      <c r="A3037" s="128"/>
      <c r="B3037" s="356"/>
      <c r="C3037" s="76">
        <v>2</v>
      </c>
      <c r="D3037" s="77">
        <v>8</v>
      </c>
      <c r="E3037" s="68">
        <v>0.1</v>
      </c>
      <c r="F3037" s="68"/>
      <c r="G3037" s="67">
        <f t="shared" si="82"/>
        <v>1.6</v>
      </c>
      <c r="H3037" s="930" t="s">
        <v>1303</v>
      </c>
      <c r="J3037" s="686"/>
    </row>
    <row r="3038" spans="1:10" ht="18" customHeight="1">
      <c r="A3038" s="128"/>
      <c r="B3038" s="356" t="s">
        <v>2088</v>
      </c>
      <c r="C3038" s="76">
        <v>-1</v>
      </c>
      <c r="D3038" s="77">
        <v>1</v>
      </c>
      <c r="E3038" s="68">
        <v>0.1</v>
      </c>
      <c r="F3038" s="68"/>
      <c r="G3038" s="67">
        <f t="shared" si="82"/>
        <v>-0.1</v>
      </c>
      <c r="H3038" s="930" t="s">
        <v>1303</v>
      </c>
      <c r="J3038" s="686"/>
    </row>
    <row r="3039" spans="1:10" ht="18" customHeight="1">
      <c r="A3039" s="128"/>
      <c r="B3039" s="64" t="s">
        <v>1706</v>
      </c>
      <c r="C3039" s="70"/>
      <c r="D3039" s="68"/>
      <c r="E3039" s="68"/>
      <c r="F3039" s="68"/>
      <c r="G3039" s="67" t="str">
        <f t="shared" si="82"/>
        <v xml:space="preserve"> </v>
      </c>
      <c r="H3039" s="930" t="s">
        <v>1303</v>
      </c>
      <c r="J3039" s="686"/>
    </row>
    <row r="3040" spans="1:10" s="78" customFormat="1" ht="18" customHeight="1">
      <c r="A3040" s="432"/>
      <c r="B3040" s="63" t="s">
        <v>2033</v>
      </c>
      <c r="C3040" s="70">
        <v>14</v>
      </c>
      <c r="D3040" s="68">
        <v>3.1</v>
      </c>
      <c r="E3040" s="68">
        <v>0.1</v>
      </c>
      <c r="F3040" s="68"/>
      <c r="G3040" s="67">
        <f t="shared" si="82"/>
        <v>4.34</v>
      </c>
      <c r="H3040" s="930" t="s">
        <v>1303</v>
      </c>
      <c r="I3040" s="1227"/>
      <c r="J3040" s="686"/>
    </row>
    <row r="3041" spans="1:10" s="78" customFormat="1" ht="18" customHeight="1">
      <c r="A3041" s="432"/>
      <c r="B3041" s="63"/>
      <c r="C3041" s="70">
        <v>14</v>
      </c>
      <c r="D3041" s="68">
        <v>4.8</v>
      </c>
      <c r="E3041" s="68">
        <v>0.1</v>
      </c>
      <c r="F3041" s="68"/>
      <c r="G3041" s="67">
        <f t="shared" si="82"/>
        <v>6.72</v>
      </c>
      <c r="H3041" s="930" t="s">
        <v>1303</v>
      </c>
      <c r="I3041" s="1227"/>
      <c r="J3041" s="686"/>
    </row>
    <row r="3042" spans="1:10" s="78" customFormat="1" ht="18" customHeight="1">
      <c r="A3042" s="432"/>
      <c r="B3042" s="63" t="s">
        <v>2090</v>
      </c>
      <c r="C3042" s="70">
        <v>-7</v>
      </c>
      <c r="D3042" s="68">
        <v>0.9</v>
      </c>
      <c r="E3042" s="68">
        <v>0.1</v>
      </c>
      <c r="F3042" s="68"/>
      <c r="G3042" s="67">
        <f t="shared" si="82"/>
        <v>-0.63</v>
      </c>
      <c r="H3042" s="930" t="s">
        <v>1303</v>
      </c>
      <c r="I3042" s="1227"/>
      <c r="J3042" s="686"/>
    </row>
    <row r="3043" spans="1:10" ht="18" customHeight="1">
      <c r="A3043" s="128"/>
      <c r="B3043" s="64" t="s">
        <v>1707</v>
      </c>
      <c r="C3043" s="70"/>
      <c r="D3043" s="68"/>
      <c r="E3043" s="68"/>
      <c r="F3043" s="68"/>
      <c r="G3043" s="67" t="str">
        <f t="shared" si="82"/>
        <v xml:space="preserve"> </v>
      </c>
      <c r="H3043" s="930" t="s">
        <v>1303</v>
      </c>
      <c r="J3043" s="686"/>
    </row>
    <row r="3044" spans="1:10" s="78" customFormat="1" ht="18" customHeight="1">
      <c r="A3044" s="432"/>
      <c r="B3044" s="63" t="s">
        <v>2033</v>
      </c>
      <c r="C3044" s="70">
        <v>8</v>
      </c>
      <c r="D3044" s="68">
        <v>3.1</v>
      </c>
      <c r="E3044" s="68">
        <v>0.1</v>
      </c>
      <c r="F3044" s="68"/>
      <c r="G3044" s="67">
        <f t="shared" si="82"/>
        <v>2.48</v>
      </c>
      <c r="H3044" s="930" t="s">
        <v>1303</v>
      </c>
      <c r="I3044" s="1227"/>
      <c r="J3044" s="686"/>
    </row>
    <row r="3045" spans="1:10" s="78" customFormat="1" ht="18" customHeight="1">
      <c r="A3045" s="432"/>
      <c r="B3045" s="63"/>
      <c r="C3045" s="70">
        <v>8</v>
      </c>
      <c r="D3045" s="68">
        <v>4.8</v>
      </c>
      <c r="E3045" s="68">
        <v>0.1</v>
      </c>
      <c r="F3045" s="68"/>
      <c r="G3045" s="67">
        <f t="shared" si="82"/>
        <v>3.84</v>
      </c>
      <c r="H3045" s="930" t="s">
        <v>1303</v>
      </c>
      <c r="I3045" s="1227"/>
      <c r="J3045" s="686"/>
    </row>
    <row r="3046" spans="1:10" s="78" customFormat="1" ht="18" customHeight="1">
      <c r="A3046" s="432"/>
      <c r="B3046" s="63" t="s">
        <v>2090</v>
      </c>
      <c r="C3046" s="70">
        <v>-4</v>
      </c>
      <c r="D3046" s="68">
        <v>0.9</v>
      </c>
      <c r="E3046" s="68">
        <v>0.1</v>
      </c>
      <c r="F3046" s="68"/>
      <c r="G3046" s="67">
        <f t="shared" si="82"/>
        <v>-0.36</v>
      </c>
      <c r="H3046" s="930" t="s">
        <v>1303</v>
      </c>
      <c r="I3046" s="1227"/>
      <c r="J3046" s="686"/>
    </row>
    <row r="3047" spans="1:10" s="78" customFormat="1" ht="18" customHeight="1">
      <c r="A3047" s="432"/>
      <c r="B3047" s="63" t="s">
        <v>1149</v>
      </c>
      <c r="C3047" s="76">
        <v>2</v>
      </c>
      <c r="D3047" s="77">
        <v>4.7</v>
      </c>
      <c r="E3047" s="68">
        <v>0.1</v>
      </c>
      <c r="F3047" s="68"/>
      <c r="G3047" s="67">
        <f t="shared" si="82"/>
        <v>0.94</v>
      </c>
      <c r="H3047" s="930" t="s">
        <v>1303</v>
      </c>
      <c r="I3047" s="1227"/>
      <c r="J3047" s="686"/>
    </row>
    <row r="3048" spans="1:10" s="78" customFormat="1" ht="18" customHeight="1">
      <c r="A3048" s="432"/>
      <c r="B3048" s="63"/>
      <c r="C3048" s="76">
        <v>2</v>
      </c>
      <c r="D3048" s="77">
        <v>3.05</v>
      </c>
      <c r="E3048" s="68">
        <v>0.1</v>
      </c>
      <c r="F3048" s="68"/>
      <c r="G3048" s="67">
        <f t="shared" si="82"/>
        <v>0.61</v>
      </c>
      <c r="H3048" s="930" t="s">
        <v>1303</v>
      </c>
      <c r="I3048" s="1227"/>
      <c r="J3048" s="686"/>
    </row>
    <row r="3049" spans="1:10" s="78" customFormat="1" ht="18" customHeight="1">
      <c r="A3049" s="432"/>
      <c r="B3049" s="63"/>
      <c r="C3049" s="76">
        <v>-1</v>
      </c>
      <c r="D3049" s="77">
        <v>1.4</v>
      </c>
      <c r="E3049" s="68">
        <v>0.1</v>
      </c>
      <c r="F3049" s="68"/>
      <c r="G3049" s="67">
        <f t="shared" si="82"/>
        <v>-0.14000000000000001</v>
      </c>
      <c r="H3049" s="930" t="s">
        <v>1303</v>
      </c>
      <c r="I3049" s="1227"/>
      <c r="J3049" s="686"/>
    </row>
    <row r="3050" spans="1:10" ht="18" customHeight="1">
      <c r="A3050" s="128"/>
      <c r="B3050" s="356" t="s">
        <v>2069</v>
      </c>
      <c r="C3050" s="76">
        <v>2</v>
      </c>
      <c r="D3050" s="77">
        <v>4.8</v>
      </c>
      <c r="E3050" s="68">
        <v>0.1</v>
      </c>
      <c r="F3050" s="68"/>
      <c r="G3050" s="67">
        <f t="shared" si="82"/>
        <v>0.96</v>
      </c>
      <c r="H3050" s="930" t="s">
        <v>1303</v>
      </c>
      <c r="J3050" s="686"/>
    </row>
    <row r="3051" spans="1:10" ht="18" customHeight="1">
      <c r="A3051" s="128"/>
      <c r="B3051" s="356"/>
      <c r="C3051" s="76">
        <v>2</v>
      </c>
      <c r="D3051" s="77">
        <v>8</v>
      </c>
      <c r="E3051" s="68">
        <v>0.1</v>
      </c>
      <c r="F3051" s="68"/>
      <c r="G3051" s="67">
        <f t="shared" si="82"/>
        <v>1.6</v>
      </c>
      <c r="H3051" s="930" t="s">
        <v>1303</v>
      </c>
      <c r="J3051" s="686"/>
    </row>
    <row r="3052" spans="1:10" ht="18" customHeight="1">
      <c r="A3052" s="128"/>
      <c r="B3052" s="356" t="s">
        <v>2088</v>
      </c>
      <c r="C3052" s="76">
        <v>-1</v>
      </c>
      <c r="D3052" s="77">
        <v>1</v>
      </c>
      <c r="E3052" s="68">
        <v>0.1</v>
      </c>
      <c r="F3052" s="68"/>
      <c r="G3052" s="67">
        <f t="shared" si="82"/>
        <v>-0.1</v>
      </c>
      <c r="H3052" s="930" t="s">
        <v>1303</v>
      </c>
      <c r="J3052" s="686"/>
    </row>
    <row r="3053" spans="1:10" ht="18" customHeight="1">
      <c r="A3053" s="128"/>
      <c r="B3053" s="64" t="s">
        <v>1148</v>
      </c>
      <c r="C3053" s="70"/>
      <c r="D3053" s="68"/>
      <c r="E3053" s="68"/>
      <c r="F3053" s="68"/>
      <c r="G3053" s="67" t="str">
        <f t="shared" si="82"/>
        <v xml:space="preserve"> </v>
      </c>
      <c r="H3053" s="930" t="s">
        <v>1303</v>
      </c>
      <c r="J3053" s="686"/>
    </row>
    <row r="3054" spans="1:10" s="78" customFormat="1" ht="18" customHeight="1">
      <c r="A3054" s="432"/>
      <c r="B3054" s="63" t="s">
        <v>2033</v>
      </c>
      <c r="C3054" s="70">
        <v>4</v>
      </c>
      <c r="D3054" s="68">
        <v>3.1</v>
      </c>
      <c r="E3054" s="68">
        <v>0.1</v>
      </c>
      <c r="F3054" s="68"/>
      <c r="G3054" s="67">
        <f t="shared" si="82"/>
        <v>1.24</v>
      </c>
      <c r="H3054" s="930" t="s">
        <v>1303</v>
      </c>
      <c r="I3054" s="1227"/>
      <c r="J3054" s="686"/>
    </row>
    <row r="3055" spans="1:10" s="78" customFormat="1" ht="18" customHeight="1">
      <c r="A3055" s="432"/>
      <c r="B3055" s="63"/>
      <c r="C3055" s="70">
        <v>4</v>
      </c>
      <c r="D3055" s="68">
        <v>4.8</v>
      </c>
      <c r="E3055" s="68">
        <v>0.1</v>
      </c>
      <c r="F3055" s="68"/>
      <c r="G3055" s="67">
        <f t="shared" si="82"/>
        <v>1.92</v>
      </c>
      <c r="H3055" s="930" t="s">
        <v>1303</v>
      </c>
      <c r="I3055" s="1227"/>
      <c r="J3055" s="686"/>
    </row>
    <row r="3056" spans="1:10" s="78" customFormat="1" ht="18" customHeight="1">
      <c r="A3056" s="432"/>
      <c r="B3056" s="63" t="s">
        <v>2090</v>
      </c>
      <c r="C3056" s="70">
        <v>-2</v>
      </c>
      <c r="D3056" s="68">
        <v>0.9</v>
      </c>
      <c r="E3056" s="68">
        <v>0.1</v>
      </c>
      <c r="F3056" s="68"/>
      <c r="G3056" s="67">
        <f t="shared" si="82"/>
        <v>-0.18</v>
      </c>
      <c r="H3056" s="930" t="s">
        <v>1303</v>
      </c>
      <c r="I3056" s="1227"/>
      <c r="J3056" s="686"/>
    </row>
    <row r="3057" spans="1:10" s="78" customFormat="1" ht="18" customHeight="1">
      <c r="A3057" s="432"/>
      <c r="B3057" s="63" t="s">
        <v>2070</v>
      </c>
      <c r="C3057" s="76">
        <v>2</v>
      </c>
      <c r="D3057" s="77">
        <v>3</v>
      </c>
      <c r="E3057" s="68">
        <v>0.1</v>
      </c>
      <c r="F3057" s="68"/>
      <c r="G3057" s="67">
        <f t="shared" si="82"/>
        <v>0.6</v>
      </c>
      <c r="H3057" s="930" t="s">
        <v>1303</v>
      </c>
      <c r="I3057" s="1227"/>
      <c r="J3057" s="686"/>
    </row>
    <row r="3058" spans="1:10" s="78" customFormat="1" ht="18" customHeight="1">
      <c r="A3058" s="432"/>
      <c r="B3058" s="63"/>
      <c r="C3058" s="76">
        <v>2</v>
      </c>
      <c r="D3058" s="77">
        <v>4.7</v>
      </c>
      <c r="E3058" s="68">
        <v>0.1</v>
      </c>
      <c r="F3058" s="68"/>
      <c r="G3058" s="67">
        <f t="shared" si="82"/>
        <v>0.94</v>
      </c>
      <c r="H3058" s="930" t="s">
        <v>1303</v>
      </c>
      <c r="I3058" s="1227"/>
      <c r="J3058" s="686"/>
    </row>
    <row r="3059" spans="1:10" s="78" customFormat="1" ht="18" customHeight="1">
      <c r="A3059" s="432"/>
      <c r="B3059" s="63"/>
      <c r="C3059" s="76">
        <v>-1</v>
      </c>
      <c r="D3059" s="77">
        <v>1</v>
      </c>
      <c r="E3059" s="68">
        <v>0.1</v>
      </c>
      <c r="F3059" s="68"/>
      <c r="G3059" s="67">
        <f t="shared" si="82"/>
        <v>-0.1</v>
      </c>
      <c r="H3059" s="930" t="s">
        <v>1303</v>
      </c>
      <c r="I3059" s="1227"/>
      <c r="J3059" s="686"/>
    </row>
    <row r="3060" spans="1:10" ht="18" customHeight="1">
      <c r="A3060" s="128"/>
      <c r="B3060" s="356" t="s">
        <v>1150</v>
      </c>
      <c r="C3060" s="76">
        <v>4</v>
      </c>
      <c r="D3060" s="77">
        <v>3.1</v>
      </c>
      <c r="E3060" s="68">
        <v>0.1</v>
      </c>
      <c r="F3060" s="68"/>
      <c r="G3060" s="67">
        <f t="shared" si="82"/>
        <v>1.24</v>
      </c>
      <c r="H3060" s="930" t="s">
        <v>1303</v>
      </c>
      <c r="J3060" s="686"/>
    </row>
    <row r="3061" spans="1:10" ht="18" customHeight="1">
      <c r="A3061" s="128"/>
      <c r="B3061" s="356"/>
      <c r="C3061" s="76">
        <v>-1</v>
      </c>
      <c r="D3061" s="77">
        <v>1.5</v>
      </c>
      <c r="E3061" s="68">
        <v>0.1</v>
      </c>
      <c r="F3061" s="68"/>
      <c r="G3061" s="67">
        <f t="shared" si="82"/>
        <v>-0.15</v>
      </c>
      <c r="H3061" s="930" t="s">
        <v>1303</v>
      </c>
      <c r="J3061" s="686"/>
    </row>
    <row r="3062" spans="1:10" ht="18" customHeight="1">
      <c r="A3062" s="128"/>
      <c r="B3062" s="64" t="s">
        <v>1708</v>
      </c>
      <c r="C3062" s="70"/>
      <c r="D3062" s="68"/>
      <c r="E3062" s="68"/>
      <c r="F3062" s="68"/>
      <c r="G3062" s="67" t="str">
        <f t="shared" si="82"/>
        <v xml:space="preserve"> </v>
      </c>
      <c r="H3062" s="930" t="s">
        <v>1303</v>
      </c>
      <c r="J3062" s="686"/>
    </row>
    <row r="3063" spans="1:10" s="78" customFormat="1" ht="18" customHeight="1">
      <c r="A3063" s="432"/>
      <c r="B3063" s="63" t="s">
        <v>2033</v>
      </c>
      <c r="C3063" s="70">
        <v>6</v>
      </c>
      <c r="D3063" s="68">
        <v>3.1</v>
      </c>
      <c r="E3063" s="68">
        <v>0.1</v>
      </c>
      <c r="F3063" s="68"/>
      <c r="G3063" s="67">
        <f t="shared" si="82"/>
        <v>1.86</v>
      </c>
      <c r="H3063" s="930" t="s">
        <v>1303</v>
      </c>
      <c r="I3063" s="1227"/>
      <c r="J3063" s="686"/>
    </row>
    <row r="3064" spans="1:10" s="78" customFormat="1" ht="18" customHeight="1">
      <c r="A3064" s="432"/>
      <c r="B3064" s="63"/>
      <c r="C3064" s="70">
        <v>6</v>
      </c>
      <c r="D3064" s="68">
        <v>4.8</v>
      </c>
      <c r="E3064" s="68">
        <v>0.1</v>
      </c>
      <c r="F3064" s="68"/>
      <c r="G3064" s="67">
        <f t="shared" si="82"/>
        <v>2.88</v>
      </c>
      <c r="H3064" s="930" t="s">
        <v>1303</v>
      </c>
      <c r="I3064" s="1227"/>
      <c r="J3064" s="686"/>
    </row>
    <row r="3065" spans="1:10" s="78" customFormat="1" ht="18" customHeight="1">
      <c r="A3065" s="432"/>
      <c r="B3065" s="63" t="s">
        <v>2090</v>
      </c>
      <c r="C3065" s="70">
        <v>-3</v>
      </c>
      <c r="D3065" s="68">
        <v>0.9</v>
      </c>
      <c r="E3065" s="68">
        <v>0.1</v>
      </c>
      <c r="F3065" s="68"/>
      <c r="G3065" s="67">
        <f t="shared" si="82"/>
        <v>-0.27</v>
      </c>
      <c r="H3065" s="930" t="s">
        <v>1303</v>
      </c>
      <c r="I3065" s="1227"/>
      <c r="J3065" s="686"/>
    </row>
    <row r="3066" spans="1:10" ht="18" customHeight="1">
      <c r="A3066" s="128"/>
      <c r="B3066" s="64" t="s">
        <v>1709</v>
      </c>
      <c r="C3066" s="70"/>
      <c r="D3066" s="68"/>
      <c r="E3066" s="68"/>
      <c r="F3066" s="68"/>
      <c r="G3066" s="67" t="str">
        <f t="shared" si="82"/>
        <v xml:space="preserve"> </v>
      </c>
      <c r="H3066" s="930" t="s">
        <v>1303</v>
      </c>
      <c r="J3066" s="686"/>
    </row>
    <row r="3067" spans="1:10" s="78" customFormat="1" ht="18" customHeight="1">
      <c r="A3067" s="432"/>
      <c r="B3067" s="63" t="s">
        <v>2033</v>
      </c>
      <c r="C3067" s="70">
        <v>4</v>
      </c>
      <c r="D3067" s="68">
        <v>3.1</v>
      </c>
      <c r="E3067" s="68">
        <v>0.1</v>
      </c>
      <c r="F3067" s="68"/>
      <c r="G3067" s="67">
        <f t="shared" si="82"/>
        <v>1.24</v>
      </c>
      <c r="H3067" s="930" t="s">
        <v>1303</v>
      </c>
      <c r="I3067" s="1227"/>
      <c r="J3067" s="686"/>
    </row>
    <row r="3068" spans="1:10" s="78" customFormat="1" ht="18" customHeight="1">
      <c r="A3068" s="432"/>
      <c r="B3068" s="63"/>
      <c r="C3068" s="70">
        <v>4</v>
      </c>
      <c r="D3068" s="68">
        <v>4.8</v>
      </c>
      <c r="E3068" s="68">
        <v>0.1</v>
      </c>
      <c r="F3068" s="68"/>
      <c r="G3068" s="67">
        <f t="shared" si="82"/>
        <v>1.92</v>
      </c>
      <c r="H3068" s="930" t="s">
        <v>1303</v>
      </c>
      <c r="I3068" s="1227"/>
      <c r="J3068" s="686"/>
    </row>
    <row r="3069" spans="1:10" s="78" customFormat="1" ht="18" customHeight="1">
      <c r="A3069" s="432"/>
      <c r="B3069" s="63" t="s">
        <v>2090</v>
      </c>
      <c r="C3069" s="70">
        <v>-2</v>
      </c>
      <c r="D3069" s="68">
        <v>0.9</v>
      </c>
      <c r="E3069" s="68">
        <v>0.1</v>
      </c>
      <c r="F3069" s="68"/>
      <c r="G3069" s="67">
        <f t="shared" si="82"/>
        <v>-0.18</v>
      </c>
      <c r="H3069" s="930" t="s">
        <v>1303</v>
      </c>
      <c r="I3069" s="1227"/>
      <c r="J3069" s="686"/>
    </row>
    <row r="3070" spans="1:10" s="78" customFormat="1" ht="18" customHeight="1">
      <c r="A3070" s="432"/>
      <c r="B3070" s="63" t="s">
        <v>2070</v>
      </c>
      <c r="C3070" s="76">
        <v>2</v>
      </c>
      <c r="D3070" s="77">
        <v>3</v>
      </c>
      <c r="E3070" s="68">
        <v>0.1</v>
      </c>
      <c r="F3070" s="68"/>
      <c r="G3070" s="67">
        <f t="shared" si="82"/>
        <v>0.6</v>
      </c>
      <c r="H3070" s="930" t="s">
        <v>1303</v>
      </c>
      <c r="I3070" s="1227"/>
      <c r="J3070" s="686"/>
    </row>
    <row r="3071" spans="1:10" s="78" customFormat="1" ht="18" customHeight="1">
      <c r="A3071" s="432"/>
      <c r="B3071" s="63"/>
      <c r="C3071" s="76">
        <v>2</v>
      </c>
      <c r="D3071" s="77">
        <v>4.7</v>
      </c>
      <c r="E3071" s="68">
        <v>0.1</v>
      </c>
      <c r="F3071" s="68"/>
      <c r="G3071" s="67">
        <f t="shared" si="82"/>
        <v>0.94</v>
      </c>
      <c r="H3071" s="930" t="s">
        <v>1303</v>
      </c>
      <c r="I3071" s="1227"/>
      <c r="J3071" s="686"/>
    </row>
    <row r="3072" spans="1:10" s="78" customFormat="1" ht="18" customHeight="1">
      <c r="A3072" s="432"/>
      <c r="B3072" s="63"/>
      <c r="C3072" s="76">
        <v>-1</v>
      </c>
      <c r="D3072" s="77">
        <v>1</v>
      </c>
      <c r="E3072" s="68">
        <v>0.1</v>
      </c>
      <c r="F3072" s="68"/>
      <c r="G3072" s="67">
        <f t="shared" si="82"/>
        <v>-0.1</v>
      </c>
      <c r="H3072" s="930" t="s">
        <v>1303</v>
      </c>
      <c r="I3072" s="1227"/>
      <c r="J3072" s="686"/>
    </row>
    <row r="3073" spans="1:10" ht="18" customHeight="1">
      <c r="A3073" s="128"/>
      <c r="B3073" s="356" t="s">
        <v>1150</v>
      </c>
      <c r="C3073" s="76">
        <v>4</v>
      </c>
      <c r="D3073" s="77">
        <v>3.1</v>
      </c>
      <c r="E3073" s="68">
        <v>0.1</v>
      </c>
      <c r="F3073" s="68"/>
      <c r="G3073" s="67">
        <f t="shared" ref="G3073:G3136" si="83">IF(C3073&lt;&gt;0,ROUND(PRODUCT(D3073:F3073)*C3073,2)," ")</f>
        <v>1.24</v>
      </c>
      <c r="H3073" s="930" t="s">
        <v>1303</v>
      </c>
      <c r="J3073" s="686"/>
    </row>
    <row r="3074" spans="1:10" ht="18" customHeight="1">
      <c r="A3074" s="128"/>
      <c r="B3074" s="356"/>
      <c r="C3074" s="76">
        <v>-1</v>
      </c>
      <c r="D3074" s="77">
        <v>1.5</v>
      </c>
      <c r="E3074" s="68">
        <v>0.1</v>
      </c>
      <c r="F3074" s="68"/>
      <c r="G3074" s="67">
        <f t="shared" si="83"/>
        <v>-0.15</v>
      </c>
      <c r="H3074" s="930" t="s">
        <v>1303</v>
      </c>
      <c r="J3074" s="686"/>
    </row>
    <row r="3075" spans="1:10" ht="18" customHeight="1">
      <c r="A3075" s="128"/>
      <c r="B3075" s="64" t="s">
        <v>1710</v>
      </c>
      <c r="C3075" s="70"/>
      <c r="D3075" s="68"/>
      <c r="E3075" s="68"/>
      <c r="F3075" s="68"/>
      <c r="G3075" s="67" t="str">
        <f t="shared" si="83"/>
        <v xml:space="preserve"> </v>
      </c>
      <c r="H3075" s="930" t="s">
        <v>1303</v>
      </c>
      <c r="J3075" s="686"/>
    </row>
    <row r="3076" spans="1:10" s="78" customFormat="1" ht="18" customHeight="1">
      <c r="A3076" s="432"/>
      <c r="B3076" s="63" t="s">
        <v>2033</v>
      </c>
      <c r="C3076" s="70">
        <v>6</v>
      </c>
      <c r="D3076" s="68">
        <v>3.1</v>
      </c>
      <c r="E3076" s="68">
        <v>0.1</v>
      </c>
      <c r="F3076" s="68"/>
      <c r="G3076" s="67">
        <f t="shared" si="83"/>
        <v>1.86</v>
      </c>
      <c r="H3076" s="930" t="s">
        <v>1303</v>
      </c>
      <c r="I3076" s="1227"/>
      <c r="J3076" s="686"/>
    </row>
    <row r="3077" spans="1:10" s="78" customFormat="1" ht="18" customHeight="1">
      <c r="A3077" s="432"/>
      <c r="B3077" s="63"/>
      <c r="C3077" s="70">
        <v>6</v>
      </c>
      <c r="D3077" s="68">
        <v>4.8</v>
      </c>
      <c r="E3077" s="68">
        <v>0.1</v>
      </c>
      <c r="F3077" s="68"/>
      <c r="G3077" s="67">
        <f t="shared" si="83"/>
        <v>2.88</v>
      </c>
      <c r="H3077" s="930" t="s">
        <v>1303</v>
      </c>
      <c r="I3077" s="1227"/>
      <c r="J3077" s="686"/>
    </row>
    <row r="3078" spans="1:10" s="78" customFormat="1" ht="18" customHeight="1">
      <c r="A3078" s="432"/>
      <c r="B3078" s="63" t="s">
        <v>2090</v>
      </c>
      <c r="C3078" s="70">
        <v>-3</v>
      </c>
      <c r="D3078" s="68">
        <v>0.9</v>
      </c>
      <c r="E3078" s="68">
        <v>0.1</v>
      </c>
      <c r="F3078" s="68"/>
      <c r="G3078" s="67">
        <f t="shared" si="83"/>
        <v>-0.27</v>
      </c>
      <c r="H3078" s="930" t="s">
        <v>1303</v>
      </c>
      <c r="I3078" s="1227"/>
      <c r="J3078" s="686"/>
    </row>
    <row r="3079" spans="1:10" s="78" customFormat="1" ht="18" customHeight="1">
      <c r="A3079" s="432"/>
      <c r="B3079" s="63"/>
      <c r="C3079" s="70"/>
      <c r="D3079" s="68"/>
      <c r="E3079" s="68"/>
      <c r="F3079" s="68"/>
      <c r="G3079" s="67" t="str">
        <f t="shared" si="83"/>
        <v xml:space="preserve"> </v>
      </c>
      <c r="H3079" s="930" t="s">
        <v>1303</v>
      </c>
      <c r="I3079" s="1227"/>
      <c r="J3079" s="686"/>
    </row>
    <row r="3080" spans="1:10" s="78" customFormat="1" ht="18" customHeight="1">
      <c r="A3080" s="432"/>
      <c r="B3080" s="64" t="s">
        <v>2071</v>
      </c>
      <c r="C3080" s="70"/>
      <c r="D3080" s="68"/>
      <c r="E3080" s="68"/>
      <c r="F3080" s="68"/>
      <c r="G3080" s="67" t="str">
        <f t="shared" si="83"/>
        <v xml:space="preserve"> </v>
      </c>
      <c r="H3080" s="930" t="s">
        <v>1303</v>
      </c>
      <c r="I3080" s="1227"/>
      <c r="J3080" s="686"/>
    </row>
    <row r="3081" spans="1:10" s="78" customFormat="1" ht="18" customHeight="1">
      <c r="A3081" s="432"/>
      <c r="B3081" s="63" t="s">
        <v>2072</v>
      </c>
      <c r="C3081" s="70">
        <v>2</v>
      </c>
      <c r="D3081" s="68">
        <f>6.45+6.4+6.4+3.25</f>
        <v>22.5</v>
      </c>
      <c r="E3081" s="68">
        <v>0.1</v>
      </c>
      <c r="F3081" s="68"/>
      <c r="G3081" s="67">
        <f t="shared" si="83"/>
        <v>4.5</v>
      </c>
      <c r="H3081" s="930" t="s">
        <v>1303</v>
      </c>
      <c r="I3081" s="1227"/>
      <c r="J3081" s="686"/>
    </row>
    <row r="3082" spans="1:10" s="78" customFormat="1" ht="18" customHeight="1">
      <c r="A3082" s="432"/>
      <c r="B3082" s="63"/>
      <c r="C3082" s="70">
        <v>-11</v>
      </c>
      <c r="D3082" s="68">
        <v>0.9</v>
      </c>
      <c r="E3082" s="68">
        <v>0.1</v>
      </c>
      <c r="F3082" s="68"/>
      <c r="G3082" s="67">
        <f t="shared" si="83"/>
        <v>-0.99</v>
      </c>
      <c r="H3082" s="930" t="s">
        <v>1303</v>
      </c>
      <c r="I3082" s="1227"/>
      <c r="J3082" s="686"/>
    </row>
    <row r="3083" spans="1:10" s="78" customFormat="1" ht="18" customHeight="1">
      <c r="A3083" s="432"/>
      <c r="B3083" s="63" t="s">
        <v>2073</v>
      </c>
      <c r="C3083" s="70">
        <v>1</v>
      </c>
      <c r="D3083" s="68">
        <v>3.8250000000000002</v>
      </c>
      <c r="E3083" s="68">
        <v>0.1</v>
      </c>
      <c r="F3083" s="68"/>
      <c r="G3083" s="67">
        <f t="shared" si="83"/>
        <v>0.38</v>
      </c>
      <c r="H3083" s="930" t="s">
        <v>1303</v>
      </c>
      <c r="I3083" s="1227"/>
      <c r="J3083" s="686"/>
    </row>
    <row r="3084" spans="1:10" s="78" customFormat="1" ht="18" customHeight="1">
      <c r="A3084" s="432"/>
      <c r="B3084" s="63"/>
      <c r="C3084" s="70">
        <v>1</v>
      </c>
      <c r="D3084" s="68">
        <v>1.5</v>
      </c>
      <c r="E3084" s="68">
        <v>0.1</v>
      </c>
      <c r="F3084" s="68"/>
      <c r="G3084" s="67">
        <f t="shared" si="83"/>
        <v>0.15</v>
      </c>
      <c r="H3084" s="930" t="s">
        <v>1303</v>
      </c>
      <c r="I3084" s="1227"/>
      <c r="J3084" s="686"/>
    </row>
    <row r="3085" spans="1:10" s="78" customFormat="1" ht="18" customHeight="1">
      <c r="A3085" s="432"/>
      <c r="B3085" s="63" t="s">
        <v>2074</v>
      </c>
      <c r="C3085" s="70">
        <v>2</v>
      </c>
      <c r="D3085" s="68">
        <f>6.45+3.25</f>
        <v>9.6999999999999993</v>
      </c>
      <c r="E3085" s="68">
        <v>0.1</v>
      </c>
      <c r="F3085" s="68"/>
      <c r="G3085" s="67">
        <f t="shared" si="83"/>
        <v>1.94</v>
      </c>
      <c r="H3085" s="930" t="s">
        <v>1303</v>
      </c>
      <c r="I3085" s="1227"/>
      <c r="J3085" s="686"/>
    </row>
    <row r="3086" spans="1:10" s="78" customFormat="1" ht="18" customHeight="1">
      <c r="A3086" s="432"/>
      <c r="B3086" s="63"/>
      <c r="C3086" s="70">
        <v>-5</v>
      </c>
      <c r="D3086" s="68">
        <v>0.9</v>
      </c>
      <c r="E3086" s="68">
        <v>0.1</v>
      </c>
      <c r="F3086" s="68"/>
      <c r="G3086" s="67">
        <f t="shared" si="83"/>
        <v>-0.45</v>
      </c>
      <c r="H3086" s="930" t="s">
        <v>1303</v>
      </c>
      <c r="I3086" s="1227"/>
      <c r="J3086" s="686"/>
    </row>
    <row r="3087" spans="1:10" s="78" customFormat="1" ht="18" customHeight="1">
      <c r="A3087" s="432"/>
      <c r="B3087" s="63"/>
      <c r="C3087" s="70">
        <v>-1</v>
      </c>
      <c r="D3087" s="68">
        <v>1.8</v>
      </c>
      <c r="E3087" s="68">
        <v>0.1</v>
      </c>
      <c r="F3087" s="68"/>
      <c r="G3087" s="67">
        <f t="shared" si="83"/>
        <v>-0.18</v>
      </c>
      <c r="H3087" s="930" t="s">
        <v>1303</v>
      </c>
      <c r="I3087" s="1227"/>
      <c r="J3087" s="686"/>
    </row>
    <row r="3088" spans="1:10" s="78" customFormat="1" ht="18" customHeight="1">
      <c r="A3088" s="432"/>
      <c r="B3088" s="63"/>
      <c r="C3088" s="70">
        <v>-1</v>
      </c>
      <c r="D3088" s="68">
        <v>1</v>
      </c>
      <c r="E3088" s="68">
        <v>0.1</v>
      </c>
      <c r="F3088" s="68"/>
      <c r="G3088" s="67">
        <f t="shared" si="83"/>
        <v>-0.1</v>
      </c>
      <c r="H3088" s="930" t="s">
        <v>1303</v>
      </c>
      <c r="I3088" s="1227"/>
      <c r="J3088" s="686"/>
    </row>
    <row r="3089" spans="1:10" s="78" customFormat="1" ht="18" customHeight="1">
      <c r="A3089" s="432"/>
      <c r="B3089" s="63" t="s">
        <v>2075</v>
      </c>
      <c r="C3089" s="70">
        <v>2</v>
      </c>
      <c r="D3089" s="68">
        <v>11.6</v>
      </c>
      <c r="E3089" s="68">
        <v>0.1</v>
      </c>
      <c r="F3089" s="68"/>
      <c r="G3089" s="67">
        <f t="shared" si="83"/>
        <v>2.3199999999999998</v>
      </c>
      <c r="H3089" s="930" t="s">
        <v>1303</v>
      </c>
      <c r="I3089" s="1227"/>
      <c r="J3089" s="686"/>
    </row>
    <row r="3090" spans="1:10" s="78" customFormat="1" ht="18" customHeight="1">
      <c r="A3090" s="432"/>
      <c r="B3090" s="63"/>
      <c r="C3090" s="70">
        <v>2</v>
      </c>
      <c r="D3090" s="68">
        <v>12.5</v>
      </c>
      <c r="E3090" s="68">
        <v>0.1</v>
      </c>
      <c r="F3090" s="68"/>
      <c r="G3090" s="67">
        <f t="shared" si="83"/>
        <v>2.5</v>
      </c>
      <c r="H3090" s="930" t="s">
        <v>1303</v>
      </c>
      <c r="I3090" s="1227"/>
      <c r="J3090" s="686"/>
    </row>
    <row r="3091" spans="1:10" s="78" customFormat="1" ht="18" customHeight="1">
      <c r="A3091" s="432"/>
      <c r="B3091" s="63" t="s">
        <v>2091</v>
      </c>
      <c r="C3091" s="70">
        <v>-2</v>
      </c>
      <c r="D3091" s="68">
        <v>1.8</v>
      </c>
      <c r="E3091" s="68">
        <v>0.1</v>
      </c>
      <c r="F3091" s="68"/>
      <c r="G3091" s="67">
        <f t="shared" si="83"/>
        <v>-0.36</v>
      </c>
      <c r="H3091" s="930" t="s">
        <v>1303</v>
      </c>
      <c r="I3091" s="1227"/>
      <c r="J3091" s="686"/>
    </row>
    <row r="3092" spans="1:10" s="78" customFormat="1" ht="18" customHeight="1">
      <c r="A3092" s="432"/>
      <c r="B3092" s="63" t="s">
        <v>2092</v>
      </c>
      <c r="C3092" s="70">
        <v>-1</v>
      </c>
      <c r="D3092" s="68">
        <v>1.2</v>
      </c>
      <c r="E3092" s="68">
        <v>0.1</v>
      </c>
      <c r="F3092" s="68"/>
      <c r="G3092" s="67">
        <f t="shared" si="83"/>
        <v>-0.12</v>
      </c>
      <c r="H3092" s="930" t="s">
        <v>1303</v>
      </c>
      <c r="I3092" s="1227"/>
      <c r="J3092" s="686"/>
    </row>
    <row r="3093" spans="1:10" s="78" customFormat="1" ht="18" customHeight="1">
      <c r="A3093" s="432"/>
      <c r="B3093" s="63"/>
      <c r="C3093" s="70">
        <v>-1</v>
      </c>
      <c r="D3093" s="68">
        <f>2.245+0.7+3.2</f>
        <v>6.1450000000000005</v>
      </c>
      <c r="E3093" s="68">
        <v>0.1</v>
      </c>
      <c r="F3093" s="68"/>
      <c r="G3093" s="67">
        <f t="shared" si="83"/>
        <v>-0.61</v>
      </c>
      <c r="H3093" s="930" t="s">
        <v>1303</v>
      </c>
      <c r="I3093" s="1227"/>
      <c r="J3093" s="686"/>
    </row>
    <row r="3094" spans="1:10" s="78" customFormat="1" ht="18" customHeight="1">
      <c r="A3094" s="432"/>
      <c r="B3094" s="63" t="s">
        <v>2076</v>
      </c>
      <c r="C3094" s="70">
        <v>2</v>
      </c>
      <c r="D3094" s="68">
        <f>3.25+6.45+3.2</f>
        <v>12.899999999999999</v>
      </c>
      <c r="E3094" s="68">
        <v>0.1</v>
      </c>
      <c r="F3094" s="68"/>
      <c r="G3094" s="67">
        <f t="shared" si="83"/>
        <v>2.58</v>
      </c>
      <c r="H3094" s="930" t="s">
        <v>1303</v>
      </c>
      <c r="I3094" s="1227"/>
      <c r="J3094" s="686"/>
    </row>
    <row r="3095" spans="1:10" s="78" customFormat="1" ht="18" customHeight="1">
      <c r="A3095" s="432"/>
      <c r="B3095" s="63" t="s">
        <v>2091</v>
      </c>
      <c r="C3095" s="70">
        <v>-1</v>
      </c>
      <c r="D3095" s="68">
        <v>1.8</v>
      </c>
      <c r="E3095" s="68">
        <v>0.1</v>
      </c>
      <c r="F3095" s="68"/>
      <c r="G3095" s="67">
        <f t="shared" si="83"/>
        <v>-0.18</v>
      </c>
      <c r="H3095" s="930" t="s">
        <v>1303</v>
      </c>
      <c r="I3095" s="1227"/>
      <c r="J3095" s="686"/>
    </row>
    <row r="3096" spans="1:10" s="78" customFormat="1" ht="18" customHeight="1">
      <c r="A3096" s="432"/>
      <c r="B3096" s="63"/>
      <c r="C3096" s="70">
        <v>-1</v>
      </c>
      <c r="D3096" s="68">
        <v>1</v>
      </c>
      <c r="E3096" s="68">
        <v>0.1</v>
      </c>
      <c r="F3096" s="68"/>
      <c r="G3096" s="67">
        <f t="shared" si="83"/>
        <v>-0.1</v>
      </c>
      <c r="H3096" s="930" t="s">
        <v>1303</v>
      </c>
      <c r="I3096" s="1227"/>
      <c r="J3096" s="686"/>
    </row>
    <row r="3097" spans="1:10" s="78" customFormat="1" ht="18" customHeight="1">
      <c r="A3097" s="432"/>
      <c r="B3097" s="63" t="s">
        <v>2090</v>
      </c>
      <c r="C3097" s="70">
        <v>-5</v>
      </c>
      <c r="D3097" s="68">
        <v>0.9</v>
      </c>
      <c r="E3097" s="68">
        <v>0.1</v>
      </c>
      <c r="F3097" s="68"/>
      <c r="G3097" s="67">
        <f t="shared" si="83"/>
        <v>-0.45</v>
      </c>
      <c r="H3097" s="930" t="s">
        <v>1303</v>
      </c>
      <c r="I3097" s="1227"/>
      <c r="J3097" s="686"/>
    </row>
    <row r="3098" spans="1:10" s="78" customFormat="1" ht="18" customHeight="1">
      <c r="A3098" s="432"/>
      <c r="B3098" s="63" t="s">
        <v>2077</v>
      </c>
      <c r="C3098" s="70">
        <v>2</v>
      </c>
      <c r="D3098" s="68">
        <f>6.45+3.25</f>
        <v>9.6999999999999993</v>
      </c>
      <c r="E3098" s="68">
        <v>0.1</v>
      </c>
      <c r="F3098" s="68"/>
      <c r="G3098" s="67">
        <f t="shared" si="83"/>
        <v>1.94</v>
      </c>
      <c r="H3098" s="930" t="s">
        <v>1303</v>
      </c>
      <c r="I3098" s="1227"/>
      <c r="J3098" s="686"/>
    </row>
    <row r="3099" spans="1:10" s="78" customFormat="1" ht="18" customHeight="1">
      <c r="A3099" s="432"/>
      <c r="B3099" s="63"/>
      <c r="C3099" s="70">
        <v>-5</v>
      </c>
      <c r="D3099" s="68">
        <v>0.9</v>
      </c>
      <c r="E3099" s="68">
        <v>0.1</v>
      </c>
      <c r="F3099" s="68"/>
      <c r="G3099" s="67">
        <f t="shared" si="83"/>
        <v>-0.45</v>
      </c>
      <c r="H3099" s="930" t="s">
        <v>1303</v>
      </c>
      <c r="I3099" s="1227"/>
      <c r="J3099" s="686"/>
    </row>
    <row r="3100" spans="1:10" s="78" customFormat="1" ht="18" customHeight="1">
      <c r="A3100" s="432"/>
      <c r="B3100" s="63"/>
      <c r="C3100" s="70">
        <v>-1</v>
      </c>
      <c r="D3100" s="68">
        <v>1.8</v>
      </c>
      <c r="E3100" s="68">
        <v>0.1</v>
      </c>
      <c r="F3100" s="68"/>
      <c r="G3100" s="67">
        <f t="shared" si="83"/>
        <v>-0.18</v>
      </c>
      <c r="H3100" s="930" t="s">
        <v>1303</v>
      </c>
      <c r="I3100" s="1227"/>
      <c r="J3100" s="686"/>
    </row>
    <row r="3101" spans="1:10" s="78" customFormat="1" ht="18" customHeight="1">
      <c r="A3101" s="432"/>
      <c r="B3101" s="63"/>
      <c r="C3101" s="70">
        <v>-1</v>
      </c>
      <c r="D3101" s="68">
        <v>1</v>
      </c>
      <c r="E3101" s="68">
        <v>0.1</v>
      </c>
      <c r="F3101" s="68"/>
      <c r="G3101" s="67">
        <f t="shared" si="83"/>
        <v>-0.1</v>
      </c>
      <c r="H3101" s="930" t="s">
        <v>1303</v>
      </c>
      <c r="I3101" s="1227"/>
      <c r="J3101" s="686"/>
    </row>
    <row r="3102" spans="1:10" s="78" customFormat="1" ht="18" customHeight="1">
      <c r="A3102" s="432"/>
      <c r="B3102" s="63" t="s">
        <v>2078</v>
      </c>
      <c r="C3102" s="70">
        <v>2</v>
      </c>
      <c r="D3102" s="68">
        <f>6.45+6.4+6.4+3.25</f>
        <v>22.5</v>
      </c>
      <c r="E3102" s="68">
        <v>0.1</v>
      </c>
      <c r="F3102" s="68"/>
      <c r="G3102" s="67">
        <f t="shared" si="83"/>
        <v>4.5</v>
      </c>
      <c r="H3102" s="930" t="s">
        <v>1303</v>
      </c>
      <c r="I3102" s="1227"/>
      <c r="J3102" s="686"/>
    </row>
    <row r="3103" spans="1:10" s="78" customFormat="1" ht="18" customHeight="1">
      <c r="A3103" s="432"/>
      <c r="B3103" s="63" t="s">
        <v>2090</v>
      </c>
      <c r="C3103" s="70">
        <v>-11</v>
      </c>
      <c r="D3103" s="68">
        <v>0.9</v>
      </c>
      <c r="E3103" s="68">
        <v>0.1</v>
      </c>
      <c r="F3103" s="68"/>
      <c r="G3103" s="67">
        <f t="shared" si="83"/>
        <v>-0.99</v>
      </c>
      <c r="H3103" s="930" t="s">
        <v>1303</v>
      </c>
      <c r="I3103" s="1227"/>
      <c r="J3103" s="686"/>
    </row>
    <row r="3104" spans="1:10" s="78" customFormat="1" ht="18" customHeight="1">
      <c r="A3104" s="432"/>
      <c r="B3104" s="63" t="s">
        <v>2079</v>
      </c>
      <c r="C3104" s="70">
        <v>1</v>
      </c>
      <c r="D3104" s="68">
        <v>1.5</v>
      </c>
      <c r="E3104" s="68">
        <v>0.1</v>
      </c>
      <c r="F3104" s="68"/>
      <c r="G3104" s="67">
        <f t="shared" si="83"/>
        <v>0.15</v>
      </c>
      <c r="H3104" s="930" t="s">
        <v>1303</v>
      </c>
      <c r="I3104" s="1227"/>
      <c r="J3104" s="686"/>
    </row>
    <row r="3105" spans="1:10" s="78" customFormat="1" ht="18" customHeight="1">
      <c r="A3105" s="432"/>
      <c r="B3105" s="63" t="s">
        <v>2080</v>
      </c>
      <c r="C3105" s="70">
        <v>2</v>
      </c>
      <c r="D3105" s="68">
        <v>35.475000000000001</v>
      </c>
      <c r="E3105" s="68">
        <v>0.1</v>
      </c>
      <c r="F3105" s="68"/>
      <c r="G3105" s="67">
        <f t="shared" si="83"/>
        <v>7.1</v>
      </c>
      <c r="H3105" s="930" t="s">
        <v>1303</v>
      </c>
      <c r="I3105" s="1227"/>
      <c r="J3105" s="686"/>
    </row>
    <row r="3106" spans="1:10" s="78" customFormat="1" ht="18" customHeight="1">
      <c r="A3106" s="432"/>
      <c r="B3106" s="63" t="s">
        <v>2090</v>
      </c>
      <c r="C3106" s="70">
        <v>-14</v>
      </c>
      <c r="D3106" s="68">
        <v>0.9</v>
      </c>
      <c r="E3106" s="68">
        <v>0.1</v>
      </c>
      <c r="F3106" s="68"/>
      <c r="G3106" s="67">
        <f t="shared" si="83"/>
        <v>-1.26</v>
      </c>
      <c r="H3106" s="930" t="s">
        <v>1303</v>
      </c>
      <c r="I3106" s="1227"/>
      <c r="J3106" s="686"/>
    </row>
    <row r="3107" spans="1:10" s="78" customFormat="1" ht="18" customHeight="1">
      <c r="A3107" s="432"/>
      <c r="B3107" s="63" t="s">
        <v>2093</v>
      </c>
      <c r="C3107" s="70">
        <v>-2</v>
      </c>
      <c r="D3107" s="68">
        <v>1.2</v>
      </c>
      <c r="E3107" s="68">
        <v>0.1</v>
      </c>
      <c r="F3107" s="68"/>
      <c r="G3107" s="67">
        <f t="shared" si="83"/>
        <v>-0.24</v>
      </c>
      <c r="H3107" s="930" t="s">
        <v>1303</v>
      </c>
      <c r="I3107" s="1227"/>
      <c r="J3107" s="686"/>
    </row>
    <row r="3108" spans="1:10" s="78" customFormat="1" ht="18" customHeight="1">
      <c r="A3108" s="432"/>
      <c r="B3108" s="63" t="s">
        <v>2094</v>
      </c>
      <c r="C3108" s="70">
        <v>-1</v>
      </c>
      <c r="D3108" s="68">
        <v>1</v>
      </c>
      <c r="E3108" s="68">
        <v>0.1</v>
      </c>
      <c r="F3108" s="68"/>
      <c r="G3108" s="67">
        <f t="shared" si="83"/>
        <v>-0.1</v>
      </c>
      <c r="H3108" s="930" t="s">
        <v>1303</v>
      </c>
      <c r="I3108" s="1227"/>
      <c r="J3108" s="686"/>
    </row>
    <row r="3109" spans="1:10" s="78" customFormat="1" ht="18" customHeight="1">
      <c r="A3109" s="432"/>
      <c r="B3109" s="63" t="s">
        <v>2095</v>
      </c>
      <c r="C3109" s="70">
        <v>-1</v>
      </c>
      <c r="D3109" s="68">
        <v>0.9</v>
      </c>
      <c r="E3109" s="68">
        <v>0.1</v>
      </c>
      <c r="F3109" s="68"/>
      <c r="G3109" s="67">
        <f t="shared" si="83"/>
        <v>-0.09</v>
      </c>
      <c r="H3109" s="930" t="s">
        <v>1303</v>
      </c>
      <c r="I3109" s="1227"/>
      <c r="J3109" s="686"/>
    </row>
    <row r="3110" spans="1:10" s="78" customFormat="1" ht="18" customHeight="1">
      <c r="A3110" s="432"/>
      <c r="B3110" s="63"/>
      <c r="C3110" s="70">
        <v>-2</v>
      </c>
      <c r="D3110" s="68">
        <v>6.3</v>
      </c>
      <c r="E3110" s="68">
        <v>0.1</v>
      </c>
      <c r="F3110" s="68"/>
      <c r="G3110" s="67">
        <f t="shared" si="83"/>
        <v>-1.26</v>
      </c>
      <c r="H3110" s="930" t="s">
        <v>1303</v>
      </c>
      <c r="I3110" s="1227"/>
      <c r="J3110" s="686"/>
    </row>
    <row r="3111" spans="1:10" s="78" customFormat="1" ht="18" customHeight="1">
      <c r="A3111" s="432"/>
      <c r="B3111" s="63" t="s">
        <v>2081</v>
      </c>
      <c r="C3111" s="70">
        <v>1</v>
      </c>
      <c r="D3111" s="68">
        <v>1.5</v>
      </c>
      <c r="E3111" s="68">
        <v>0.1</v>
      </c>
      <c r="F3111" s="68"/>
      <c r="G3111" s="67">
        <f t="shared" si="83"/>
        <v>0.15</v>
      </c>
      <c r="H3111" s="930" t="s">
        <v>1303</v>
      </c>
      <c r="I3111" s="1227"/>
      <c r="J3111" s="686"/>
    </row>
    <row r="3112" spans="1:10" s="78" customFormat="1" ht="18" customHeight="1">
      <c r="A3112" s="432"/>
      <c r="B3112" s="63" t="s">
        <v>2155</v>
      </c>
      <c r="C3112" s="70">
        <v>1</v>
      </c>
      <c r="D3112" s="68">
        <v>6.1</v>
      </c>
      <c r="E3112" s="68">
        <v>0.1</v>
      </c>
      <c r="F3112" s="68"/>
      <c r="G3112" s="67">
        <f t="shared" si="83"/>
        <v>0.61</v>
      </c>
      <c r="H3112" s="930" t="s">
        <v>1303</v>
      </c>
      <c r="I3112" s="1227"/>
      <c r="J3112" s="686"/>
    </row>
    <row r="3113" spans="1:10" s="78" customFormat="1" ht="18" customHeight="1">
      <c r="A3113" s="432"/>
      <c r="B3113" s="63"/>
      <c r="C3113" s="70">
        <v>2</v>
      </c>
      <c r="D3113" s="68">
        <v>6.625</v>
      </c>
      <c r="E3113" s="68">
        <v>0.1</v>
      </c>
      <c r="F3113" s="68"/>
      <c r="G3113" s="67">
        <f t="shared" si="83"/>
        <v>1.33</v>
      </c>
      <c r="H3113" s="930" t="s">
        <v>1303</v>
      </c>
      <c r="I3113" s="1227"/>
      <c r="J3113" s="686"/>
    </row>
    <row r="3114" spans="1:10" s="78" customFormat="1" ht="18" customHeight="1">
      <c r="A3114" s="432"/>
      <c r="B3114" s="63" t="s">
        <v>2107</v>
      </c>
      <c r="C3114" s="70">
        <v>-1</v>
      </c>
      <c r="D3114" s="68">
        <v>1.8</v>
      </c>
      <c r="E3114" s="68">
        <v>0.1</v>
      </c>
      <c r="F3114" s="68"/>
      <c r="G3114" s="67">
        <f t="shared" si="83"/>
        <v>-0.18</v>
      </c>
      <c r="H3114" s="930" t="s">
        <v>1303</v>
      </c>
      <c r="I3114" s="1227"/>
      <c r="J3114" s="686"/>
    </row>
    <row r="3115" spans="1:10" ht="18" customHeight="1">
      <c r="A3115" s="354"/>
      <c r="B3115" s="80" t="s">
        <v>1711</v>
      </c>
      <c r="C3115" s="70"/>
      <c r="D3115" s="68"/>
      <c r="E3115" s="68"/>
      <c r="F3115" s="68"/>
      <c r="G3115" s="67" t="str">
        <f t="shared" si="83"/>
        <v xml:space="preserve"> </v>
      </c>
      <c r="H3115" s="930" t="s">
        <v>1303</v>
      </c>
      <c r="J3115" s="686"/>
    </row>
    <row r="3116" spans="1:10" ht="18" customHeight="1">
      <c r="A3116" s="128"/>
      <c r="B3116" s="64" t="s">
        <v>1692</v>
      </c>
      <c r="C3116" s="70"/>
      <c r="D3116" s="68"/>
      <c r="E3116" s="68"/>
      <c r="F3116" s="68"/>
      <c r="G3116" s="67" t="str">
        <f t="shared" si="83"/>
        <v xml:space="preserve"> </v>
      </c>
      <c r="H3116" s="930" t="s">
        <v>1303</v>
      </c>
      <c r="J3116" s="686"/>
    </row>
    <row r="3117" spans="1:10" s="78" customFormat="1" ht="18" customHeight="1">
      <c r="A3117" s="432"/>
      <c r="B3117" s="63" t="s">
        <v>2033</v>
      </c>
      <c r="C3117" s="70">
        <v>10</v>
      </c>
      <c r="D3117" s="68">
        <v>3.1</v>
      </c>
      <c r="E3117" s="68">
        <v>0.1</v>
      </c>
      <c r="F3117" s="68"/>
      <c r="G3117" s="67">
        <f t="shared" si="83"/>
        <v>3.1</v>
      </c>
      <c r="H3117" s="930" t="s">
        <v>1303</v>
      </c>
      <c r="I3117" s="1227"/>
      <c r="J3117" s="686"/>
    </row>
    <row r="3118" spans="1:10" s="78" customFormat="1" ht="18" customHeight="1">
      <c r="A3118" s="432"/>
      <c r="B3118" s="63"/>
      <c r="C3118" s="70">
        <v>10</v>
      </c>
      <c r="D3118" s="68">
        <v>4.8</v>
      </c>
      <c r="E3118" s="68">
        <v>0.1</v>
      </c>
      <c r="F3118" s="68"/>
      <c r="G3118" s="67">
        <f t="shared" si="83"/>
        <v>4.8</v>
      </c>
      <c r="H3118" s="930" t="s">
        <v>1303</v>
      </c>
      <c r="I3118" s="1227"/>
      <c r="J3118" s="686"/>
    </row>
    <row r="3119" spans="1:10" s="78" customFormat="1" ht="18" customHeight="1">
      <c r="A3119" s="432"/>
      <c r="B3119" s="63" t="s">
        <v>2089</v>
      </c>
      <c r="C3119" s="70">
        <v>-5</v>
      </c>
      <c r="D3119" s="68">
        <v>0.9</v>
      </c>
      <c r="E3119" s="68">
        <v>0.1</v>
      </c>
      <c r="F3119" s="68"/>
      <c r="G3119" s="67">
        <f t="shared" si="83"/>
        <v>-0.45</v>
      </c>
      <c r="H3119" s="930" t="s">
        <v>1303</v>
      </c>
      <c r="I3119" s="1227"/>
      <c r="J3119" s="686"/>
    </row>
    <row r="3120" spans="1:10" ht="18" customHeight="1">
      <c r="A3120" s="128"/>
      <c r="B3120" s="64" t="s">
        <v>1697</v>
      </c>
      <c r="C3120" s="70"/>
      <c r="D3120" s="68"/>
      <c r="E3120" s="68"/>
      <c r="F3120" s="68"/>
      <c r="G3120" s="67" t="str">
        <f t="shared" si="83"/>
        <v xml:space="preserve"> </v>
      </c>
      <c r="H3120" s="930" t="s">
        <v>1303</v>
      </c>
      <c r="J3120" s="686"/>
    </row>
    <row r="3121" spans="1:10" s="78" customFormat="1" ht="18" customHeight="1">
      <c r="A3121" s="432"/>
      <c r="B3121" s="63" t="s">
        <v>2033</v>
      </c>
      <c r="C3121" s="70">
        <v>10</v>
      </c>
      <c r="D3121" s="68">
        <v>3.1</v>
      </c>
      <c r="E3121" s="68">
        <v>0.1</v>
      </c>
      <c r="F3121" s="68"/>
      <c r="G3121" s="67">
        <f t="shared" si="83"/>
        <v>3.1</v>
      </c>
      <c r="H3121" s="930" t="s">
        <v>1303</v>
      </c>
      <c r="I3121" s="1227"/>
      <c r="J3121" s="686"/>
    </row>
    <row r="3122" spans="1:10" s="78" customFormat="1" ht="18" customHeight="1">
      <c r="A3122" s="432"/>
      <c r="B3122" s="63"/>
      <c r="C3122" s="70">
        <v>10</v>
      </c>
      <c r="D3122" s="68">
        <v>4.8</v>
      </c>
      <c r="E3122" s="68">
        <v>0.1</v>
      </c>
      <c r="F3122" s="68"/>
      <c r="G3122" s="67">
        <f t="shared" si="83"/>
        <v>4.8</v>
      </c>
      <c r="H3122" s="930" t="s">
        <v>1303</v>
      </c>
      <c r="I3122" s="1227"/>
      <c r="J3122" s="686"/>
    </row>
    <row r="3123" spans="1:10" s="78" customFormat="1" ht="18" customHeight="1">
      <c r="A3123" s="432"/>
      <c r="B3123" s="63" t="s">
        <v>2089</v>
      </c>
      <c r="C3123" s="70">
        <v>-5</v>
      </c>
      <c r="D3123" s="68">
        <v>0.9</v>
      </c>
      <c r="E3123" s="68">
        <v>0.1</v>
      </c>
      <c r="F3123" s="68"/>
      <c r="G3123" s="67">
        <f t="shared" si="83"/>
        <v>-0.45</v>
      </c>
      <c r="H3123" s="930" t="s">
        <v>1303</v>
      </c>
      <c r="I3123" s="1227"/>
      <c r="J3123" s="686"/>
    </row>
    <row r="3124" spans="1:10" ht="18" customHeight="1">
      <c r="A3124" s="128"/>
      <c r="B3124" s="64" t="s">
        <v>1146</v>
      </c>
      <c r="C3124" s="70"/>
      <c r="D3124" s="68"/>
      <c r="E3124" s="68"/>
      <c r="F3124" s="68"/>
      <c r="G3124" s="67" t="str">
        <f t="shared" si="83"/>
        <v xml:space="preserve"> </v>
      </c>
      <c r="H3124" s="930" t="s">
        <v>1303</v>
      </c>
      <c r="J3124" s="686"/>
    </row>
    <row r="3125" spans="1:10" s="78" customFormat="1" ht="18" customHeight="1">
      <c r="A3125" s="432"/>
      <c r="B3125" s="63" t="s">
        <v>2033</v>
      </c>
      <c r="C3125" s="70">
        <v>8</v>
      </c>
      <c r="D3125" s="68">
        <v>3.1</v>
      </c>
      <c r="E3125" s="68">
        <v>0.1</v>
      </c>
      <c r="F3125" s="68"/>
      <c r="G3125" s="67">
        <f t="shared" si="83"/>
        <v>2.48</v>
      </c>
      <c r="H3125" s="930" t="s">
        <v>1303</v>
      </c>
      <c r="I3125" s="1227"/>
      <c r="J3125" s="686"/>
    </row>
    <row r="3126" spans="1:10" s="78" customFormat="1" ht="18" customHeight="1">
      <c r="A3126" s="432"/>
      <c r="B3126" s="63"/>
      <c r="C3126" s="70">
        <v>8</v>
      </c>
      <c r="D3126" s="68">
        <v>4.8</v>
      </c>
      <c r="E3126" s="68">
        <v>0.1</v>
      </c>
      <c r="F3126" s="68"/>
      <c r="G3126" s="67">
        <f t="shared" si="83"/>
        <v>3.84</v>
      </c>
      <c r="H3126" s="930" t="s">
        <v>1303</v>
      </c>
      <c r="I3126" s="1227"/>
      <c r="J3126" s="686"/>
    </row>
    <row r="3127" spans="1:10" ht="18" customHeight="1">
      <c r="A3127" s="128"/>
      <c r="B3127" s="64" t="s">
        <v>1147</v>
      </c>
      <c r="C3127" s="70"/>
      <c r="D3127" s="68"/>
      <c r="E3127" s="68"/>
      <c r="F3127" s="68"/>
      <c r="G3127" s="67" t="str">
        <f t="shared" si="83"/>
        <v xml:space="preserve"> </v>
      </c>
      <c r="H3127" s="930" t="s">
        <v>1303</v>
      </c>
      <c r="J3127" s="686"/>
    </row>
    <row r="3128" spans="1:10" ht="18" customHeight="1">
      <c r="A3128" s="128"/>
      <c r="B3128" s="64"/>
      <c r="C3128" s="70">
        <v>4</v>
      </c>
      <c r="D3128" s="68">
        <v>4.8</v>
      </c>
      <c r="E3128" s="68">
        <v>0.1</v>
      </c>
      <c r="F3128" s="68"/>
      <c r="G3128" s="67">
        <f t="shared" si="83"/>
        <v>1.92</v>
      </c>
      <c r="H3128" s="930" t="s">
        <v>1303</v>
      </c>
      <c r="J3128" s="686"/>
    </row>
    <row r="3129" spans="1:10" ht="18" customHeight="1">
      <c r="A3129" s="128"/>
      <c r="B3129" s="64"/>
      <c r="C3129" s="70">
        <v>2</v>
      </c>
      <c r="D3129" s="68">
        <v>9.1999999999999993</v>
      </c>
      <c r="E3129" s="68">
        <v>0.1</v>
      </c>
      <c r="F3129" s="68"/>
      <c r="G3129" s="67">
        <f t="shared" si="83"/>
        <v>1.84</v>
      </c>
      <c r="H3129" s="930" t="s">
        <v>1303</v>
      </c>
      <c r="J3129" s="686"/>
    </row>
    <row r="3130" spans="1:10" ht="18" customHeight="1">
      <c r="A3130" s="128"/>
      <c r="B3130" s="64" t="s">
        <v>1701</v>
      </c>
      <c r="C3130" s="70"/>
      <c r="D3130" s="68"/>
      <c r="E3130" s="68"/>
      <c r="F3130" s="68"/>
      <c r="G3130" s="67" t="str">
        <f t="shared" si="83"/>
        <v xml:space="preserve"> </v>
      </c>
      <c r="H3130" s="930" t="s">
        <v>1303</v>
      </c>
      <c r="J3130" s="686"/>
    </row>
    <row r="3131" spans="1:10" s="78" customFormat="1" ht="18" customHeight="1">
      <c r="A3131" s="432"/>
      <c r="B3131" s="63" t="s">
        <v>2033</v>
      </c>
      <c r="C3131" s="70">
        <v>14</v>
      </c>
      <c r="D3131" s="68">
        <v>3.1</v>
      </c>
      <c r="E3131" s="68">
        <v>0.1</v>
      </c>
      <c r="F3131" s="68"/>
      <c r="G3131" s="67">
        <f t="shared" si="83"/>
        <v>4.34</v>
      </c>
      <c r="H3131" s="930" t="s">
        <v>1303</v>
      </c>
      <c r="I3131" s="1227"/>
      <c r="J3131" s="686"/>
    </row>
    <row r="3132" spans="1:10" s="78" customFormat="1" ht="18" customHeight="1">
      <c r="A3132" s="432"/>
      <c r="B3132" s="63"/>
      <c r="C3132" s="70">
        <v>14</v>
      </c>
      <c r="D3132" s="68">
        <v>4.8</v>
      </c>
      <c r="E3132" s="68">
        <v>0.1</v>
      </c>
      <c r="F3132" s="68"/>
      <c r="G3132" s="67">
        <f t="shared" si="83"/>
        <v>6.72</v>
      </c>
      <c r="H3132" s="930" t="s">
        <v>1303</v>
      </c>
      <c r="I3132" s="1227"/>
      <c r="J3132" s="686"/>
    </row>
    <row r="3133" spans="1:10" s="78" customFormat="1" ht="18" customHeight="1">
      <c r="A3133" s="432"/>
      <c r="B3133" s="63" t="s">
        <v>2090</v>
      </c>
      <c r="C3133" s="70">
        <v>-7</v>
      </c>
      <c r="D3133" s="68">
        <v>0.9</v>
      </c>
      <c r="E3133" s="68">
        <v>0.1</v>
      </c>
      <c r="F3133" s="68"/>
      <c r="G3133" s="67">
        <f t="shared" si="83"/>
        <v>-0.63</v>
      </c>
      <c r="H3133" s="930" t="s">
        <v>1303</v>
      </c>
      <c r="I3133" s="1227"/>
      <c r="J3133" s="686"/>
    </row>
    <row r="3134" spans="1:10" ht="18" customHeight="1">
      <c r="A3134" s="128"/>
      <c r="B3134" s="64" t="s">
        <v>1704</v>
      </c>
      <c r="C3134" s="70"/>
      <c r="D3134" s="68"/>
      <c r="E3134" s="68"/>
      <c r="F3134" s="68"/>
      <c r="G3134" s="67" t="str">
        <f t="shared" si="83"/>
        <v xml:space="preserve"> </v>
      </c>
      <c r="H3134" s="930" t="s">
        <v>1303</v>
      </c>
      <c r="J3134" s="686"/>
    </row>
    <row r="3135" spans="1:10" s="78" customFormat="1" ht="18" customHeight="1">
      <c r="A3135" s="432"/>
      <c r="B3135" s="63" t="s">
        <v>2033</v>
      </c>
      <c r="C3135" s="70">
        <v>8</v>
      </c>
      <c r="D3135" s="68">
        <v>3.1</v>
      </c>
      <c r="E3135" s="68">
        <v>0.1</v>
      </c>
      <c r="F3135" s="68"/>
      <c r="G3135" s="67">
        <f t="shared" si="83"/>
        <v>2.48</v>
      </c>
      <c r="H3135" s="930" t="s">
        <v>1303</v>
      </c>
      <c r="I3135" s="1227"/>
      <c r="J3135" s="686"/>
    </row>
    <row r="3136" spans="1:10" s="78" customFormat="1" ht="18" customHeight="1">
      <c r="A3136" s="432"/>
      <c r="B3136" s="63"/>
      <c r="C3136" s="70">
        <v>8</v>
      </c>
      <c r="D3136" s="68">
        <v>4.8</v>
      </c>
      <c r="E3136" s="68">
        <v>0.1</v>
      </c>
      <c r="F3136" s="68"/>
      <c r="G3136" s="67">
        <f t="shared" si="83"/>
        <v>3.84</v>
      </c>
      <c r="H3136" s="930" t="s">
        <v>1303</v>
      </c>
      <c r="I3136" s="1227"/>
      <c r="J3136" s="686"/>
    </row>
    <row r="3137" spans="1:10" s="78" customFormat="1" ht="18" customHeight="1">
      <c r="A3137" s="432"/>
      <c r="B3137" s="63" t="s">
        <v>2090</v>
      </c>
      <c r="C3137" s="70">
        <v>-4</v>
      </c>
      <c r="D3137" s="68">
        <v>0.9</v>
      </c>
      <c r="E3137" s="68">
        <v>0.1</v>
      </c>
      <c r="F3137" s="68"/>
      <c r="G3137" s="67">
        <f t="shared" ref="G3137:G3200" si="84">IF(C3137&lt;&gt;0,ROUND(PRODUCT(D3137:F3137)*C3137,2)," ")</f>
        <v>-0.36</v>
      </c>
      <c r="H3137" s="930" t="s">
        <v>1303</v>
      </c>
      <c r="I3137" s="1227"/>
      <c r="J3137" s="686"/>
    </row>
    <row r="3138" spans="1:10" s="78" customFormat="1" ht="18" customHeight="1">
      <c r="A3138" s="432"/>
      <c r="B3138" s="63" t="s">
        <v>1149</v>
      </c>
      <c r="C3138" s="76">
        <v>2</v>
      </c>
      <c r="D3138" s="77">
        <v>4.7</v>
      </c>
      <c r="E3138" s="68">
        <v>0.1</v>
      </c>
      <c r="F3138" s="68"/>
      <c r="G3138" s="67">
        <f t="shared" si="84"/>
        <v>0.94</v>
      </c>
      <c r="H3138" s="930" t="s">
        <v>1303</v>
      </c>
      <c r="I3138" s="1227"/>
      <c r="J3138" s="686"/>
    </row>
    <row r="3139" spans="1:10" s="78" customFormat="1" ht="18" customHeight="1">
      <c r="A3139" s="432"/>
      <c r="B3139" s="63"/>
      <c r="C3139" s="76">
        <v>2</v>
      </c>
      <c r="D3139" s="77">
        <v>3.05</v>
      </c>
      <c r="E3139" s="68">
        <v>0.1</v>
      </c>
      <c r="F3139" s="68"/>
      <c r="G3139" s="67">
        <f t="shared" si="84"/>
        <v>0.61</v>
      </c>
      <c r="H3139" s="930" t="s">
        <v>1303</v>
      </c>
      <c r="I3139" s="1227"/>
      <c r="J3139" s="686"/>
    </row>
    <row r="3140" spans="1:10" s="78" customFormat="1" ht="18" customHeight="1">
      <c r="A3140" s="432"/>
      <c r="B3140" s="63"/>
      <c r="C3140" s="76">
        <v>-1</v>
      </c>
      <c r="D3140" s="77">
        <v>1.4</v>
      </c>
      <c r="E3140" s="68">
        <v>0.1</v>
      </c>
      <c r="F3140" s="68"/>
      <c r="G3140" s="67">
        <f t="shared" si="84"/>
        <v>-0.14000000000000001</v>
      </c>
      <c r="H3140" s="930" t="s">
        <v>1303</v>
      </c>
      <c r="I3140" s="1227"/>
      <c r="J3140" s="686"/>
    </row>
    <row r="3141" spans="1:10" ht="18" customHeight="1">
      <c r="A3141" s="128"/>
      <c r="B3141" s="356" t="s">
        <v>2069</v>
      </c>
      <c r="C3141" s="76">
        <v>2</v>
      </c>
      <c r="D3141" s="77">
        <v>4.8</v>
      </c>
      <c r="E3141" s="68">
        <v>0.1</v>
      </c>
      <c r="F3141" s="68"/>
      <c r="G3141" s="67">
        <f t="shared" si="84"/>
        <v>0.96</v>
      </c>
      <c r="H3141" s="930" t="s">
        <v>1303</v>
      </c>
      <c r="J3141" s="686"/>
    </row>
    <row r="3142" spans="1:10" ht="18" customHeight="1">
      <c r="A3142" s="128"/>
      <c r="B3142" s="356"/>
      <c r="C3142" s="76">
        <v>2</v>
      </c>
      <c r="D3142" s="77">
        <v>8</v>
      </c>
      <c r="E3142" s="68">
        <v>0.1</v>
      </c>
      <c r="F3142" s="68"/>
      <c r="G3142" s="67">
        <f t="shared" si="84"/>
        <v>1.6</v>
      </c>
      <c r="H3142" s="930" t="s">
        <v>1303</v>
      </c>
      <c r="J3142" s="686"/>
    </row>
    <row r="3143" spans="1:10" ht="18" customHeight="1">
      <c r="A3143" s="128"/>
      <c r="B3143" s="356" t="s">
        <v>2088</v>
      </c>
      <c r="C3143" s="76">
        <v>-1</v>
      </c>
      <c r="D3143" s="77">
        <v>1</v>
      </c>
      <c r="E3143" s="68">
        <v>0.1</v>
      </c>
      <c r="F3143" s="68"/>
      <c r="G3143" s="67">
        <f t="shared" si="84"/>
        <v>-0.1</v>
      </c>
      <c r="H3143" s="930" t="s">
        <v>1303</v>
      </c>
      <c r="J3143" s="686"/>
    </row>
    <row r="3144" spans="1:10" ht="18" customHeight="1">
      <c r="A3144" s="128"/>
      <c r="B3144" s="64" t="s">
        <v>1706</v>
      </c>
      <c r="C3144" s="70"/>
      <c r="D3144" s="68"/>
      <c r="E3144" s="68"/>
      <c r="F3144" s="68"/>
      <c r="G3144" s="67" t="str">
        <f t="shared" si="84"/>
        <v xml:space="preserve"> </v>
      </c>
      <c r="H3144" s="930" t="s">
        <v>1303</v>
      </c>
      <c r="J3144" s="686"/>
    </row>
    <row r="3145" spans="1:10" s="78" customFormat="1" ht="18" customHeight="1">
      <c r="A3145" s="432"/>
      <c r="B3145" s="63" t="s">
        <v>2033</v>
      </c>
      <c r="C3145" s="70">
        <v>14</v>
      </c>
      <c r="D3145" s="68">
        <v>3.1</v>
      </c>
      <c r="E3145" s="68">
        <v>0.1</v>
      </c>
      <c r="F3145" s="68"/>
      <c r="G3145" s="67">
        <f t="shared" si="84"/>
        <v>4.34</v>
      </c>
      <c r="H3145" s="930" t="s">
        <v>1303</v>
      </c>
      <c r="I3145" s="1227"/>
      <c r="J3145" s="686"/>
    </row>
    <row r="3146" spans="1:10" s="78" customFormat="1" ht="18" customHeight="1">
      <c r="A3146" s="432"/>
      <c r="B3146" s="63"/>
      <c r="C3146" s="70">
        <v>14</v>
      </c>
      <c r="D3146" s="68">
        <v>4.8</v>
      </c>
      <c r="E3146" s="68">
        <v>0.1</v>
      </c>
      <c r="F3146" s="68"/>
      <c r="G3146" s="67">
        <f t="shared" si="84"/>
        <v>6.72</v>
      </c>
      <c r="H3146" s="930" t="s">
        <v>1303</v>
      </c>
      <c r="I3146" s="1227"/>
      <c r="J3146" s="686"/>
    </row>
    <row r="3147" spans="1:10" s="78" customFormat="1" ht="18" customHeight="1">
      <c r="A3147" s="432"/>
      <c r="B3147" s="63" t="s">
        <v>2090</v>
      </c>
      <c r="C3147" s="70">
        <v>-7</v>
      </c>
      <c r="D3147" s="68">
        <v>0.9</v>
      </c>
      <c r="E3147" s="68">
        <v>0.1</v>
      </c>
      <c r="F3147" s="68"/>
      <c r="G3147" s="67">
        <f t="shared" si="84"/>
        <v>-0.63</v>
      </c>
      <c r="H3147" s="930" t="s">
        <v>1303</v>
      </c>
      <c r="I3147" s="1227"/>
      <c r="J3147" s="686"/>
    </row>
    <row r="3148" spans="1:10" ht="18" customHeight="1">
      <c r="A3148" s="128"/>
      <c r="B3148" s="64" t="s">
        <v>1707</v>
      </c>
      <c r="C3148" s="70"/>
      <c r="D3148" s="68"/>
      <c r="E3148" s="68"/>
      <c r="F3148" s="68"/>
      <c r="G3148" s="67" t="str">
        <f t="shared" si="84"/>
        <v xml:space="preserve"> </v>
      </c>
      <c r="H3148" s="930" t="s">
        <v>1303</v>
      </c>
      <c r="J3148" s="686"/>
    </row>
    <row r="3149" spans="1:10" s="78" customFormat="1" ht="18" customHeight="1">
      <c r="A3149" s="432"/>
      <c r="B3149" s="63" t="s">
        <v>2033</v>
      </c>
      <c r="C3149" s="70">
        <v>8</v>
      </c>
      <c r="D3149" s="68">
        <v>3.1</v>
      </c>
      <c r="E3149" s="68">
        <v>0.1</v>
      </c>
      <c r="F3149" s="68"/>
      <c r="G3149" s="67">
        <f t="shared" si="84"/>
        <v>2.48</v>
      </c>
      <c r="H3149" s="930" t="s">
        <v>1303</v>
      </c>
      <c r="I3149" s="1227"/>
      <c r="J3149" s="686"/>
    </row>
    <row r="3150" spans="1:10" s="78" customFormat="1" ht="18" customHeight="1">
      <c r="A3150" s="432"/>
      <c r="B3150" s="63"/>
      <c r="C3150" s="70">
        <v>8</v>
      </c>
      <c r="D3150" s="68">
        <v>4.8</v>
      </c>
      <c r="E3150" s="68">
        <v>0.1</v>
      </c>
      <c r="F3150" s="68"/>
      <c r="G3150" s="67">
        <f t="shared" si="84"/>
        <v>3.84</v>
      </c>
      <c r="H3150" s="930" t="s">
        <v>1303</v>
      </c>
      <c r="I3150" s="1227"/>
      <c r="J3150" s="686"/>
    </row>
    <row r="3151" spans="1:10" s="78" customFormat="1" ht="18" customHeight="1">
      <c r="A3151" s="432"/>
      <c r="B3151" s="63" t="s">
        <v>2090</v>
      </c>
      <c r="C3151" s="70">
        <v>-4</v>
      </c>
      <c r="D3151" s="68">
        <v>0.9</v>
      </c>
      <c r="E3151" s="68">
        <v>0.1</v>
      </c>
      <c r="F3151" s="68"/>
      <c r="G3151" s="67">
        <f t="shared" si="84"/>
        <v>-0.36</v>
      </c>
      <c r="H3151" s="930" t="s">
        <v>1303</v>
      </c>
      <c r="I3151" s="1227"/>
      <c r="J3151" s="686"/>
    </row>
    <row r="3152" spans="1:10" s="78" customFormat="1" ht="18" customHeight="1">
      <c r="A3152" s="432"/>
      <c r="B3152" s="63" t="s">
        <v>1149</v>
      </c>
      <c r="C3152" s="76">
        <v>2</v>
      </c>
      <c r="D3152" s="77">
        <v>4.7</v>
      </c>
      <c r="E3152" s="68">
        <v>0.1</v>
      </c>
      <c r="F3152" s="68"/>
      <c r="G3152" s="67">
        <f t="shared" si="84"/>
        <v>0.94</v>
      </c>
      <c r="H3152" s="930" t="s">
        <v>1303</v>
      </c>
      <c r="I3152" s="1227"/>
      <c r="J3152" s="686"/>
    </row>
    <row r="3153" spans="1:10" s="78" customFormat="1" ht="18" customHeight="1">
      <c r="A3153" s="432"/>
      <c r="B3153" s="63"/>
      <c r="C3153" s="76">
        <v>2</v>
      </c>
      <c r="D3153" s="77">
        <v>3.05</v>
      </c>
      <c r="E3153" s="68">
        <v>0.1</v>
      </c>
      <c r="F3153" s="68"/>
      <c r="G3153" s="67">
        <f t="shared" si="84"/>
        <v>0.61</v>
      </c>
      <c r="H3153" s="930" t="s">
        <v>1303</v>
      </c>
      <c r="I3153" s="1227"/>
      <c r="J3153" s="686"/>
    </row>
    <row r="3154" spans="1:10" s="78" customFormat="1" ht="18" customHeight="1">
      <c r="A3154" s="432"/>
      <c r="B3154" s="63"/>
      <c r="C3154" s="76">
        <v>-1</v>
      </c>
      <c r="D3154" s="77">
        <v>1.4</v>
      </c>
      <c r="E3154" s="68">
        <v>0.1</v>
      </c>
      <c r="F3154" s="68"/>
      <c r="G3154" s="67">
        <f t="shared" si="84"/>
        <v>-0.14000000000000001</v>
      </c>
      <c r="H3154" s="930" t="s">
        <v>1303</v>
      </c>
      <c r="I3154" s="1227"/>
      <c r="J3154" s="686"/>
    </row>
    <row r="3155" spans="1:10" ht="18" customHeight="1">
      <c r="A3155" s="128"/>
      <c r="B3155" s="356" t="s">
        <v>2069</v>
      </c>
      <c r="C3155" s="76">
        <v>2</v>
      </c>
      <c r="D3155" s="77">
        <v>4.8</v>
      </c>
      <c r="E3155" s="68">
        <v>0.1</v>
      </c>
      <c r="F3155" s="68"/>
      <c r="G3155" s="67">
        <f t="shared" si="84"/>
        <v>0.96</v>
      </c>
      <c r="H3155" s="930" t="s">
        <v>1303</v>
      </c>
      <c r="J3155" s="686"/>
    </row>
    <row r="3156" spans="1:10" ht="18" customHeight="1">
      <c r="A3156" s="128"/>
      <c r="B3156" s="356"/>
      <c r="C3156" s="76">
        <v>2</v>
      </c>
      <c r="D3156" s="77">
        <v>8</v>
      </c>
      <c r="E3156" s="68">
        <v>0.1</v>
      </c>
      <c r="F3156" s="68"/>
      <c r="G3156" s="67">
        <f t="shared" si="84"/>
        <v>1.6</v>
      </c>
      <c r="H3156" s="930" t="s">
        <v>1303</v>
      </c>
      <c r="J3156" s="686"/>
    </row>
    <row r="3157" spans="1:10" ht="18" customHeight="1">
      <c r="A3157" s="128"/>
      <c r="B3157" s="356" t="s">
        <v>2088</v>
      </c>
      <c r="C3157" s="76">
        <v>-1</v>
      </c>
      <c r="D3157" s="77">
        <v>1</v>
      </c>
      <c r="E3157" s="68">
        <v>0.1</v>
      </c>
      <c r="F3157" s="68"/>
      <c r="G3157" s="67">
        <f t="shared" si="84"/>
        <v>-0.1</v>
      </c>
      <c r="H3157" s="930" t="s">
        <v>1303</v>
      </c>
      <c r="J3157" s="686"/>
    </row>
    <row r="3158" spans="1:10" ht="18" customHeight="1">
      <c r="A3158" s="128"/>
      <c r="B3158" s="64" t="s">
        <v>1148</v>
      </c>
      <c r="C3158" s="70"/>
      <c r="D3158" s="68"/>
      <c r="E3158" s="68"/>
      <c r="F3158" s="68"/>
      <c r="G3158" s="67" t="str">
        <f t="shared" si="84"/>
        <v xml:space="preserve"> </v>
      </c>
      <c r="H3158" s="930" t="s">
        <v>1303</v>
      </c>
      <c r="J3158" s="686"/>
    </row>
    <row r="3159" spans="1:10" s="78" customFormat="1" ht="18" customHeight="1">
      <c r="A3159" s="432"/>
      <c r="B3159" s="63" t="s">
        <v>2033</v>
      </c>
      <c r="C3159" s="70">
        <v>4</v>
      </c>
      <c r="D3159" s="68">
        <v>3.1</v>
      </c>
      <c r="E3159" s="68">
        <v>0.1</v>
      </c>
      <c r="F3159" s="68"/>
      <c r="G3159" s="67">
        <f t="shared" si="84"/>
        <v>1.24</v>
      </c>
      <c r="H3159" s="930" t="s">
        <v>1303</v>
      </c>
      <c r="I3159" s="1227"/>
      <c r="J3159" s="686"/>
    </row>
    <row r="3160" spans="1:10" s="78" customFormat="1" ht="18" customHeight="1">
      <c r="A3160" s="432"/>
      <c r="B3160" s="63"/>
      <c r="C3160" s="70">
        <v>4</v>
      </c>
      <c r="D3160" s="68">
        <v>4.8</v>
      </c>
      <c r="E3160" s="68">
        <v>0.1</v>
      </c>
      <c r="F3160" s="68"/>
      <c r="G3160" s="67">
        <f t="shared" si="84"/>
        <v>1.92</v>
      </c>
      <c r="H3160" s="930" t="s">
        <v>1303</v>
      </c>
      <c r="I3160" s="1227"/>
      <c r="J3160" s="686"/>
    </row>
    <row r="3161" spans="1:10" s="78" customFormat="1" ht="18" customHeight="1">
      <c r="A3161" s="432"/>
      <c r="B3161" s="63" t="s">
        <v>2090</v>
      </c>
      <c r="C3161" s="70">
        <v>-2</v>
      </c>
      <c r="D3161" s="68">
        <v>0.9</v>
      </c>
      <c r="E3161" s="68">
        <v>0.1</v>
      </c>
      <c r="F3161" s="68"/>
      <c r="G3161" s="67">
        <f t="shared" si="84"/>
        <v>-0.18</v>
      </c>
      <c r="H3161" s="930" t="s">
        <v>1303</v>
      </c>
      <c r="I3161" s="1227"/>
      <c r="J3161" s="686"/>
    </row>
    <row r="3162" spans="1:10" s="78" customFormat="1" ht="18" customHeight="1">
      <c r="A3162" s="432"/>
      <c r="B3162" s="63" t="s">
        <v>2070</v>
      </c>
      <c r="C3162" s="76">
        <v>2</v>
      </c>
      <c r="D3162" s="77">
        <v>3</v>
      </c>
      <c r="E3162" s="68">
        <v>0.1</v>
      </c>
      <c r="F3162" s="68"/>
      <c r="G3162" s="67">
        <f t="shared" si="84"/>
        <v>0.6</v>
      </c>
      <c r="H3162" s="930" t="s">
        <v>1303</v>
      </c>
      <c r="I3162" s="1227"/>
      <c r="J3162" s="686"/>
    </row>
    <row r="3163" spans="1:10" s="78" customFormat="1" ht="18" customHeight="1">
      <c r="A3163" s="432"/>
      <c r="B3163" s="63"/>
      <c r="C3163" s="76">
        <v>2</v>
      </c>
      <c r="D3163" s="77">
        <v>4.7</v>
      </c>
      <c r="E3163" s="68">
        <v>0.1</v>
      </c>
      <c r="F3163" s="68"/>
      <c r="G3163" s="67">
        <f t="shared" si="84"/>
        <v>0.94</v>
      </c>
      <c r="H3163" s="930" t="s">
        <v>1303</v>
      </c>
      <c r="I3163" s="1227"/>
      <c r="J3163" s="686"/>
    </row>
    <row r="3164" spans="1:10" s="78" customFormat="1" ht="18" customHeight="1">
      <c r="A3164" s="432"/>
      <c r="B3164" s="63"/>
      <c r="C3164" s="76">
        <v>-1</v>
      </c>
      <c r="D3164" s="77">
        <v>1</v>
      </c>
      <c r="E3164" s="68">
        <v>0.1</v>
      </c>
      <c r="F3164" s="68"/>
      <c r="G3164" s="67">
        <f t="shared" si="84"/>
        <v>-0.1</v>
      </c>
      <c r="H3164" s="930" t="s">
        <v>1303</v>
      </c>
      <c r="I3164" s="1227"/>
      <c r="J3164" s="686"/>
    </row>
    <row r="3165" spans="1:10" ht="18" customHeight="1">
      <c r="A3165" s="128"/>
      <c r="B3165" s="356" t="s">
        <v>1150</v>
      </c>
      <c r="C3165" s="76">
        <v>4</v>
      </c>
      <c r="D3165" s="77">
        <v>3.1</v>
      </c>
      <c r="E3165" s="68">
        <v>0.1</v>
      </c>
      <c r="F3165" s="68"/>
      <c r="G3165" s="67">
        <f t="shared" si="84"/>
        <v>1.24</v>
      </c>
      <c r="H3165" s="930" t="s">
        <v>1303</v>
      </c>
      <c r="J3165" s="686"/>
    </row>
    <row r="3166" spans="1:10" ht="18" customHeight="1">
      <c r="A3166" s="128"/>
      <c r="B3166" s="356"/>
      <c r="C3166" s="76">
        <v>-1</v>
      </c>
      <c r="D3166" s="77">
        <v>1.5</v>
      </c>
      <c r="E3166" s="68">
        <v>0.1</v>
      </c>
      <c r="F3166" s="68"/>
      <c r="G3166" s="67">
        <f t="shared" si="84"/>
        <v>-0.15</v>
      </c>
      <c r="H3166" s="930" t="s">
        <v>1303</v>
      </c>
      <c r="J3166" s="686"/>
    </row>
    <row r="3167" spans="1:10" ht="18" customHeight="1">
      <c r="A3167" s="128"/>
      <c r="B3167" s="64" t="s">
        <v>1708</v>
      </c>
      <c r="C3167" s="70"/>
      <c r="D3167" s="68"/>
      <c r="E3167" s="68"/>
      <c r="F3167" s="68"/>
      <c r="G3167" s="67" t="str">
        <f t="shared" si="84"/>
        <v xml:space="preserve"> </v>
      </c>
      <c r="H3167" s="930" t="s">
        <v>1303</v>
      </c>
      <c r="J3167" s="686"/>
    </row>
    <row r="3168" spans="1:10" s="78" customFormat="1" ht="18" customHeight="1">
      <c r="A3168" s="432"/>
      <c r="B3168" s="63" t="s">
        <v>2033</v>
      </c>
      <c r="C3168" s="70">
        <v>6</v>
      </c>
      <c r="D3168" s="68">
        <v>3.1</v>
      </c>
      <c r="E3168" s="68">
        <v>0.1</v>
      </c>
      <c r="F3168" s="68"/>
      <c r="G3168" s="67">
        <f t="shared" si="84"/>
        <v>1.86</v>
      </c>
      <c r="H3168" s="930" t="s">
        <v>1303</v>
      </c>
      <c r="I3168" s="1227"/>
      <c r="J3168" s="686"/>
    </row>
    <row r="3169" spans="1:10" s="78" customFormat="1" ht="18" customHeight="1">
      <c r="A3169" s="432"/>
      <c r="B3169" s="63"/>
      <c r="C3169" s="70">
        <v>6</v>
      </c>
      <c r="D3169" s="68">
        <v>4.8</v>
      </c>
      <c r="E3169" s="68">
        <v>0.1</v>
      </c>
      <c r="F3169" s="68"/>
      <c r="G3169" s="67">
        <f t="shared" si="84"/>
        <v>2.88</v>
      </c>
      <c r="H3169" s="930" t="s">
        <v>1303</v>
      </c>
      <c r="I3169" s="1227"/>
      <c r="J3169" s="686"/>
    </row>
    <row r="3170" spans="1:10" s="78" customFormat="1" ht="18" customHeight="1">
      <c r="A3170" s="432"/>
      <c r="B3170" s="63" t="s">
        <v>2090</v>
      </c>
      <c r="C3170" s="70">
        <v>-3</v>
      </c>
      <c r="D3170" s="68">
        <v>0.9</v>
      </c>
      <c r="E3170" s="68">
        <v>0.1</v>
      </c>
      <c r="F3170" s="68"/>
      <c r="G3170" s="67">
        <f t="shared" si="84"/>
        <v>-0.27</v>
      </c>
      <c r="H3170" s="930" t="s">
        <v>1303</v>
      </c>
      <c r="I3170" s="1227"/>
      <c r="J3170" s="686"/>
    </row>
    <row r="3171" spans="1:10" ht="18" customHeight="1">
      <c r="A3171" s="128"/>
      <c r="B3171" s="64" t="s">
        <v>1709</v>
      </c>
      <c r="C3171" s="70"/>
      <c r="D3171" s="68"/>
      <c r="E3171" s="68"/>
      <c r="F3171" s="68"/>
      <c r="G3171" s="67" t="str">
        <f t="shared" si="84"/>
        <v xml:space="preserve"> </v>
      </c>
      <c r="H3171" s="930" t="s">
        <v>1303</v>
      </c>
      <c r="J3171" s="686"/>
    </row>
    <row r="3172" spans="1:10" s="78" customFormat="1" ht="18" customHeight="1">
      <c r="A3172" s="432"/>
      <c r="B3172" s="63" t="s">
        <v>2033</v>
      </c>
      <c r="C3172" s="70">
        <v>4</v>
      </c>
      <c r="D3172" s="68">
        <v>3.1</v>
      </c>
      <c r="E3172" s="68">
        <v>0.1</v>
      </c>
      <c r="F3172" s="68"/>
      <c r="G3172" s="67">
        <f t="shared" si="84"/>
        <v>1.24</v>
      </c>
      <c r="H3172" s="930" t="s">
        <v>1303</v>
      </c>
      <c r="I3172" s="1227"/>
      <c r="J3172" s="686"/>
    </row>
    <row r="3173" spans="1:10" s="78" customFormat="1" ht="18" customHeight="1">
      <c r="A3173" s="432"/>
      <c r="B3173" s="63"/>
      <c r="C3173" s="70">
        <v>4</v>
      </c>
      <c r="D3173" s="68">
        <v>4.8</v>
      </c>
      <c r="E3173" s="68">
        <v>0.1</v>
      </c>
      <c r="F3173" s="68"/>
      <c r="G3173" s="67">
        <f t="shared" si="84"/>
        <v>1.92</v>
      </c>
      <c r="H3173" s="930" t="s">
        <v>1303</v>
      </c>
      <c r="I3173" s="1227"/>
      <c r="J3173" s="686"/>
    </row>
    <row r="3174" spans="1:10" s="78" customFormat="1" ht="18" customHeight="1">
      <c r="A3174" s="432"/>
      <c r="B3174" s="63" t="s">
        <v>2090</v>
      </c>
      <c r="C3174" s="70">
        <v>-2</v>
      </c>
      <c r="D3174" s="68">
        <v>0.9</v>
      </c>
      <c r="E3174" s="68">
        <v>0.1</v>
      </c>
      <c r="F3174" s="68"/>
      <c r="G3174" s="67">
        <f t="shared" si="84"/>
        <v>-0.18</v>
      </c>
      <c r="H3174" s="930" t="s">
        <v>1303</v>
      </c>
      <c r="I3174" s="1227"/>
      <c r="J3174" s="686"/>
    </row>
    <row r="3175" spans="1:10" s="78" customFormat="1" ht="18" customHeight="1">
      <c r="A3175" s="432"/>
      <c r="B3175" s="63" t="s">
        <v>2070</v>
      </c>
      <c r="C3175" s="76">
        <v>2</v>
      </c>
      <c r="D3175" s="77">
        <v>3</v>
      </c>
      <c r="E3175" s="68">
        <v>0.1</v>
      </c>
      <c r="F3175" s="68"/>
      <c r="G3175" s="67">
        <f t="shared" si="84"/>
        <v>0.6</v>
      </c>
      <c r="H3175" s="930" t="s">
        <v>1303</v>
      </c>
      <c r="I3175" s="1227"/>
      <c r="J3175" s="686"/>
    </row>
    <row r="3176" spans="1:10" s="78" customFormat="1" ht="18" customHeight="1">
      <c r="A3176" s="432"/>
      <c r="B3176" s="63"/>
      <c r="C3176" s="76">
        <v>2</v>
      </c>
      <c r="D3176" s="77">
        <v>4.7</v>
      </c>
      <c r="E3176" s="68">
        <v>0.1</v>
      </c>
      <c r="F3176" s="68"/>
      <c r="G3176" s="67">
        <f t="shared" si="84"/>
        <v>0.94</v>
      </c>
      <c r="H3176" s="930" t="s">
        <v>1303</v>
      </c>
      <c r="I3176" s="1227"/>
      <c r="J3176" s="686"/>
    </row>
    <row r="3177" spans="1:10" s="78" customFormat="1" ht="18" customHeight="1">
      <c r="A3177" s="432"/>
      <c r="B3177" s="63"/>
      <c r="C3177" s="76">
        <v>-1</v>
      </c>
      <c r="D3177" s="77">
        <v>1</v>
      </c>
      <c r="E3177" s="68">
        <v>0.1</v>
      </c>
      <c r="F3177" s="68"/>
      <c r="G3177" s="67">
        <f t="shared" si="84"/>
        <v>-0.1</v>
      </c>
      <c r="H3177" s="930" t="s">
        <v>1303</v>
      </c>
      <c r="I3177" s="1227"/>
      <c r="J3177" s="686"/>
    </row>
    <row r="3178" spans="1:10" ht="18" customHeight="1">
      <c r="A3178" s="128"/>
      <c r="B3178" s="356" t="s">
        <v>1150</v>
      </c>
      <c r="C3178" s="76">
        <v>4</v>
      </c>
      <c r="D3178" s="77">
        <v>3.1</v>
      </c>
      <c r="E3178" s="68">
        <v>0.1</v>
      </c>
      <c r="F3178" s="68"/>
      <c r="G3178" s="67">
        <f t="shared" si="84"/>
        <v>1.24</v>
      </c>
      <c r="H3178" s="930" t="s">
        <v>1303</v>
      </c>
      <c r="J3178" s="686"/>
    </row>
    <row r="3179" spans="1:10" ht="18" customHeight="1">
      <c r="A3179" s="128"/>
      <c r="B3179" s="356"/>
      <c r="C3179" s="76">
        <v>-1</v>
      </c>
      <c r="D3179" s="77">
        <v>1.5</v>
      </c>
      <c r="E3179" s="68">
        <v>0.1</v>
      </c>
      <c r="F3179" s="68"/>
      <c r="G3179" s="67">
        <f t="shared" si="84"/>
        <v>-0.15</v>
      </c>
      <c r="H3179" s="930" t="s">
        <v>1303</v>
      </c>
      <c r="J3179" s="686"/>
    </row>
    <row r="3180" spans="1:10" ht="18" customHeight="1">
      <c r="A3180" s="128"/>
      <c r="B3180" s="64" t="s">
        <v>1710</v>
      </c>
      <c r="C3180" s="70"/>
      <c r="D3180" s="68"/>
      <c r="E3180" s="68"/>
      <c r="F3180" s="68"/>
      <c r="G3180" s="67" t="str">
        <f t="shared" si="84"/>
        <v xml:space="preserve"> </v>
      </c>
      <c r="H3180" s="930" t="s">
        <v>1303</v>
      </c>
      <c r="J3180" s="686"/>
    </row>
    <row r="3181" spans="1:10" s="78" customFormat="1" ht="18" customHeight="1">
      <c r="A3181" s="432"/>
      <c r="B3181" s="63" t="s">
        <v>2033</v>
      </c>
      <c r="C3181" s="70">
        <v>6</v>
      </c>
      <c r="D3181" s="68">
        <v>3.1</v>
      </c>
      <c r="E3181" s="68">
        <v>0.1</v>
      </c>
      <c r="F3181" s="68"/>
      <c r="G3181" s="67">
        <f t="shared" si="84"/>
        <v>1.86</v>
      </c>
      <c r="H3181" s="930" t="s">
        <v>1303</v>
      </c>
      <c r="I3181" s="1227"/>
      <c r="J3181" s="686"/>
    </row>
    <row r="3182" spans="1:10" s="78" customFormat="1" ht="18" customHeight="1">
      <c r="A3182" s="432"/>
      <c r="B3182" s="63"/>
      <c r="C3182" s="70">
        <v>6</v>
      </c>
      <c r="D3182" s="68">
        <v>4.8</v>
      </c>
      <c r="E3182" s="68">
        <v>0.1</v>
      </c>
      <c r="F3182" s="68"/>
      <c r="G3182" s="67">
        <f t="shared" si="84"/>
        <v>2.88</v>
      </c>
      <c r="H3182" s="930" t="s">
        <v>1303</v>
      </c>
      <c r="I3182" s="1227"/>
      <c r="J3182" s="686"/>
    </row>
    <row r="3183" spans="1:10" s="78" customFormat="1" ht="18" customHeight="1">
      <c r="A3183" s="432"/>
      <c r="B3183" s="63" t="s">
        <v>2090</v>
      </c>
      <c r="C3183" s="70">
        <v>-3</v>
      </c>
      <c r="D3183" s="68">
        <v>0.9</v>
      </c>
      <c r="E3183" s="68">
        <v>0.1</v>
      </c>
      <c r="F3183" s="68"/>
      <c r="G3183" s="67">
        <f t="shared" si="84"/>
        <v>-0.27</v>
      </c>
      <c r="H3183" s="930" t="s">
        <v>1303</v>
      </c>
      <c r="I3183" s="1227"/>
      <c r="J3183" s="686"/>
    </row>
    <row r="3184" spans="1:10" s="78" customFormat="1" ht="18" customHeight="1">
      <c r="A3184" s="432"/>
      <c r="B3184" s="63"/>
      <c r="C3184" s="70"/>
      <c r="D3184" s="68"/>
      <c r="E3184" s="68"/>
      <c r="F3184" s="68"/>
      <c r="G3184" s="67" t="str">
        <f t="shared" si="84"/>
        <v xml:space="preserve"> </v>
      </c>
      <c r="H3184" s="930" t="s">
        <v>1303</v>
      </c>
      <c r="I3184" s="1227"/>
      <c r="J3184" s="686"/>
    </row>
    <row r="3185" spans="1:10" s="78" customFormat="1" ht="18" customHeight="1">
      <c r="A3185" s="432"/>
      <c r="B3185" s="64" t="s">
        <v>2071</v>
      </c>
      <c r="C3185" s="70"/>
      <c r="D3185" s="68"/>
      <c r="E3185" s="68"/>
      <c r="F3185" s="68"/>
      <c r="G3185" s="67" t="str">
        <f t="shared" si="84"/>
        <v xml:space="preserve"> </v>
      </c>
      <c r="H3185" s="930" t="s">
        <v>1303</v>
      </c>
      <c r="I3185" s="1227"/>
      <c r="J3185" s="686"/>
    </row>
    <row r="3186" spans="1:10" s="78" customFormat="1" ht="18" customHeight="1">
      <c r="A3186" s="432"/>
      <c r="B3186" s="63" t="s">
        <v>2072</v>
      </c>
      <c r="C3186" s="70">
        <v>2</v>
      </c>
      <c r="D3186" s="68">
        <f>6.45+6.4+6.4+3.25</f>
        <v>22.5</v>
      </c>
      <c r="E3186" s="68">
        <v>0.1</v>
      </c>
      <c r="F3186" s="68"/>
      <c r="G3186" s="67">
        <f t="shared" si="84"/>
        <v>4.5</v>
      </c>
      <c r="H3186" s="930" t="s">
        <v>1303</v>
      </c>
      <c r="I3186" s="1227"/>
      <c r="J3186" s="686"/>
    </row>
    <row r="3187" spans="1:10" s="78" customFormat="1" ht="18" customHeight="1">
      <c r="A3187" s="432"/>
      <c r="B3187" s="63"/>
      <c r="C3187" s="70">
        <v>-11</v>
      </c>
      <c r="D3187" s="68">
        <v>0.9</v>
      </c>
      <c r="E3187" s="68">
        <v>0.1</v>
      </c>
      <c r="F3187" s="68"/>
      <c r="G3187" s="67">
        <f t="shared" si="84"/>
        <v>-0.99</v>
      </c>
      <c r="H3187" s="930" t="s">
        <v>1303</v>
      </c>
      <c r="I3187" s="1227"/>
      <c r="J3187" s="686"/>
    </row>
    <row r="3188" spans="1:10" s="78" customFormat="1" ht="18" customHeight="1">
      <c r="A3188" s="432"/>
      <c r="B3188" s="63" t="s">
        <v>2073</v>
      </c>
      <c r="C3188" s="70">
        <v>1</v>
      </c>
      <c r="D3188" s="68">
        <v>3.8250000000000002</v>
      </c>
      <c r="E3188" s="68">
        <v>0.1</v>
      </c>
      <c r="F3188" s="68"/>
      <c r="G3188" s="67">
        <f t="shared" si="84"/>
        <v>0.38</v>
      </c>
      <c r="H3188" s="930" t="s">
        <v>1303</v>
      </c>
      <c r="I3188" s="1227"/>
      <c r="J3188" s="686"/>
    </row>
    <row r="3189" spans="1:10" s="78" customFormat="1" ht="18" customHeight="1">
      <c r="A3189" s="432"/>
      <c r="B3189" s="63"/>
      <c r="C3189" s="70">
        <v>1</v>
      </c>
      <c r="D3189" s="68">
        <v>1.5</v>
      </c>
      <c r="E3189" s="68">
        <v>0.1</v>
      </c>
      <c r="F3189" s="68"/>
      <c r="G3189" s="67">
        <f t="shared" si="84"/>
        <v>0.15</v>
      </c>
      <c r="H3189" s="930" t="s">
        <v>1303</v>
      </c>
      <c r="I3189" s="1227"/>
      <c r="J3189" s="686"/>
    </row>
    <row r="3190" spans="1:10" s="78" customFormat="1" ht="18" customHeight="1">
      <c r="A3190" s="432"/>
      <c r="B3190" s="63" t="s">
        <v>2074</v>
      </c>
      <c r="C3190" s="70">
        <v>2</v>
      </c>
      <c r="D3190" s="68">
        <f>6.45+3.25</f>
        <v>9.6999999999999993</v>
      </c>
      <c r="E3190" s="68">
        <v>0.1</v>
      </c>
      <c r="F3190" s="68"/>
      <c r="G3190" s="67">
        <f t="shared" si="84"/>
        <v>1.94</v>
      </c>
      <c r="H3190" s="930" t="s">
        <v>1303</v>
      </c>
      <c r="I3190" s="1227"/>
      <c r="J3190" s="686"/>
    </row>
    <row r="3191" spans="1:10" s="78" customFormat="1" ht="18" customHeight="1">
      <c r="A3191" s="432"/>
      <c r="B3191" s="63"/>
      <c r="C3191" s="70">
        <v>-5</v>
      </c>
      <c r="D3191" s="68">
        <v>0.9</v>
      </c>
      <c r="E3191" s="68">
        <v>0.1</v>
      </c>
      <c r="F3191" s="68"/>
      <c r="G3191" s="67">
        <f t="shared" si="84"/>
        <v>-0.45</v>
      </c>
      <c r="H3191" s="930" t="s">
        <v>1303</v>
      </c>
      <c r="I3191" s="1227"/>
      <c r="J3191" s="686"/>
    </row>
    <row r="3192" spans="1:10" s="78" customFormat="1" ht="18" customHeight="1">
      <c r="A3192" s="432"/>
      <c r="B3192" s="63"/>
      <c r="C3192" s="70">
        <v>-1</v>
      </c>
      <c r="D3192" s="68">
        <v>1.8</v>
      </c>
      <c r="E3192" s="68">
        <v>0.1</v>
      </c>
      <c r="F3192" s="68"/>
      <c r="G3192" s="67">
        <f t="shared" si="84"/>
        <v>-0.18</v>
      </c>
      <c r="H3192" s="930" t="s">
        <v>1303</v>
      </c>
      <c r="I3192" s="1227"/>
      <c r="J3192" s="686"/>
    </row>
    <row r="3193" spans="1:10" s="78" customFormat="1" ht="18" customHeight="1">
      <c r="A3193" s="432"/>
      <c r="B3193" s="63"/>
      <c r="C3193" s="70">
        <v>-1</v>
      </c>
      <c r="D3193" s="68">
        <v>1</v>
      </c>
      <c r="E3193" s="68">
        <v>0.1</v>
      </c>
      <c r="F3193" s="68"/>
      <c r="G3193" s="67">
        <f t="shared" si="84"/>
        <v>-0.1</v>
      </c>
      <c r="H3193" s="930" t="s">
        <v>1303</v>
      </c>
      <c r="I3193" s="1227"/>
      <c r="J3193" s="686"/>
    </row>
    <row r="3194" spans="1:10" s="78" customFormat="1" ht="18" customHeight="1">
      <c r="A3194" s="432"/>
      <c r="B3194" s="63" t="s">
        <v>2180</v>
      </c>
      <c r="C3194" s="70">
        <v>2</v>
      </c>
      <c r="D3194" s="68">
        <v>11.6</v>
      </c>
      <c r="E3194" s="68">
        <v>0.1</v>
      </c>
      <c r="F3194" s="68"/>
      <c r="G3194" s="67">
        <f t="shared" si="84"/>
        <v>2.3199999999999998</v>
      </c>
      <c r="H3194" s="930" t="s">
        <v>1303</v>
      </c>
      <c r="I3194" s="1227"/>
      <c r="J3194" s="686"/>
    </row>
    <row r="3195" spans="1:10" s="78" customFormat="1" ht="18" customHeight="1">
      <c r="A3195" s="432"/>
      <c r="B3195" s="63"/>
      <c r="C3195" s="70">
        <v>2</v>
      </c>
      <c r="D3195" s="68">
        <v>12.5</v>
      </c>
      <c r="E3195" s="68">
        <v>0.1</v>
      </c>
      <c r="F3195" s="68"/>
      <c r="G3195" s="67">
        <f t="shared" si="84"/>
        <v>2.5</v>
      </c>
      <c r="H3195" s="930" t="s">
        <v>1303</v>
      </c>
      <c r="I3195" s="1227"/>
      <c r="J3195" s="686"/>
    </row>
    <row r="3196" spans="1:10" s="78" customFormat="1" ht="18" customHeight="1">
      <c r="A3196" s="432"/>
      <c r="B3196" s="63" t="s">
        <v>2091</v>
      </c>
      <c r="C3196" s="70">
        <v>-2</v>
      </c>
      <c r="D3196" s="68">
        <v>1.8</v>
      </c>
      <c r="E3196" s="68">
        <v>0.1</v>
      </c>
      <c r="F3196" s="68"/>
      <c r="G3196" s="67">
        <f t="shared" si="84"/>
        <v>-0.36</v>
      </c>
      <c r="H3196" s="930" t="s">
        <v>1303</v>
      </c>
      <c r="I3196" s="1227"/>
      <c r="J3196" s="686"/>
    </row>
    <row r="3197" spans="1:10" s="78" customFormat="1" ht="18" customHeight="1">
      <c r="A3197" s="432"/>
      <c r="B3197" s="63" t="s">
        <v>2092</v>
      </c>
      <c r="C3197" s="70">
        <v>-1</v>
      </c>
      <c r="D3197" s="68">
        <v>1.2</v>
      </c>
      <c r="E3197" s="68">
        <v>0.1</v>
      </c>
      <c r="F3197" s="68"/>
      <c r="G3197" s="67">
        <f t="shared" si="84"/>
        <v>-0.12</v>
      </c>
      <c r="H3197" s="930" t="s">
        <v>1303</v>
      </c>
      <c r="I3197" s="1227"/>
      <c r="J3197" s="686"/>
    </row>
    <row r="3198" spans="1:10" s="78" customFormat="1" ht="18" customHeight="1">
      <c r="A3198" s="432"/>
      <c r="B3198" s="63"/>
      <c r="C3198" s="70">
        <v>-1</v>
      </c>
      <c r="D3198" s="68">
        <f>2.245+0.7+3.2</f>
        <v>6.1450000000000005</v>
      </c>
      <c r="E3198" s="68">
        <v>0.1</v>
      </c>
      <c r="F3198" s="68"/>
      <c r="G3198" s="67">
        <f t="shared" si="84"/>
        <v>-0.61</v>
      </c>
      <c r="H3198" s="930" t="s">
        <v>1303</v>
      </c>
      <c r="I3198" s="1227"/>
      <c r="J3198" s="686"/>
    </row>
    <row r="3199" spans="1:10" s="78" customFormat="1" ht="18" customHeight="1">
      <c r="A3199" s="432"/>
      <c r="B3199" s="63" t="s">
        <v>2076</v>
      </c>
      <c r="C3199" s="70">
        <v>2</v>
      </c>
      <c r="D3199" s="68">
        <f>3.25+6.45+3.2</f>
        <v>12.899999999999999</v>
      </c>
      <c r="E3199" s="68">
        <v>0.1</v>
      </c>
      <c r="F3199" s="68"/>
      <c r="G3199" s="67">
        <f t="shared" si="84"/>
        <v>2.58</v>
      </c>
      <c r="H3199" s="930" t="s">
        <v>1303</v>
      </c>
      <c r="I3199" s="1227"/>
      <c r="J3199" s="686"/>
    </row>
    <row r="3200" spans="1:10" s="78" customFormat="1" ht="18" customHeight="1">
      <c r="A3200" s="432"/>
      <c r="B3200" s="63" t="s">
        <v>2091</v>
      </c>
      <c r="C3200" s="70">
        <v>-1</v>
      </c>
      <c r="D3200" s="68">
        <v>1.8</v>
      </c>
      <c r="E3200" s="68">
        <v>0.1</v>
      </c>
      <c r="F3200" s="68"/>
      <c r="G3200" s="67">
        <f t="shared" si="84"/>
        <v>-0.18</v>
      </c>
      <c r="H3200" s="930" t="s">
        <v>1303</v>
      </c>
      <c r="I3200" s="1227"/>
      <c r="J3200" s="686"/>
    </row>
    <row r="3201" spans="1:10" s="78" customFormat="1" ht="18" customHeight="1">
      <c r="A3201" s="432"/>
      <c r="B3201" s="63"/>
      <c r="C3201" s="70">
        <v>-1</v>
      </c>
      <c r="D3201" s="68">
        <v>1</v>
      </c>
      <c r="E3201" s="68">
        <v>0.1</v>
      </c>
      <c r="F3201" s="68"/>
      <c r="G3201" s="67">
        <f t="shared" ref="G3201:G3264" si="85">IF(C3201&lt;&gt;0,ROUND(PRODUCT(D3201:F3201)*C3201,2)," ")</f>
        <v>-0.1</v>
      </c>
      <c r="H3201" s="930" t="s">
        <v>1303</v>
      </c>
      <c r="I3201" s="1227"/>
      <c r="J3201" s="686"/>
    </row>
    <row r="3202" spans="1:10" s="78" customFormat="1" ht="18" customHeight="1">
      <c r="A3202" s="432"/>
      <c r="B3202" s="63" t="s">
        <v>2090</v>
      </c>
      <c r="C3202" s="70">
        <v>-5</v>
      </c>
      <c r="D3202" s="68">
        <v>0.9</v>
      </c>
      <c r="E3202" s="68">
        <v>0.1</v>
      </c>
      <c r="F3202" s="68"/>
      <c r="G3202" s="67">
        <f t="shared" si="85"/>
        <v>-0.45</v>
      </c>
      <c r="H3202" s="930" t="s">
        <v>1303</v>
      </c>
      <c r="I3202" s="1227"/>
      <c r="J3202" s="686"/>
    </row>
    <row r="3203" spans="1:10" s="78" customFormat="1" ht="18" customHeight="1">
      <c r="A3203" s="432"/>
      <c r="B3203" s="63" t="s">
        <v>2077</v>
      </c>
      <c r="C3203" s="70">
        <v>2</v>
      </c>
      <c r="D3203" s="68">
        <f>6.45+3.25</f>
        <v>9.6999999999999993</v>
      </c>
      <c r="E3203" s="68">
        <v>0.1</v>
      </c>
      <c r="F3203" s="68"/>
      <c r="G3203" s="67">
        <f t="shared" si="85"/>
        <v>1.94</v>
      </c>
      <c r="H3203" s="930" t="s">
        <v>1303</v>
      </c>
      <c r="I3203" s="1227"/>
      <c r="J3203" s="686"/>
    </row>
    <row r="3204" spans="1:10" s="78" customFormat="1" ht="18" customHeight="1">
      <c r="A3204" s="432"/>
      <c r="B3204" s="63"/>
      <c r="C3204" s="70">
        <v>-5</v>
      </c>
      <c r="D3204" s="68">
        <v>0.9</v>
      </c>
      <c r="E3204" s="68">
        <v>0.1</v>
      </c>
      <c r="F3204" s="68"/>
      <c r="G3204" s="67">
        <f t="shared" si="85"/>
        <v>-0.45</v>
      </c>
      <c r="H3204" s="930" t="s">
        <v>1303</v>
      </c>
      <c r="I3204" s="1227"/>
      <c r="J3204" s="686"/>
    </row>
    <row r="3205" spans="1:10" s="78" customFormat="1" ht="18" customHeight="1">
      <c r="A3205" s="432"/>
      <c r="B3205" s="63"/>
      <c r="C3205" s="70">
        <v>-1</v>
      </c>
      <c r="D3205" s="68">
        <v>1.8</v>
      </c>
      <c r="E3205" s="68">
        <v>0.1</v>
      </c>
      <c r="F3205" s="68"/>
      <c r="G3205" s="67">
        <f t="shared" si="85"/>
        <v>-0.18</v>
      </c>
      <c r="H3205" s="930" t="s">
        <v>1303</v>
      </c>
      <c r="I3205" s="1227"/>
      <c r="J3205" s="686"/>
    </row>
    <row r="3206" spans="1:10" s="78" customFormat="1" ht="18" customHeight="1">
      <c r="A3206" s="432"/>
      <c r="B3206" s="63"/>
      <c r="C3206" s="70">
        <v>-1</v>
      </c>
      <c r="D3206" s="68">
        <v>1</v>
      </c>
      <c r="E3206" s="68">
        <v>0.1</v>
      </c>
      <c r="F3206" s="68"/>
      <c r="G3206" s="67">
        <f t="shared" si="85"/>
        <v>-0.1</v>
      </c>
      <c r="H3206" s="930" t="s">
        <v>1303</v>
      </c>
      <c r="I3206" s="1227"/>
      <c r="J3206" s="686"/>
    </row>
    <row r="3207" spans="1:10" s="78" customFormat="1" ht="18" customHeight="1">
      <c r="A3207" s="432"/>
      <c r="B3207" s="63" t="s">
        <v>2078</v>
      </c>
      <c r="C3207" s="70">
        <v>2</v>
      </c>
      <c r="D3207" s="68">
        <f>6.45+6.4+6.4+3.25</f>
        <v>22.5</v>
      </c>
      <c r="E3207" s="68">
        <v>0.1</v>
      </c>
      <c r="F3207" s="68"/>
      <c r="G3207" s="67">
        <f t="shared" si="85"/>
        <v>4.5</v>
      </c>
      <c r="H3207" s="930" t="s">
        <v>1303</v>
      </c>
      <c r="I3207" s="1227"/>
      <c r="J3207" s="686"/>
    </row>
    <row r="3208" spans="1:10" s="78" customFormat="1" ht="18" customHeight="1">
      <c r="A3208" s="432"/>
      <c r="B3208" s="63" t="s">
        <v>2090</v>
      </c>
      <c r="C3208" s="70">
        <v>-11</v>
      </c>
      <c r="D3208" s="68">
        <v>0.9</v>
      </c>
      <c r="E3208" s="68">
        <v>0.1</v>
      </c>
      <c r="F3208" s="68"/>
      <c r="G3208" s="67">
        <f t="shared" si="85"/>
        <v>-0.99</v>
      </c>
      <c r="H3208" s="930" t="s">
        <v>1303</v>
      </c>
      <c r="I3208" s="1227"/>
      <c r="J3208" s="686"/>
    </row>
    <row r="3209" spans="1:10" s="78" customFormat="1" ht="18" customHeight="1">
      <c r="A3209" s="432"/>
      <c r="B3209" s="63" t="s">
        <v>2079</v>
      </c>
      <c r="C3209" s="70">
        <v>1</v>
      </c>
      <c r="D3209" s="68">
        <v>1.5</v>
      </c>
      <c r="E3209" s="68">
        <v>0.1</v>
      </c>
      <c r="F3209" s="68"/>
      <c r="G3209" s="67">
        <f t="shared" si="85"/>
        <v>0.15</v>
      </c>
      <c r="H3209" s="930" t="s">
        <v>1303</v>
      </c>
      <c r="I3209" s="1227"/>
      <c r="J3209" s="686"/>
    </row>
    <row r="3210" spans="1:10" s="78" customFormat="1" ht="18" customHeight="1">
      <c r="A3210" s="432"/>
      <c r="B3210" s="63" t="s">
        <v>2080</v>
      </c>
      <c r="C3210" s="70">
        <v>2</v>
      </c>
      <c r="D3210" s="68">
        <v>35.475000000000001</v>
      </c>
      <c r="E3210" s="68">
        <v>0.1</v>
      </c>
      <c r="F3210" s="68"/>
      <c r="G3210" s="67">
        <f t="shared" si="85"/>
        <v>7.1</v>
      </c>
      <c r="H3210" s="930" t="s">
        <v>1303</v>
      </c>
      <c r="I3210" s="1227"/>
      <c r="J3210" s="686"/>
    </row>
    <row r="3211" spans="1:10" s="78" customFormat="1" ht="18" customHeight="1">
      <c r="A3211" s="432"/>
      <c r="B3211" s="63" t="s">
        <v>2090</v>
      </c>
      <c r="C3211" s="70">
        <v>-14</v>
      </c>
      <c r="D3211" s="68">
        <v>0.9</v>
      </c>
      <c r="E3211" s="68">
        <v>0.1</v>
      </c>
      <c r="F3211" s="68"/>
      <c r="G3211" s="67">
        <f t="shared" si="85"/>
        <v>-1.26</v>
      </c>
      <c r="H3211" s="930" t="s">
        <v>1303</v>
      </c>
      <c r="I3211" s="1227"/>
      <c r="J3211" s="686"/>
    </row>
    <row r="3212" spans="1:10" s="78" customFormat="1" ht="18" customHeight="1">
      <c r="A3212" s="432"/>
      <c r="B3212" s="63" t="s">
        <v>2093</v>
      </c>
      <c r="C3212" s="70">
        <v>-2</v>
      </c>
      <c r="D3212" s="68">
        <v>1.2</v>
      </c>
      <c r="E3212" s="68">
        <v>0.1</v>
      </c>
      <c r="F3212" s="68"/>
      <c r="G3212" s="67">
        <f t="shared" si="85"/>
        <v>-0.24</v>
      </c>
      <c r="H3212" s="930" t="s">
        <v>1303</v>
      </c>
      <c r="I3212" s="1227"/>
      <c r="J3212" s="686"/>
    </row>
    <row r="3213" spans="1:10" s="78" customFormat="1" ht="18" customHeight="1">
      <c r="A3213" s="432"/>
      <c r="B3213" s="63" t="s">
        <v>2094</v>
      </c>
      <c r="C3213" s="70">
        <v>-1</v>
      </c>
      <c r="D3213" s="68">
        <v>1</v>
      </c>
      <c r="E3213" s="68">
        <v>0.1</v>
      </c>
      <c r="F3213" s="68"/>
      <c r="G3213" s="67">
        <f t="shared" si="85"/>
        <v>-0.1</v>
      </c>
      <c r="H3213" s="930" t="s">
        <v>1303</v>
      </c>
      <c r="I3213" s="1227"/>
      <c r="J3213" s="686"/>
    </row>
    <row r="3214" spans="1:10" s="78" customFormat="1" ht="18" customHeight="1">
      <c r="A3214" s="432"/>
      <c r="B3214" s="63" t="s">
        <v>2095</v>
      </c>
      <c r="C3214" s="70">
        <v>-1</v>
      </c>
      <c r="D3214" s="68">
        <v>0.9</v>
      </c>
      <c r="E3214" s="68">
        <v>0.1</v>
      </c>
      <c r="F3214" s="68"/>
      <c r="G3214" s="67">
        <f t="shared" si="85"/>
        <v>-0.09</v>
      </c>
      <c r="H3214" s="930" t="s">
        <v>1303</v>
      </c>
      <c r="I3214" s="1227"/>
      <c r="J3214" s="686"/>
    </row>
    <row r="3215" spans="1:10" s="78" customFormat="1" ht="18" customHeight="1">
      <c r="A3215" s="432"/>
      <c r="B3215" s="63"/>
      <c r="C3215" s="70">
        <v>-2</v>
      </c>
      <c r="D3215" s="567">
        <v>6.1</v>
      </c>
      <c r="E3215" s="68">
        <v>0.1</v>
      </c>
      <c r="F3215" s="68"/>
      <c r="G3215" s="67">
        <f t="shared" si="85"/>
        <v>-1.22</v>
      </c>
      <c r="H3215" s="930" t="s">
        <v>1303</v>
      </c>
      <c r="I3215" s="1227"/>
      <c r="J3215" s="686"/>
    </row>
    <row r="3216" spans="1:10" s="78" customFormat="1" ht="18" customHeight="1">
      <c r="A3216" s="432"/>
      <c r="B3216" s="63" t="s">
        <v>2081</v>
      </c>
      <c r="C3216" s="70">
        <v>1</v>
      </c>
      <c r="D3216" s="68">
        <v>1.5</v>
      </c>
      <c r="E3216" s="68">
        <v>0.1</v>
      </c>
      <c r="F3216" s="68"/>
      <c r="G3216" s="67">
        <f t="shared" si="85"/>
        <v>0.15</v>
      </c>
      <c r="H3216" s="930" t="s">
        <v>1303</v>
      </c>
      <c r="I3216" s="1227"/>
      <c r="J3216" s="686"/>
    </row>
    <row r="3217" spans="1:10" s="78" customFormat="1" ht="18" customHeight="1">
      <c r="A3217" s="432"/>
      <c r="B3217" s="63"/>
      <c r="C3217" s="70"/>
      <c r="D3217" s="68"/>
      <c r="E3217" s="68"/>
      <c r="F3217" s="68"/>
      <c r="G3217" s="67" t="str">
        <f t="shared" si="85"/>
        <v xml:space="preserve"> </v>
      </c>
      <c r="H3217" s="930" t="s">
        <v>1303</v>
      </c>
      <c r="I3217" s="1227"/>
      <c r="J3217" s="686"/>
    </row>
    <row r="3218" spans="1:10" ht="18" customHeight="1">
      <c r="A3218" s="354"/>
      <c r="B3218" s="80" t="s">
        <v>1718</v>
      </c>
      <c r="C3218" s="70"/>
      <c r="D3218" s="68"/>
      <c r="E3218" s="68"/>
      <c r="F3218" s="68"/>
      <c r="G3218" s="67" t="str">
        <f t="shared" si="85"/>
        <v xml:space="preserve"> </v>
      </c>
      <c r="H3218" s="930" t="s">
        <v>1303</v>
      </c>
      <c r="J3218" s="686"/>
    </row>
    <row r="3219" spans="1:10" ht="18" customHeight="1">
      <c r="A3219" s="128"/>
      <c r="B3219" s="64" t="s">
        <v>1692</v>
      </c>
      <c r="C3219" s="70"/>
      <c r="D3219" s="68"/>
      <c r="E3219" s="68"/>
      <c r="F3219" s="68"/>
      <c r="G3219" s="67" t="str">
        <f t="shared" si="85"/>
        <v xml:space="preserve"> </v>
      </c>
      <c r="H3219" s="930" t="s">
        <v>1303</v>
      </c>
      <c r="J3219" s="686"/>
    </row>
    <row r="3220" spans="1:10" s="78" customFormat="1" ht="18" customHeight="1">
      <c r="A3220" s="432"/>
      <c r="B3220" s="63" t="s">
        <v>2033</v>
      </c>
      <c r="C3220" s="70">
        <v>10</v>
      </c>
      <c r="D3220" s="68">
        <v>3.1</v>
      </c>
      <c r="E3220" s="68">
        <v>0.1</v>
      </c>
      <c r="F3220" s="68"/>
      <c r="G3220" s="67">
        <f t="shared" si="85"/>
        <v>3.1</v>
      </c>
      <c r="H3220" s="930" t="s">
        <v>1303</v>
      </c>
      <c r="I3220" s="1227"/>
      <c r="J3220" s="686"/>
    </row>
    <row r="3221" spans="1:10" s="78" customFormat="1" ht="18" customHeight="1">
      <c r="A3221" s="432"/>
      <c r="B3221" s="63"/>
      <c r="C3221" s="70">
        <v>10</v>
      </c>
      <c r="D3221" s="68">
        <v>4.8</v>
      </c>
      <c r="E3221" s="68">
        <v>0.1</v>
      </c>
      <c r="F3221" s="68"/>
      <c r="G3221" s="67">
        <f t="shared" si="85"/>
        <v>4.8</v>
      </c>
      <c r="H3221" s="930" t="s">
        <v>1303</v>
      </c>
      <c r="I3221" s="1227"/>
      <c r="J3221" s="686"/>
    </row>
    <row r="3222" spans="1:10" s="78" customFormat="1" ht="18" customHeight="1">
      <c r="A3222" s="432"/>
      <c r="B3222" s="63" t="s">
        <v>2089</v>
      </c>
      <c r="C3222" s="70">
        <v>-5</v>
      </c>
      <c r="D3222" s="68">
        <v>0.9</v>
      </c>
      <c r="E3222" s="68">
        <v>0.1</v>
      </c>
      <c r="F3222" s="68"/>
      <c r="G3222" s="67">
        <f t="shared" si="85"/>
        <v>-0.45</v>
      </c>
      <c r="H3222" s="930" t="s">
        <v>1303</v>
      </c>
      <c r="I3222" s="1227"/>
      <c r="J3222" s="686"/>
    </row>
    <row r="3223" spans="1:10" ht="18" customHeight="1">
      <c r="A3223" s="128"/>
      <c r="B3223" s="64" t="s">
        <v>1697</v>
      </c>
      <c r="C3223" s="70"/>
      <c r="D3223" s="68"/>
      <c r="E3223" s="68"/>
      <c r="F3223" s="68"/>
      <c r="G3223" s="67" t="str">
        <f t="shared" si="85"/>
        <v xml:space="preserve"> </v>
      </c>
      <c r="H3223" s="930" t="s">
        <v>1303</v>
      </c>
      <c r="J3223" s="686"/>
    </row>
    <row r="3224" spans="1:10" s="78" customFormat="1" ht="18" customHeight="1">
      <c r="A3224" s="432"/>
      <c r="B3224" s="63" t="s">
        <v>2033</v>
      </c>
      <c r="C3224" s="70">
        <v>10</v>
      </c>
      <c r="D3224" s="68">
        <v>3.1</v>
      </c>
      <c r="E3224" s="68">
        <v>0.1</v>
      </c>
      <c r="F3224" s="68"/>
      <c r="G3224" s="67">
        <f t="shared" si="85"/>
        <v>3.1</v>
      </c>
      <c r="H3224" s="930" t="s">
        <v>1303</v>
      </c>
      <c r="I3224" s="1227"/>
      <c r="J3224" s="686"/>
    </row>
    <row r="3225" spans="1:10" s="78" customFormat="1" ht="18" customHeight="1">
      <c r="A3225" s="432"/>
      <c r="B3225" s="63"/>
      <c r="C3225" s="70">
        <v>10</v>
      </c>
      <c r="D3225" s="68">
        <v>4.8</v>
      </c>
      <c r="E3225" s="68">
        <v>0.1</v>
      </c>
      <c r="F3225" s="68"/>
      <c r="G3225" s="67">
        <f t="shared" si="85"/>
        <v>4.8</v>
      </c>
      <c r="H3225" s="930" t="s">
        <v>1303</v>
      </c>
      <c r="I3225" s="1227"/>
      <c r="J3225" s="686"/>
    </row>
    <row r="3226" spans="1:10" s="78" customFormat="1" ht="18" customHeight="1">
      <c r="A3226" s="432"/>
      <c r="B3226" s="63" t="s">
        <v>2089</v>
      </c>
      <c r="C3226" s="70">
        <v>-5</v>
      </c>
      <c r="D3226" s="68">
        <v>0.9</v>
      </c>
      <c r="E3226" s="68">
        <v>0.1</v>
      </c>
      <c r="F3226" s="68"/>
      <c r="G3226" s="67">
        <f t="shared" si="85"/>
        <v>-0.45</v>
      </c>
      <c r="H3226" s="930" t="s">
        <v>1303</v>
      </c>
      <c r="I3226" s="1227"/>
      <c r="J3226" s="686"/>
    </row>
    <row r="3227" spans="1:10" ht="18" customHeight="1">
      <c r="A3227" s="128"/>
      <c r="B3227" s="64" t="s">
        <v>1146</v>
      </c>
      <c r="C3227" s="70"/>
      <c r="D3227" s="68"/>
      <c r="E3227" s="68"/>
      <c r="F3227" s="68"/>
      <c r="G3227" s="67" t="str">
        <f t="shared" si="85"/>
        <v xml:space="preserve"> </v>
      </c>
      <c r="H3227" s="930" t="s">
        <v>1303</v>
      </c>
      <c r="J3227" s="686"/>
    </row>
    <row r="3228" spans="1:10" s="78" customFormat="1" ht="18" customHeight="1">
      <c r="A3228" s="432"/>
      <c r="B3228" s="63" t="s">
        <v>2033</v>
      </c>
      <c r="C3228" s="70">
        <v>8</v>
      </c>
      <c r="D3228" s="68">
        <v>3.1</v>
      </c>
      <c r="E3228" s="68">
        <v>0.1</v>
      </c>
      <c r="F3228" s="68"/>
      <c r="G3228" s="67">
        <f t="shared" si="85"/>
        <v>2.48</v>
      </c>
      <c r="H3228" s="930" t="s">
        <v>1303</v>
      </c>
      <c r="I3228" s="1227"/>
      <c r="J3228" s="686"/>
    </row>
    <row r="3229" spans="1:10" s="78" customFormat="1" ht="18" customHeight="1">
      <c r="A3229" s="432"/>
      <c r="B3229" s="63"/>
      <c r="C3229" s="70">
        <v>8</v>
      </c>
      <c r="D3229" s="68">
        <v>4.8</v>
      </c>
      <c r="E3229" s="68">
        <v>0.1</v>
      </c>
      <c r="F3229" s="68"/>
      <c r="G3229" s="67">
        <f t="shared" si="85"/>
        <v>3.84</v>
      </c>
      <c r="H3229" s="930" t="s">
        <v>1303</v>
      </c>
      <c r="I3229" s="1227"/>
      <c r="J3229" s="686"/>
    </row>
    <row r="3230" spans="1:10" ht="18" customHeight="1">
      <c r="A3230" s="128"/>
      <c r="B3230" s="64" t="s">
        <v>1147</v>
      </c>
      <c r="C3230" s="70"/>
      <c r="D3230" s="68"/>
      <c r="E3230" s="68"/>
      <c r="F3230" s="68"/>
      <c r="G3230" s="67" t="str">
        <f t="shared" si="85"/>
        <v xml:space="preserve"> </v>
      </c>
      <c r="H3230" s="930" t="s">
        <v>1303</v>
      </c>
      <c r="J3230" s="686"/>
    </row>
    <row r="3231" spans="1:10" ht="18" customHeight="1">
      <c r="A3231" s="128"/>
      <c r="B3231" s="64"/>
      <c r="C3231" s="70">
        <v>4</v>
      </c>
      <c r="D3231" s="68">
        <v>4.8</v>
      </c>
      <c r="E3231" s="68">
        <v>0.1</v>
      </c>
      <c r="F3231" s="68"/>
      <c r="G3231" s="67">
        <f t="shared" si="85"/>
        <v>1.92</v>
      </c>
      <c r="H3231" s="930" t="s">
        <v>1303</v>
      </c>
      <c r="J3231" s="686"/>
    </row>
    <row r="3232" spans="1:10" ht="18" customHeight="1">
      <c r="A3232" s="128"/>
      <c r="B3232" s="64"/>
      <c r="C3232" s="70">
        <v>2</v>
      </c>
      <c r="D3232" s="68">
        <v>9.1999999999999993</v>
      </c>
      <c r="E3232" s="68">
        <v>0.1</v>
      </c>
      <c r="F3232" s="68"/>
      <c r="G3232" s="67">
        <f t="shared" si="85"/>
        <v>1.84</v>
      </c>
      <c r="H3232" s="930" t="s">
        <v>1303</v>
      </c>
      <c r="J3232" s="686"/>
    </row>
    <row r="3233" spans="1:10" ht="18" customHeight="1">
      <c r="A3233" s="128"/>
      <c r="B3233" s="64" t="s">
        <v>1701</v>
      </c>
      <c r="C3233" s="70"/>
      <c r="D3233" s="68"/>
      <c r="E3233" s="68"/>
      <c r="F3233" s="68"/>
      <c r="G3233" s="67" t="str">
        <f t="shared" si="85"/>
        <v xml:space="preserve"> </v>
      </c>
      <c r="H3233" s="930" t="s">
        <v>1303</v>
      </c>
      <c r="J3233" s="686"/>
    </row>
    <row r="3234" spans="1:10" s="78" customFormat="1" ht="18" customHeight="1">
      <c r="A3234" s="432"/>
      <c r="B3234" s="63" t="s">
        <v>2033</v>
      </c>
      <c r="C3234" s="70">
        <v>14</v>
      </c>
      <c r="D3234" s="68">
        <v>3.1</v>
      </c>
      <c r="E3234" s="68">
        <v>0.1</v>
      </c>
      <c r="F3234" s="68"/>
      <c r="G3234" s="67">
        <f t="shared" si="85"/>
        <v>4.34</v>
      </c>
      <c r="H3234" s="930" t="s">
        <v>1303</v>
      </c>
      <c r="I3234" s="1227"/>
      <c r="J3234" s="686"/>
    </row>
    <row r="3235" spans="1:10" s="78" customFormat="1" ht="18" customHeight="1">
      <c r="A3235" s="432"/>
      <c r="B3235" s="63"/>
      <c r="C3235" s="70">
        <v>14</v>
      </c>
      <c r="D3235" s="68">
        <v>4.8</v>
      </c>
      <c r="E3235" s="68">
        <v>0.1</v>
      </c>
      <c r="F3235" s="68"/>
      <c r="G3235" s="67">
        <f t="shared" si="85"/>
        <v>6.72</v>
      </c>
      <c r="H3235" s="930" t="s">
        <v>1303</v>
      </c>
      <c r="I3235" s="1227"/>
      <c r="J3235" s="686"/>
    </row>
    <row r="3236" spans="1:10" s="78" customFormat="1" ht="18" customHeight="1">
      <c r="A3236" s="432"/>
      <c r="B3236" s="63" t="s">
        <v>2090</v>
      </c>
      <c r="C3236" s="70">
        <v>-7</v>
      </c>
      <c r="D3236" s="68">
        <v>0.9</v>
      </c>
      <c r="E3236" s="68">
        <v>0.1</v>
      </c>
      <c r="F3236" s="68"/>
      <c r="G3236" s="67">
        <f t="shared" si="85"/>
        <v>-0.63</v>
      </c>
      <c r="H3236" s="930" t="s">
        <v>1303</v>
      </c>
      <c r="I3236" s="1227"/>
      <c r="J3236" s="686"/>
    </row>
    <row r="3237" spans="1:10" ht="18" customHeight="1">
      <c r="A3237" s="128"/>
      <c r="B3237" s="64" t="s">
        <v>1704</v>
      </c>
      <c r="C3237" s="70"/>
      <c r="D3237" s="68"/>
      <c r="E3237" s="68"/>
      <c r="F3237" s="68"/>
      <c r="G3237" s="67" t="str">
        <f t="shared" si="85"/>
        <v xml:space="preserve"> </v>
      </c>
      <c r="H3237" s="930" t="s">
        <v>1303</v>
      </c>
      <c r="J3237" s="686"/>
    </row>
    <row r="3238" spans="1:10" s="78" customFormat="1" ht="18" customHeight="1">
      <c r="A3238" s="432"/>
      <c r="B3238" s="63" t="s">
        <v>2033</v>
      </c>
      <c r="C3238" s="70">
        <v>8</v>
      </c>
      <c r="D3238" s="68">
        <v>3.1</v>
      </c>
      <c r="E3238" s="68">
        <v>0.1</v>
      </c>
      <c r="F3238" s="68"/>
      <c r="G3238" s="67">
        <f t="shared" si="85"/>
        <v>2.48</v>
      </c>
      <c r="H3238" s="930" t="s">
        <v>1303</v>
      </c>
      <c r="I3238" s="1227"/>
      <c r="J3238" s="686"/>
    </row>
    <row r="3239" spans="1:10" s="78" customFormat="1" ht="18" customHeight="1">
      <c r="A3239" s="432"/>
      <c r="B3239" s="63"/>
      <c r="C3239" s="70">
        <v>8</v>
      </c>
      <c r="D3239" s="68">
        <v>4.8</v>
      </c>
      <c r="E3239" s="68">
        <v>0.1</v>
      </c>
      <c r="F3239" s="68"/>
      <c r="G3239" s="67">
        <f t="shared" si="85"/>
        <v>3.84</v>
      </c>
      <c r="H3239" s="930" t="s">
        <v>1303</v>
      </c>
      <c r="I3239" s="1227"/>
      <c r="J3239" s="686"/>
    </row>
    <row r="3240" spans="1:10" s="78" customFormat="1" ht="18" customHeight="1">
      <c r="A3240" s="432"/>
      <c r="B3240" s="63" t="s">
        <v>2090</v>
      </c>
      <c r="C3240" s="70">
        <v>-4</v>
      </c>
      <c r="D3240" s="68">
        <v>0.9</v>
      </c>
      <c r="E3240" s="68">
        <v>0.1</v>
      </c>
      <c r="F3240" s="68"/>
      <c r="G3240" s="67">
        <f t="shared" si="85"/>
        <v>-0.36</v>
      </c>
      <c r="H3240" s="930" t="s">
        <v>1303</v>
      </c>
      <c r="I3240" s="1227"/>
      <c r="J3240" s="686"/>
    </row>
    <row r="3241" spans="1:10" s="78" customFormat="1" ht="18" customHeight="1">
      <c r="A3241" s="432"/>
      <c r="B3241" s="63" t="s">
        <v>1149</v>
      </c>
      <c r="C3241" s="76">
        <v>2</v>
      </c>
      <c r="D3241" s="77">
        <v>4.7</v>
      </c>
      <c r="E3241" s="68">
        <v>0.1</v>
      </c>
      <c r="F3241" s="68"/>
      <c r="G3241" s="67">
        <f t="shared" si="85"/>
        <v>0.94</v>
      </c>
      <c r="H3241" s="930" t="s">
        <v>1303</v>
      </c>
      <c r="I3241" s="1227"/>
      <c r="J3241" s="686"/>
    </row>
    <row r="3242" spans="1:10" s="78" customFormat="1" ht="18" customHeight="1">
      <c r="A3242" s="432"/>
      <c r="B3242" s="63"/>
      <c r="C3242" s="76">
        <v>2</v>
      </c>
      <c r="D3242" s="77">
        <v>3.05</v>
      </c>
      <c r="E3242" s="68">
        <v>0.1</v>
      </c>
      <c r="F3242" s="68"/>
      <c r="G3242" s="67">
        <f t="shared" si="85"/>
        <v>0.61</v>
      </c>
      <c r="H3242" s="930" t="s">
        <v>1303</v>
      </c>
      <c r="I3242" s="1227"/>
      <c r="J3242" s="686"/>
    </row>
    <row r="3243" spans="1:10" s="78" customFormat="1" ht="18" customHeight="1">
      <c r="A3243" s="432"/>
      <c r="B3243" s="63"/>
      <c r="C3243" s="76">
        <v>-1</v>
      </c>
      <c r="D3243" s="77">
        <v>1.4</v>
      </c>
      <c r="E3243" s="68">
        <v>0.1</v>
      </c>
      <c r="F3243" s="68"/>
      <c r="G3243" s="67">
        <f t="shared" si="85"/>
        <v>-0.14000000000000001</v>
      </c>
      <c r="H3243" s="930" t="s">
        <v>1303</v>
      </c>
      <c r="I3243" s="1227"/>
      <c r="J3243" s="686"/>
    </row>
    <row r="3244" spans="1:10" ht="18" customHeight="1">
      <c r="A3244" s="128"/>
      <c r="B3244" s="356" t="s">
        <v>2069</v>
      </c>
      <c r="C3244" s="76">
        <v>2</v>
      </c>
      <c r="D3244" s="77">
        <v>4.8</v>
      </c>
      <c r="E3244" s="68">
        <v>0.1</v>
      </c>
      <c r="F3244" s="68"/>
      <c r="G3244" s="67">
        <f t="shared" si="85"/>
        <v>0.96</v>
      </c>
      <c r="H3244" s="930" t="s">
        <v>1303</v>
      </c>
      <c r="J3244" s="686"/>
    </row>
    <row r="3245" spans="1:10" ht="18" customHeight="1">
      <c r="A3245" s="128"/>
      <c r="B3245" s="356"/>
      <c r="C3245" s="76">
        <v>2</v>
      </c>
      <c r="D3245" s="77">
        <v>8</v>
      </c>
      <c r="E3245" s="68">
        <v>0.1</v>
      </c>
      <c r="F3245" s="68"/>
      <c r="G3245" s="67">
        <f t="shared" si="85"/>
        <v>1.6</v>
      </c>
      <c r="H3245" s="930" t="s">
        <v>1303</v>
      </c>
      <c r="J3245" s="686"/>
    </row>
    <row r="3246" spans="1:10" ht="18" customHeight="1">
      <c r="A3246" s="128"/>
      <c r="B3246" s="356" t="s">
        <v>2088</v>
      </c>
      <c r="C3246" s="76">
        <v>-1</v>
      </c>
      <c r="D3246" s="77">
        <v>1</v>
      </c>
      <c r="E3246" s="68">
        <v>0.1</v>
      </c>
      <c r="F3246" s="68"/>
      <c r="G3246" s="67">
        <f t="shared" si="85"/>
        <v>-0.1</v>
      </c>
      <c r="H3246" s="930" t="s">
        <v>1303</v>
      </c>
      <c r="J3246" s="686"/>
    </row>
    <row r="3247" spans="1:10" ht="18" customHeight="1">
      <c r="A3247" s="128"/>
      <c r="B3247" s="64" t="s">
        <v>1706</v>
      </c>
      <c r="C3247" s="70"/>
      <c r="D3247" s="68"/>
      <c r="E3247" s="68"/>
      <c r="F3247" s="68"/>
      <c r="G3247" s="67" t="str">
        <f t="shared" si="85"/>
        <v xml:space="preserve"> </v>
      </c>
      <c r="H3247" s="930" t="s">
        <v>1303</v>
      </c>
      <c r="J3247" s="686"/>
    </row>
    <row r="3248" spans="1:10" s="78" customFormat="1" ht="18" customHeight="1">
      <c r="A3248" s="432"/>
      <c r="B3248" s="63" t="s">
        <v>2033</v>
      </c>
      <c r="C3248" s="70">
        <v>14</v>
      </c>
      <c r="D3248" s="68">
        <v>3.1</v>
      </c>
      <c r="E3248" s="68">
        <v>0.1</v>
      </c>
      <c r="F3248" s="68"/>
      <c r="G3248" s="67">
        <f t="shared" si="85"/>
        <v>4.34</v>
      </c>
      <c r="H3248" s="930" t="s">
        <v>1303</v>
      </c>
      <c r="I3248" s="1227"/>
      <c r="J3248" s="686"/>
    </row>
    <row r="3249" spans="1:10" s="78" customFormat="1" ht="18" customHeight="1">
      <c r="A3249" s="432"/>
      <c r="B3249" s="63"/>
      <c r="C3249" s="70">
        <v>14</v>
      </c>
      <c r="D3249" s="68">
        <v>4.8</v>
      </c>
      <c r="E3249" s="68">
        <v>0.1</v>
      </c>
      <c r="F3249" s="68"/>
      <c r="G3249" s="67">
        <f t="shared" si="85"/>
        <v>6.72</v>
      </c>
      <c r="H3249" s="930" t="s">
        <v>1303</v>
      </c>
      <c r="I3249" s="1227"/>
      <c r="J3249" s="686"/>
    </row>
    <row r="3250" spans="1:10" s="78" customFormat="1" ht="18" customHeight="1">
      <c r="A3250" s="432"/>
      <c r="B3250" s="63" t="s">
        <v>2090</v>
      </c>
      <c r="C3250" s="70">
        <v>-7</v>
      </c>
      <c r="D3250" s="68">
        <v>0.9</v>
      </c>
      <c r="E3250" s="68">
        <v>0.1</v>
      </c>
      <c r="F3250" s="68"/>
      <c r="G3250" s="67">
        <f t="shared" si="85"/>
        <v>-0.63</v>
      </c>
      <c r="H3250" s="930" t="s">
        <v>1303</v>
      </c>
      <c r="I3250" s="1227"/>
      <c r="J3250" s="686"/>
    </row>
    <row r="3251" spans="1:10" ht="18" customHeight="1">
      <c r="A3251" s="128"/>
      <c r="B3251" s="64" t="s">
        <v>1707</v>
      </c>
      <c r="C3251" s="70"/>
      <c r="D3251" s="68"/>
      <c r="E3251" s="68"/>
      <c r="F3251" s="68"/>
      <c r="G3251" s="67" t="str">
        <f t="shared" si="85"/>
        <v xml:space="preserve"> </v>
      </c>
      <c r="H3251" s="930" t="s">
        <v>1303</v>
      </c>
      <c r="J3251" s="686"/>
    </row>
    <row r="3252" spans="1:10" s="78" customFormat="1" ht="18" customHeight="1">
      <c r="A3252" s="432"/>
      <c r="B3252" s="63" t="s">
        <v>2033</v>
      </c>
      <c r="C3252" s="70">
        <v>8</v>
      </c>
      <c r="D3252" s="68">
        <v>3.1</v>
      </c>
      <c r="E3252" s="68">
        <v>0.1</v>
      </c>
      <c r="F3252" s="68"/>
      <c r="G3252" s="67">
        <f t="shared" si="85"/>
        <v>2.48</v>
      </c>
      <c r="H3252" s="930" t="s">
        <v>1303</v>
      </c>
      <c r="I3252" s="1227"/>
      <c r="J3252" s="686"/>
    </row>
    <row r="3253" spans="1:10" s="78" customFormat="1" ht="18" customHeight="1">
      <c r="A3253" s="432"/>
      <c r="B3253" s="63"/>
      <c r="C3253" s="70">
        <v>8</v>
      </c>
      <c r="D3253" s="68">
        <v>4.8</v>
      </c>
      <c r="E3253" s="68">
        <v>0.1</v>
      </c>
      <c r="F3253" s="68"/>
      <c r="G3253" s="67">
        <f t="shared" si="85"/>
        <v>3.84</v>
      </c>
      <c r="H3253" s="930" t="s">
        <v>1303</v>
      </c>
      <c r="I3253" s="1227"/>
      <c r="J3253" s="686"/>
    </row>
    <row r="3254" spans="1:10" s="78" customFormat="1" ht="18" customHeight="1">
      <c r="A3254" s="432"/>
      <c r="B3254" s="63" t="s">
        <v>2090</v>
      </c>
      <c r="C3254" s="70">
        <v>-4</v>
      </c>
      <c r="D3254" s="68">
        <v>0.9</v>
      </c>
      <c r="E3254" s="68">
        <v>0.1</v>
      </c>
      <c r="F3254" s="68"/>
      <c r="G3254" s="67">
        <f t="shared" si="85"/>
        <v>-0.36</v>
      </c>
      <c r="H3254" s="930" t="s">
        <v>1303</v>
      </c>
      <c r="I3254" s="1227"/>
      <c r="J3254" s="686"/>
    </row>
    <row r="3255" spans="1:10" s="78" customFormat="1" ht="18" customHeight="1">
      <c r="A3255" s="432"/>
      <c r="B3255" s="63" t="s">
        <v>1149</v>
      </c>
      <c r="C3255" s="76">
        <v>2</v>
      </c>
      <c r="D3255" s="77">
        <v>4.7</v>
      </c>
      <c r="E3255" s="68">
        <v>0.1</v>
      </c>
      <c r="F3255" s="68"/>
      <c r="G3255" s="67">
        <f t="shared" si="85"/>
        <v>0.94</v>
      </c>
      <c r="H3255" s="930" t="s">
        <v>1303</v>
      </c>
      <c r="I3255" s="1227"/>
      <c r="J3255" s="686"/>
    </row>
    <row r="3256" spans="1:10" s="78" customFormat="1" ht="18" customHeight="1">
      <c r="A3256" s="432"/>
      <c r="B3256" s="63"/>
      <c r="C3256" s="76">
        <v>2</v>
      </c>
      <c r="D3256" s="77">
        <v>3.05</v>
      </c>
      <c r="E3256" s="68">
        <v>0.1</v>
      </c>
      <c r="F3256" s="68"/>
      <c r="G3256" s="67">
        <f t="shared" si="85"/>
        <v>0.61</v>
      </c>
      <c r="H3256" s="930" t="s">
        <v>1303</v>
      </c>
      <c r="I3256" s="1227"/>
      <c r="J3256" s="686"/>
    </row>
    <row r="3257" spans="1:10" s="78" customFormat="1" ht="18" customHeight="1">
      <c r="A3257" s="432"/>
      <c r="B3257" s="63"/>
      <c r="C3257" s="76">
        <v>-1</v>
      </c>
      <c r="D3257" s="77">
        <v>1.4</v>
      </c>
      <c r="E3257" s="68">
        <v>0.1</v>
      </c>
      <c r="F3257" s="68"/>
      <c r="G3257" s="67">
        <f t="shared" si="85"/>
        <v>-0.14000000000000001</v>
      </c>
      <c r="H3257" s="930" t="s">
        <v>1303</v>
      </c>
      <c r="I3257" s="1227"/>
      <c r="J3257" s="686"/>
    </row>
    <row r="3258" spans="1:10" ht="18" customHeight="1">
      <c r="A3258" s="128"/>
      <c r="B3258" s="356" t="s">
        <v>2069</v>
      </c>
      <c r="C3258" s="76">
        <v>2</v>
      </c>
      <c r="D3258" s="77">
        <v>4.8</v>
      </c>
      <c r="E3258" s="68">
        <v>0.1</v>
      </c>
      <c r="F3258" s="68"/>
      <c r="G3258" s="67">
        <f t="shared" si="85"/>
        <v>0.96</v>
      </c>
      <c r="H3258" s="930" t="s">
        <v>1303</v>
      </c>
      <c r="J3258" s="686"/>
    </row>
    <row r="3259" spans="1:10" ht="18" customHeight="1">
      <c r="A3259" s="128"/>
      <c r="B3259" s="356"/>
      <c r="C3259" s="76">
        <v>2</v>
      </c>
      <c r="D3259" s="77">
        <v>8</v>
      </c>
      <c r="E3259" s="68">
        <v>0.1</v>
      </c>
      <c r="F3259" s="68"/>
      <c r="G3259" s="67">
        <f t="shared" si="85"/>
        <v>1.6</v>
      </c>
      <c r="H3259" s="930" t="s">
        <v>1303</v>
      </c>
      <c r="J3259" s="686"/>
    </row>
    <row r="3260" spans="1:10" ht="18" customHeight="1">
      <c r="A3260" s="128"/>
      <c r="B3260" s="356" t="s">
        <v>2088</v>
      </c>
      <c r="C3260" s="76">
        <v>-1</v>
      </c>
      <c r="D3260" s="77">
        <v>1</v>
      </c>
      <c r="E3260" s="68">
        <v>0.1</v>
      </c>
      <c r="F3260" s="68"/>
      <c r="G3260" s="67">
        <f t="shared" si="85"/>
        <v>-0.1</v>
      </c>
      <c r="H3260" s="930" t="s">
        <v>1303</v>
      </c>
      <c r="J3260" s="686"/>
    </row>
    <row r="3261" spans="1:10" ht="18" customHeight="1">
      <c r="A3261" s="128"/>
      <c r="B3261" s="64" t="s">
        <v>1148</v>
      </c>
      <c r="C3261" s="70"/>
      <c r="D3261" s="68"/>
      <c r="E3261" s="68"/>
      <c r="F3261" s="68"/>
      <c r="G3261" s="67" t="str">
        <f t="shared" si="85"/>
        <v xml:space="preserve"> </v>
      </c>
      <c r="H3261" s="930" t="s">
        <v>1303</v>
      </c>
      <c r="J3261" s="686"/>
    </row>
    <row r="3262" spans="1:10" s="78" customFormat="1" ht="18" customHeight="1">
      <c r="A3262" s="432"/>
      <c r="B3262" s="63" t="s">
        <v>2033</v>
      </c>
      <c r="C3262" s="70">
        <v>4</v>
      </c>
      <c r="D3262" s="68">
        <v>3.1</v>
      </c>
      <c r="E3262" s="68">
        <v>0.1</v>
      </c>
      <c r="F3262" s="68"/>
      <c r="G3262" s="67">
        <f t="shared" si="85"/>
        <v>1.24</v>
      </c>
      <c r="H3262" s="930" t="s">
        <v>1303</v>
      </c>
      <c r="I3262" s="1227"/>
      <c r="J3262" s="686"/>
    </row>
    <row r="3263" spans="1:10" s="78" customFormat="1" ht="18" customHeight="1">
      <c r="A3263" s="432"/>
      <c r="B3263" s="63"/>
      <c r="C3263" s="70">
        <v>4</v>
      </c>
      <c r="D3263" s="68">
        <v>4.8</v>
      </c>
      <c r="E3263" s="68">
        <v>0.1</v>
      </c>
      <c r="F3263" s="68"/>
      <c r="G3263" s="67">
        <f t="shared" si="85"/>
        <v>1.92</v>
      </c>
      <c r="H3263" s="930" t="s">
        <v>1303</v>
      </c>
      <c r="I3263" s="1227"/>
      <c r="J3263" s="686"/>
    </row>
    <row r="3264" spans="1:10" s="78" customFormat="1" ht="18" customHeight="1">
      <c r="A3264" s="432"/>
      <c r="B3264" s="63" t="s">
        <v>2090</v>
      </c>
      <c r="C3264" s="70">
        <v>-2</v>
      </c>
      <c r="D3264" s="68">
        <v>0.9</v>
      </c>
      <c r="E3264" s="68">
        <v>0.1</v>
      </c>
      <c r="F3264" s="68"/>
      <c r="G3264" s="67">
        <f t="shared" si="85"/>
        <v>-0.18</v>
      </c>
      <c r="H3264" s="930" t="s">
        <v>1303</v>
      </c>
      <c r="I3264" s="1227"/>
      <c r="J3264" s="686"/>
    </row>
    <row r="3265" spans="1:10" s="78" customFormat="1" ht="18" customHeight="1">
      <c r="A3265" s="432"/>
      <c r="B3265" s="63" t="s">
        <v>2070</v>
      </c>
      <c r="C3265" s="76">
        <v>2</v>
      </c>
      <c r="D3265" s="77">
        <v>3</v>
      </c>
      <c r="E3265" s="68">
        <v>0.1</v>
      </c>
      <c r="F3265" s="68"/>
      <c r="G3265" s="67">
        <f t="shared" ref="G3265:G3327" si="86">IF(C3265&lt;&gt;0,ROUND(PRODUCT(D3265:F3265)*C3265,2)," ")</f>
        <v>0.6</v>
      </c>
      <c r="H3265" s="930" t="s">
        <v>1303</v>
      </c>
      <c r="I3265" s="1227"/>
      <c r="J3265" s="686"/>
    </row>
    <row r="3266" spans="1:10" s="78" customFormat="1" ht="18" customHeight="1">
      <c r="A3266" s="432"/>
      <c r="B3266" s="63"/>
      <c r="C3266" s="76">
        <v>2</v>
      </c>
      <c r="D3266" s="77">
        <v>4.7</v>
      </c>
      <c r="E3266" s="68">
        <v>0.1</v>
      </c>
      <c r="F3266" s="68"/>
      <c r="G3266" s="67">
        <f t="shared" si="86"/>
        <v>0.94</v>
      </c>
      <c r="H3266" s="930" t="s">
        <v>1303</v>
      </c>
      <c r="I3266" s="1227"/>
      <c r="J3266" s="686"/>
    </row>
    <row r="3267" spans="1:10" s="78" customFormat="1" ht="18" customHeight="1">
      <c r="A3267" s="432"/>
      <c r="B3267" s="63"/>
      <c r="C3267" s="76">
        <v>-1</v>
      </c>
      <c r="D3267" s="77">
        <v>1</v>
      </c>
      <c r="E3267" s="68">
        <v>0.1</v>
      </c>
      <c r="F3267" s="68"/>
      <c r="G3267" s="67">
        <f t="shared" si="86"/>
        <v>-0.1</v>
      </c>
      <c r="H3267" s="930" t="s">
        <v>1303</v>
      </c>
      <c r="I3267" s="1227"/>
      <c r="J3267" s="686"/>
    </row>
    <row r="3268" spans="1:10" ht="18" customHeight="1">
      <c r="A3268" s="128"/>
      <c r="B3268" s="356" t="s">
        <v>1150</v>
      </c>
      <c r="C3268" s="76">
        <v>4</v>
      </c>
      <c r="D3268" s="77">
        <v>3.1</v>
      </c>
      <c r="E3268" s="68">
        <v>0.1</v>
      </c>
      <c r="F3268" s="68"/>
      <c r="G3268" s="67">
        <f t="shared" si="86"/>
        <v>1.24</v>
      </c>
      <c r="H3268" s="930" t="s">
        <v>1303</v>
      </c>
      <c r="J3268" s="686"/>
    </row>
    <row r="3269" spans="1:10" ht="18" customHeight="1">
      <c r="A3269" s="128"/>
      <c r="B3269" s="356"/>
      <c r="C3269" s="76">
        <v>-1</v>
      </c>
      <c r="D3269" s="77">
        <v>1.5</v>
      </c>
      <c r="E3269" s="68">
        <v>0.1</v>
      </c>
      <c r="F3269" s="68"/>
      <c r="G3269" s="67">
        <f t="shared" si="86"/>
        <v>-0.15</v>
      </c>
      <c r="H3269" s="930" t="s">
        <v>1303</v>
      </c>
      <c r="J3269" s="686"/>
    </row>
    <row r="3270" spans="1:10" ht="18" customHeight="1">
      <c r="A3270" s="128"/>
      <c r="B3270" s="64" t="s">
        <v>1708</v>
      </c>
      <c r="C3270" s="70"/>
      <c r="D3270" s="68"/>
      <c r="E3270" s="68"/>
      <c r="F3270" s="68"/>
      <c r="G3270" s="67" t="str">
        <f t="shared" si="86"/>
        <v xml:space="preserve"> </v>
      </c>
      <c r="H3270" s="930" t="s">
        <v>1303</v>
      </c>
      <c r="J3270" s="686"/>
    </row>
    <row r="3271" spans="1:10" s="78" customFormat="1" ht="18" customHeight="1">
      <c r="A3271" s="432"/>
      <c r="B3271" s="63" t="s">
        <v>2033</v>
      </c>
      <c r="C3271" s="70">
        <v>6</v>
      </c>
      <c r="D3271" s="68">
        <v>3.1</v>
      </c>
      <c r="E3271" s="68">
        <v>0.1</v>
      </c>
      <c r="F3271" s="68"/>
      <c r="G3271" s="67">
        <f t="shared" si="86"/>
        <v>1.86</v>
      </c>
      <c r="H3271" s="930" t="s">
        <v>1303</v>
      </c>
      <c r="I3271" s="1227"/>
      <c r="J3271" s="686"/>
    </row>
    <row r="3272" spans="1:10" s="78" customFormat="1" ht="18" customHeight="1">
      <c r="A3272" s="432"/>
      <c r="B3272" s="63"/>
      <c r="C3272" s="70">
        <v>6</v>
      </c>
      <c r="D3272" s="68">
        <v>4.8</v>
      </c>
      <c r="E3272" s="68">
        <v>0.1</v>
      </c>
      <c r="F3272" s="68"/>
      <c r="G3272" s="67">
        <f t="shared" si="86"/>
        <v>2.88</v>
      </c>
      <c r="H3272" s="930" t="s">
        <v>1303</v>
      </c>
      <c r="I3272" s="1227"/>
      <c r="J3272" s="686"/>
    </row>
    <row r="3273" spans="1:10" s="78" customFormat="1" ht="18" customHeight="1">
      <c r="A3273" s="432"/>
      <c r="B3273" s="63" t="s">
        <v>2090</v>
      </c>
      <c r="C3273" s="70">
        <v>-3</v>
      </c>
      <c r="D3273" s="68">
        <v>0.9</v>
      </c>
      <c r="E3273" s="68">
        <v>0.1</v>
      </c>
      <c r="F3273" s="68"/>
      <c r="G3273" s="67">
        <f t="shared" si="86"/>
        <v>-0.27</v>
      </c>
      <c r="H3273" s="930" t="s">
        <v>1303</v>
      </c>
      <c r="I3273" s="1227"/>
      <c r="J3273" s="686"/>
    </row>
    <row r="3274" spans="1:10" ht="18" customHeight="1">
      <c r="A3274" s="128"/>
      <c r="B3274" s="64" t="s">
        <v>1709</v>
      </c>
      <c r="C3274" s="70"/>
      <c r="D3274" s="68"/>
      <c r="E3274" s="68"/>
      <c r="F3274" s="68"/>
      <c r="G3274" s="67" t="str">
        <f t="shared" si="86"/>
        <v xml:space="preserve"> </v>
      </c>
      <c r="H3274" s="930" t="s">
        <v>1303</v>
      </c>
      <c r="J3274" s="686"/>
    </row>
    <row r="3275" spans="1:10" s="78" customFormat="1" ht="18" customHeight="1">
      <c r="A3275" s="432"/>
      <c r="B3275" s="63" t="s">
        <v>2033</v>
      </c>
      <c r="C3275" s="70">
        <v>4</v>
      </c>
      <c r="D3275" s="68">
        <v>3.1</v>
      </c>
      <c r="E3275" s="68">
        <v>0.1</v>
      </c>
      <c r="F3275" s="68"/>
      <c r="G3275" s="67">
        <f t="shared" si="86"/>
        <v>1.24</v>
      </c>
      <c r="H3275" s="930" t="s">
        <v>1303</v>
      </c>
      <c r="I3275" s="1227"/>
      <c r="J3275" s="686"/>
    </row>
    <row r="3276" spans="1:10" s="78" customFormat="1" ht="18" customHeight="1">
      <c r="A3276" s="432"/>
      <c r="B3276" s="63"/>
      <c r="C3276" s="70">
        <v>4</v>
      </c>
      <c r="D3276" s="68">
        <v>4.8</v>
      </c>
      <c r="E3276" s="68">
        <v>0.1</v>
      </c>
      <c r="F3276" s="68"/>
      <c r="G3276" s="67">
        <f t="shared" si="86"/>
        <v>1.92</v>
      </c>
      <c r="H3276" s="930" t="s">
        <v>1303</v>
      </c>
      <c r="I3276" s="1227"/>
      <c r="J3276" s="686"/>
    </row>
    <row r="3277" spans="1:10" s="78" customFormat="1" ht="18" customHeight="1">
      <c r="A3277" s="432"/>
      <c r="B3277" s="63" t="s">
        <v>2090</v>
      </c>
      <c r="C3277" s="70">
        <v>-2</v>
      </c>
      <c r="D3277" s="68">
        <v>0.9</v>
      </c>
      <c r="E3277" s="68">
        <v>0.1</v>
      </c>
      <c r="F3277" s="68"/>
      <c r="G3277" s="67">
        <f t="shared" si="86"/>
        <v>-0.18</v>
      </c>
      <c r="H3277" s="930" t="s">
        <v>1303</v>
      </c>
      <c r="I3277" s="1227"/>
      <c r="J3277" s="686"/>
    </row>
    <row r="3278" spans="1:10" s="78" customFormat="1" ht="18" customHeight="1">
      <c r="A3278" s="432"/>
      <c r="B3278" s="63" t="s">
        <v>2070</v>
      </c>
      <c r="C3278" s="76">
        <v>2</v>
      </c>
      <c r="D3278" s="77">
        <v>3</v>
      </c>
      <c r="E3278" s="68">
        <v>0.1</v>
      </c>
      <c r="F3278" s="68"/>
      <c r="G3278" s="67">
        <f t="shared" si="86"/>
        <v>0.6</v>
      </c>
      <c r="H3278" s="930" t="s">
        <v>1303</v>
      </c>
      <c r="I3278" s="1227"/>
      <c r="J3278" s="686"/>
    </row>
    <row r="3279" spans="1:10" s="78" customFormat="1" ht="18" customHeight="1">
      <c r="A3279" s="432"/>
      <c r="B3279" s="63"/>
      <c r="C3279" s="76">
        <v>2</v>
      </c>
      <c r="D3279" s="77">
        <v>4.7</v>
      </c>
      <c r="E3279" s="68">
        <v>0.1</v>
      </c>
      <c r="F3279" s="68"/>
      <c r="G3279" s="67">
        <f t="shared" si="86"/>
        <v>0.94</v>
      </c>
      <c r="H3279" s="930" t="s">
        <v>1303</v>
      </c>
      <c r="I3279" s="1227"/>
      <c r="J3279" s="686"/>
    </row>
    <row r="3280" spans="1:10" s="78" customFormat="1" ht="18" customHeight="1">
      <c r="A3280" s="432"/>
      <c r="B3280" s="63"/>
      <c r="C3280" s="76">
        <v>-1</v>
      </c>
      <c r="D3280" s="77">
        <v>1</v>
      </c>
      <c r="E3280" s="68">
        <v>0.1</v>
      </c>
      <c r="F3280" s="68"/>
      <c r="G3280" s="67">
        <f t="shared" si="86"/>
        <v>-0.1</v>
      </c>
      <c r="H3280" s="930" t="s">
        <v>1303</v>
      </c>
      <c r="I3280" s="1227"/>
      <c r="J3280" s="686"/>
    </row>
    <row r="3281" spans="1:10" ht="18" customHeight="1">
      <c r="A3281" s="128"/>
      <c r="B3281" s="356" t="s">
        <v>1150</v>
      </c>
      <c r="C3281" s="76">
        <v>4</v>
      </c>
      <c r="D3281" s="77">
        <v>3.1</v>
      </c>
      <c r="E3281" s="68">
        <v>0.1</v>
      </c>
      <c r="F3281" s="68"/>
      <c r="G3281" s="67">
        <f t="shared" si="86"/>
        <v>1.24</v>
      </c>
      <c r="H3281" s="930" t="s">
        <v>1303</v>
      </c>
      <c r="J3281" s="686"/>
    </row>
    <row r="3282" spans="1:10" ht="18" customHeight="1">
      <c r="A3282" s="128"/>
      <c r="B3282" s="356"/>
      <c r="C3282" s="76">
        <v>-1</v>
      </c>
      <c r="D3282" s="77">
        <v>1.5</v>
      </c>
      <c r="E3282" s="68">
        <v>0.1</v>
      </c>
      <c r="F3282" s="68"/>
      <c r="G3282" s="67">
        <f t="shared" si="86"/>
        <v>-0.15</v>
      </c>
      <c r="H3282" s="930" t="s">
        <v>1303</v>
      </c>
      <c r="J3282" s="686"/>
    </row>
    <row r="3283" spans="1:10" ht="18" customHeight="1">
      <c r="A3283" s="128"/>
      <c r="B3283" s="64" t="s">
        <v>1710</v>
      </c>
      <c r="C3283" s="70"/>
      <c r="D3283" s="68"/>
      <c r="E3283" s="68"/>
      <c r="F3283" s="68"/>
      <c r="G3283" s="67" t="str">
        <f t="shared" si="86"/>
        <v xml:space="preserve"> </v>
      </c>
      <c r="H3283" s="930" t="s">
        <v>1303</v>
      </c>
      <c r="J3283" s="686"/>
    </row>
    <row r="3284" spans="1:10" s="78" customFormat="1" ht="18" customHeight="1">
      <c r="A3284" s="432"/>
      <c r="B3284" s="63" t="s">
        <v>2033</v>
      </c>
      <c r="C3284" s="70">
        <v>6</v>
      </c>
      <c r="D3284" s="68">
        <v>3.1</v>
      </c>
      <c r="E3284" s="68">
        <v>0.1</v>
      </c>
      <c r="F3284" s="68"/>
      <c r="G3284" s="67">
        <f t="shared" si="86"/>
        <v>1.86</v>
      </c>
      <c r="H3284" s="930" t="s">
        <v>1303</v>
      </c>
      <c r="I3284" s="1227"/>
      <c r="J3284" s="686"/>
    </row>
    <row r="3285" spans="1:10" s="78" customFormat="1" ht="18" customHeight="1">
      <c r="A3285" s="432"/>
      <c r="B3285" s="63"/>
      <c r="C3285" s="70">
        <v>6</v>
      </c>
      <c r="D3285" s="68">
        <v>4.8</v>
      </c>
      <c r="E3285" s="68">
        <v>0.1</v>
      </c>
      <c r="F3285" s="68"/>
      <c r="G3285" s="67">
        <f t="shared" si="86"/>
        <v>2.88</v>
      </c>
      <c r="H3285" s="930" t="s">
        <v>1303</v>
      </c>
      <c r="I3285" s="1227"/>
      <c r="J3285" s="686"/>
    </row>
    <row r="3286" spans="1:10" s="78" customFormat="1" ht="18" customHeight="1">
      <c r="A3286" s="432"/>
      <c r="B3286" s="63" t="s">
        <v>2090</v>
      </c>
      <c r="C3286" s="70">
        <v>-3</v>
      </c>
      <c r="D3286" s="68">
        <v>0.9</v>
      </c>
      <c r="E3286" s="68">
        <v>0.1</v>
      </c>
      <c r="F3286" s="68"/>
      <c r="G3286" s="67">
        <f t="shared" si="86"/>
        <v>-0.27</v>
      </c>
      <c r="H3286" s="930" t="s">
        <v>1303</v>
      </c>
      <c r="I3286" s="1227"/>
      <c r="J3286" s="686"/>
    </row>
    <row r="3287" spans="1:10" s="78" customFormat="1" ht="18" customHeight="1">
      <c r="A3287" s="432"/>
      <c r="B3287" s="63"/>
      <c r="C3287" s="70"/>
      <c r="D3287" s="68"/>
      <c r="E3287" s="68"/>
      <c r="F3287" s="68"/>
      <c r="G3287" s="67" t="str">
        <f t="shared" si="86"/>
        <v xml:space="preserve"> </v>
      </c>
      <c r="H3287" s="930" t="s">
        <v>1303</v>
      </c>
      <c r="I3287" s="1227"/>
      <c r="J3287" s="686"/>
    </row>
    <row r="3288" spans="1:10" s="78" customFormat="1" ht="18" customHeight="1">
      <c r="A3288" s="432"/>
      <c r="B3288" s="64" t="s">
        <v>2071</v>
      </c>
      <c r="C3288" s="70"/>
      <c r="D3288" s="68"/>
      <c r="E3288" s="68"/>
      <c r="F3288" s="68"/>
      <c r="G3288" s="67" t="str">
        <f t="shared" si="86"/>
        <v xml:space="preserve"> </v>
      </c>
      <c r="H3288" s="930" t="s">
        <v>1303</v>
      </c>
      <c r="I3288" s="1227"/>
      <c r="J3288" s="686"/>
    </row>
    <row r="3289" spans="1:10" s="78" customFormat="1" ht="18" customHeight="1">
      <c r="A3289" s="432"/>
      <c r="B3289" s="63" t="s">
        <v>2072</v>
      </c>
      <c r="C3289" s="70">
        <v>2</v>
      </c>
      <c r="D3289" s="68">
        <f>6.45+6.4+6.4+3.25</f>
        <v>22.5</v>
      </c>
      <c r="E3289" s="68">
        <v>0.1</v>
      </c>
      <c r="F3289" s="68"/>
      <c r="G3289" s="67">
        <f t="shared" si="86"/>
        <v>4.5</v>
      </c>
      <c r="H3289" s="930" t="s">
        <v>1303</v>
      </c>
      <c r="I3289" s="1227"/>
      <c r="J3289" s="686"/>
    </row>
    <row r="3290" spans="1:10" s="78" customFormat="1" ht="18" customHeight="1">
      <c r="A3290" s="432"/>
      <c r="B3290" s="63"/>
      <c r="C3290" s="70">
        <v>-11</v>
      </c>
      <c r="D3290" s="68">
        <v>0.9</v>
      </c>
      <c r="E3290" s="68">
        <v>0.1</v>
      </c>
      <c r="F3290" s="68"/>
      <c r="G3290" s="67">
        <f t="shared" si="86"/>
        <v>-0.99</v>
      </c>
      <c r="H3290" s="930" t="s">
        <v>1303</v>
      </c>
      <c r="I3290" s="1227"/>
      <c r="J3290" s="686"/>
    </row>
    <row r="3291" spans="1:10" s="78" customFormat="1" ht="18" customHeight="1">
      <c r="A3291" s="432"/>
      <c r="B3291" s="63" t="s">
        <v>2073</v>
      </c>
      <c r="C3291" s="70">
        <v>1</v>
      </c>
      <c r="D3291" s="68">
        <v>3.8250000000000002</v>
      </c>
      <c r="E3291" s="68">
        <v>0.1</v>
      </c>
      <c r="F3291" s="68"/>
      <c r="G3291" s="67">
        <f t="shared" si="86"/>
        <v>0.38</v>
      </c>
      <c r="H3291" s="930" t="s">
        <v>1303</v>
      </c>
      <c r="I3291" s="1227"/>
      <c r="J3291" s="686"/>
    </row>
    <row r="3292" spans="1:10" s="78" customFormat="1" ht="18" customHeight="1">
      <c r="A3292" s="432"/>
      <c r="B3292" s="63"/>
      <c r="C3292" s="70">
        <v>1</v>
      </c>
      <c r="D3292" s="68">
        <v>1.5</v>
      </c>
      <c r="E3292" s="68">
        <v>0.1</v>
      </c>
      <c r="F3292" s="68"/>
      <c r="G3292" s="67">
        <f t="shared" si="86"/>
        <v>0.15</v>
      </c>
      <c r="H3292" s="930" t="s">
        <v>1303</v>
      </c>
      <c r="I3292" s="1227"/>
      <c r="J3292" s="686"/>
    </row>
    <row r="3293" spans="1:10" s="78" customFormat="1" ht="18" customHeight="1">
      <c r="A3293" s="432"/>
      <c r="B3293" s="63" t="s">
        <v>2074</v>
      </c>
      <c r="C3293" s="70">
        <v>2</v>
      </c>
      <c r="D3293" s="68">
        <f>6.45+3.25</f>
        <v>9.6999999999999993</v>
      </c>
      <c r="E3293" s="68">
        <v>0.1</v>
      </c>
      <c r="F3293" s="68"/>
      <c r="G3293" s="67">
        <f t="shared" si="86"/>
        <v>1.94</v>
      </c>
      <c r="H3293" s="930" t="s">
        <v>1303</v>
      </c>
      <c r="I3293" s="1227"/>
      <c r="J3293" s="686"/>
    </row>
    <row r="3294" spans="1:10" s="78" customFormat="1" ht="18" customHeight="1">
      <c r="A3294" s="432"/>
      <c r="B3294" s="63"/>
      <c r="C3294" s="70">
        <v>-5</v>
      </c>
      <c r="D3294" s="68">
        <v>0.9</v>
      </c>
      <c r="E3294" s="68">
        <v>0.1</v>
      </c>
      <c r="F3294" s="68"/>
      <c r="G3294" s="67">
        <f t="shared" si="86"/>
        <v>-0.45</v>
      </c>
      <c r="H3294" s="930" t="s">
        <v>1303</v>
      </c>
      <c r="I3294" s="1227"/>
      <c r="J3294" s="686"/>
    </row>
    <row r="3295" spans="1:10" s="78" customFormat="1" ht="18" customHeight="1">
      <c r="A3295" s="432"/>
      <c r="B3295" s="63"/>
      <c r="C3295" s="70">
        <v>-1</v>
      </c>
      <c r="D3295" s="68">
        <v>1.8</v>
      </c>
      <c r="E3295" s="68">
        <v>0.1</v>
      </c>
      <c r="F3295" s="68"/>
      <c r="G3295" s="67">
        <f t="shared" si="86"/>
        <v>-0.18</v>
      </c>
      <c r="H3295" s="930" t="s">
        <v>1303</v>
      </c>
      <c r="I3295" s="1227"/>
      <c r="J3295" s="686"/>
    </row>
    <row r="3296" spans="1:10" s="78" customFormat="1" ht="18" customHeight="1">
      <c r="A3296" s="432"/>
      <c r="B3296" s="63"/>
      <c r="C3296" s="70">
        <v>-1</v>
      </c>
      <c r="D3296" s="68">
        <v>1</v>
      </c>
      <c r="E3296" s="68">
        <v>0.1</v>
      </c>
      <c r="F3296" s="68"/>
      <c r="G3296" s="67">
        <f t="shared" si="86"/>
        <v>-0.1</v>
      </c>
      <c r="H3296" s="930" t="s">
        <v>1303</v>
      </c>
      <c r="I3296" s="1227"/>
      <c r="J3296" s="686"/>
    </row>
    <row r="3297" spans="1:10" s="78" customFormat="1" ht="18" customHeight="1">
      <c r="A3297" s="432"/>
      <c r="B3297" s="63" t="s">
        <v>2181</v>
      </c>
      <c r="C3297" s="70">
        <v>2</v>
      </c>
      <c r="D3297" s="68">
        <v>11.6</v>
      </c>
      <c r="E3297" s="68">
        <v>0.1</v>
      </c>
      <c r="F3297" s="68"/>
      <c r="G3297" s="67">
        <f t="shared" si="86"/>
        <v>2.3199999999999998</v>
      </c>
      <c r="H3297" s="930" t="s">
        <v>1303</v>
      </c>
      <c r="I3297" s="1227"/>
      <c r="J3297" s="686"/>
    </row>
    <row r="3298" spans="1:10" s="78" customFormat="1" ht="18" customHeight="1">
      <c r="A3298" s="432"/>
      <c r="B3298" s="63"/>
      <c r="C3298" s="70">
        <v>2</v>
      </c>
      <c r="D3298" s="68">
        <v>12.5</v>
      </c>
      <c r="E3298" s="68">
        <v>0.1</v>
      </c>
      <c r="F3298" s="68"/>
      <c r="G3298" s="67">
        <f t="shared" si="86"/>
        <v>2.5</v>
      </c>
      <c r="H3298" s="930" t="s">
        <v>1303</v>
      </c>
      <c r="I3298" s="1227"/>
      <c r="J3298" s="686"/>
    </row>
    <row r="3299" spans="1:10" s="78" customFormat="1" ht="18" customHeight="1">
      <c r="A3299" s="432"/>
      <c r="B3299" s="63" t="s">
        <v>2091</v>
      </c>
      <c r="C3299" s="70">
        <v>-2</v>
      </c>
      <c r="D3299" s="68">
        <v>1.8</v>
      </c>
      <c r="E3299" s="68">
        <v>0.1</v>
      </c>
      <c r="F3299" s="68"/>
      <c r="G3299" s="67">
        <f t="shared" si="86"/>
        <v>-0.36</v>
      </c>
      <c r="H3299" s="930" t="s">
        <v>1303</v>
      </c>
      <c r="I3299" s="1227"/>
      <c r="J3299" s="686"/>
    </row>
    <row r="3300" spans="1:10" s="78" customFormat="1" ht="18" customHeight="1">
      <c r="A3300" s="432"/>
      <c r="B3300" s="63" t="s">
        <v>2092</v>
      </c>
      <c r="C3300" s="70">
        <v>-1</v>
      </c>
      <c r="D3300" s="68">
        <v>1.2</v>
      </c>
      <c r="E3300" s="68">
        <v>0.1</v>
      </c>
      <c r="F3300" s="68"/>
      <c r="G3300" s="67">
        <f t="shared" si="86"/>
        <v>-0.12</v>
      </c>
      <c r="H3300" s="930" t="s">
        <v>1303</v>
      </c>
      <c r="I3300" s="1227"/>
      <c r="J3300" s="686"/>
    </row>
    <row r="3301" spans="1:10" s="78" customFormat="1" ht="18" customHeight="1">
      <c r="A3301" s="432"/>
      <c r="B3301" s="63"/>
      <c r="C3301" s="70">
        <v>-1</v>
      </c>
      <c r="D3301" s="68">
        <f>2.245+0.7+3.2</f>
        <v>6.1450000000000005</v>
      </c>
      <c r="E3301" s="68">
        <v>0.1</v>
      </c>
      <c r="F3301" s="68"/>
      <c r="G3301" s="67">
        <f t="shared" si="86"/>
        <v>-0.61</v>
      </c>
      <c r="H3301" s="930" t="s">
        <v>1303</v>
      </c>
      <c r="I3301" s="1227"/>
      <c r="J3301" s="686"/>
    </row>
    <row r="3302" spans="1:10" s="78" customFormat="1" ht="18" customHeight="1">
      <c r="A3302" s="432"/>
      <c r="B3302" s="63" t="s">
        <v>2076</v>
      </c>
      <c r="C3302" s="70">
        <v>2</v>
      </c>
      <c r="D3302" s="68">
        <f>3.25+6.45+3.2</f>
        <v>12.899999999999999</v>
      </c>
      <c r="E3302" s="68">
        <v>0.1</v>
      </c>
      <c r="F3302" s="68"/>
      <c r="G3302" s="67">
        <f t="shared" si="86"/>
        <v>2.58</v>
      </c>
      <c r="H3302" s="930" t="s">
        <v>1303</v>
      </c>
      <c r="I3302" s="1227"/>
      <c r="J3302" s="686"/>
    </row>
    <row r="3303" spans="1:10" s="78" customFormat="1" ht="18" customHeight="1">
      <c r="A3303" s="432"/>
      <c r="B3303" s="63" t="s">
        <v>2091</v>
      </c>
      <c r="C3303" s="70">
        <v>-1</v>
      </c>
      <c r="D3303" s="68">
        <v>1.8</v>
      </c>
      <c r="E3303" s="68">
        <v>0.1</v>
      </c>
      <c r="F3303" s="68"/>
      <c r="G3303" s="67">
        <f t="shared" si="86"/>
        <v>-0.18</v>
      </c>
      <c r="H3303" s="930" t="s">
        <v>1303</v>
      </c>
      <c r="I3303" s="1227"/>
      <c r="J3303" s="686"/>
    </row>
    <row r="3304" spans="1:10" s="78" customFormat="1" ht="18" customHeight="1">
      <c r="A3304" s="432"/>
      <c r="B3304" s="63"/>
      <c r="C3304" s="70">
        <v>-1</v>
      </c>
      <c r="D3304" s="68">
        <v>1</v>
      </c>
      <c r="E3304" s="68">
        <v>0.1</v>
      </c>
      <c r="F3304" s="68"/>
      <c r="G3304" s="67">
        <f t="shared" si="86"/>
        <v>-0.1</v>
      </c>
      <c r="H3304" s="930" t="s">
        <v>1303</v>
      </c>
      <c r="I3304" s="1227"/>
      <c r="J3304" s="686"/>
    </row>
    <row r="3305" spans="1:10" s="78" customFormat="1" ht="18" customHeight="1">
      <c r="A3305" s="432"/>
      <c r="B3305" s="63" t="s">
        <v>2090</v>
      </c>
      <c r="C3305" s="70">
        <v>-5</v>
      </c>
      <c r="D3305" s="68">
        <v>0.9</v>
      </c>
      <c r="E3305" s="68">
        <v>0.1</v>
      </c>
      <c r="F3305" s="68"/>
      <c r="G3305" s="67">
        <f t="shared" si="86"/>
        <v>-0.45</v>
      </c>
      <c r="H3305" s="930" t="s">
        <v>1303</v>
      </c>
      <c r="I3305" s="1227"/>
      <c r="J3305" s="686"/>
    </row>
    <row r="3306" spans="1:10" s="78" customFormat="1" ht="18" customHeight="1">
      <c r="A3306" s="432"/>
      <c r="B3306" s="63" t="s">
        <v>2077</v>
      </c>
      <c r="C3306" s="70">
        <v>2</v>
      </c>
      <c r="D3306" s="68">
        <f>6.45+3.25</f>
        <v>9.6999999999999993</v>
      </c>
      <c r="E3306" s="68">
        <v>0.1</v>
      </c>
      <c r="F3306" s="68"/>
      <c r="G3306" s="67">
        <f t="shared" si="86"/>
        <v>1.94</v>
      </c>
      <c r="H3306" s="930" t="s">
        <v>1303</v>
      </c>
      <c r="I3306" s="1227"/>
      <c r="J3306" s="686"/>
    </row>
    <row r="3307" spans="1:10" s="78" customFormat="1" ht="18" customHeight="1">
      <c r="A3307" s="432"/>
      <c r="B3307" s="63"/>
      <c r="C3307" s="70">
        <v>-5</v>
      </c>
      <c r="D3307" s="68">
        <v>0.9</v>
      </c>
      <c r="E3307" s="68">
        <v>0.1</v>
      </c>
      <c r="F3307" s="68"/>
      <c r="G3307" s="67">
        <f t="shared" si="86"/>
        <v>-0.45</v>
      </c>
      <c r="H3307" s="930" t="s">
        <v>1303</v>
      </c>
      <c r="I3307" s="1227"/>
      <c r="J3307" s="686"/>
    </row>
    <row r="3308" spans="1:10" s="78" customFormat="1" ht="18" customHeight="1">
      <c r="A3308" s="432"/>
      <c r="B3308" s="63"/>
      <c r="C3308" s="70">
        <v>-1</v>
      </c>
      <c r="D3308" s="68">
        <v>1.8</v>
      </c>
      <c r="E3308" s="68">
        <v>0.1</v>
      </c>
      <c r="F3308" s="68"/>
      <c r="G3308" s="67">
        <f t="shared" si="86"/>
        <v>-0.18</v>
      </c>
      <c r="H3308" s="930" t="s">
        <v>1303</v>
      </c>
      <c r="I3308" s="1227"/>
      <c r="J3308" s="686"/>
    </row>
    <row r="3309" spans="1:10" s="78" customFormat="1" ht="18" customHeight="1">
      <c r="A3309" s="432"/>
      <c r="B3309" s="63"/>
      <c r="C3309" s="70">
        <v>-1</v>
      </c>
      <c r="D3309" s="68">
        <v>1</v>
      </c>
      <c r="E3309" s="68">
        <v>0.1</v>
      </c>
      <c r="F3309" s="68"/>
      <c r="G3309" s="67">
        <f t="shared" si="86"/>
        <v>-0.1</v>
      </c>
      <c r="H3309" s="930" t="s">
        <v>1303</v>
      </c>
      <c r="I3309" s="1227"/>
      <c r="J3309" s="686"/>
    </row>
    <row r="3310" spans="1:10" s="78" customFormat="1" ht="18" customHeight="1">
      <c r="A3310" s="432"/>
      <c r="B3310" s="63" t="s">
        <v>2078</v>
      </c>
      <c r="C3310" s="70">
        <v>2</v>
      </c>
      <c r="D3310" s="68">
        <f>6.45+6.4+6.4+3.25</f>
        <v>22.5</v>
      </c>
      <c r="E3310" s="68">
        <v>0.1</v>
      </c>
      <c r="F3310" s="68"/>
      <c r="G3310" s="67">
        <f t="shared" si="86"/>
        <v>4.5</v>
      </c>
      <c r="H3310" s="930" t="s">
        <v>1303</v>
      </c>
      <c r="I3310" s="1227"/>
      <c r="J3310" s="686"/>
    </row>
    <row r="3311" spans="1:10" s="78" customFormat="1" ht="18" customHeight="1">
      <c r="A3311" s="432"/>
      <c r="B3311" s="63" t="s">
        <v>2090</v>
      </c>
      <c r="C3311" s="70">
        <v>-11</v>
      </c>
      <c r="D3311" s="68">
        <v>0.9</v>
      </c>
      <c r="E3311" s="68">
        <v>0.1</v>
      </c>
      <c r="F3311" s="68"/>
      <c r="G3311" s="67">
        <f t="shared" si="86"/>
        <v>-0.99</v>
      </c>
      <c r="H3311" s="930" t="s">
        <v>1303</v>
      </c>
      <c r="I3311" s="1227"/>
      <c r="J3311" s="686"/>
    </row>
    <row r="3312" spans="1:10" s="78" customFormat="1" ht="18" customHeight="1">
      <c r="A3312" s="432"/>
      <c r="B3312" s="63" t="s">
        <v>2079</v>
      </c>
      <c r="C3312" s="70">
        <v>1</v>
      </c>
      <c r="D3312" s="68">
        <v>1.5</v>
      </c>
      <c r="E3312" s="68">
        <v>0.1</v>
      </c>
      <c r="F3312" s="68"/>
      <c r="G3312" s="67">
        <f t="shared" si="86"/>
        <v>0.15</v>
      </c>
      <c r="H3312" s="930" t="s">
        <v>1303</v>
      </c>
      <c r="I3312" s="1227"/>
      <c r="J3312" s="686"/>
    </row>
    <row r="3313" spans="1:13" s="78" customFormat="1" ht="18" customHeight="1">
      <c r="A3313" s="432"/>
      <c r="B3313" s="63" t="s">
        <v>2080</v>
      </c>
      <c r="C3313" s="70">
        <v>2</v>
      </c>
      <c r="D3313" s="68">
        <v>35.475000000000001</v>
      </c>
      <c r="E3313" s="68">
        <v>0.1</v>
      </c>
      <c r="F3313" s="68"/>
      <c r="G3313" s="67">
        <f t="shared" si="86"/>
        <v>7.1</v>
      </c>
      <c r="H3313" s="930" t="s">
        <v>1303</v>
      </c>
      <c r="I3313" s="1227"/>
      <c r="J3313" s="686"/>
    </row>
    <row r="3314" spans="1:13" s="78" customFormat="1" ht="18" customHeight="1">
      <c r="A3314" s="432"/>
      <c r="B3314" s="63" t="s">
        <v>2090</v>
      </c>
      <c r="C3314" s="70">
        <v>-14</v>
      </c>
      <c r="D3314" s="68">
        <v>0.9</v>
      </c>
      <c r="E3314" s="68">
        <v>0.1</v>
      </c>
      <c r="F3314" s="68"/>
      <c r="G3314" s="67">
        <f t="shared" si="86"/>
        <v>-1.26</v>
      </c>
      <c r="H3314" s="930" t="s">
        <v>1303</v>
      </c>
      <c r="I3314" s="1227"/>
      <c r="J3314" s="686"/>
    </row>
    <row r="3315" spans="1:13" s="78" customFormat="1" ht="18" customHeight="1">
      <c r="A3315" s="432"/>
      <c r="B3315" s="63" t="s">
        <v>2093</v>
      </c>
      <c r="C3315" s="70">
        <v>-2</v>
      </c>
      <c r="D3315" s="68">
        <v>1.2</v>
      </c>
      <c r="E3315" s="68">
        <v>0.1</v>
      </c>
      <c r="F3315" s="68"/>
      <c r="G3315" s="67">
        <f t="shared" si="86"/>
        <v>-0.24</v>
      </c>
      <c r="H3315" s="930" t="s">
        <v>1303</v>
      </c>
      <c r="I3315" s="1227"/>
      <c r="J3315" s="686"/>
    </row>
    <row r="3316" spans="1:13" s="78" customFormat="1" ht="18" customHeight="1">
      <c r="A3316" s="432"/>
      <c r="B3316" s="63" t="s">
        <v>2094</v>
      </c>
      <c r="C3316" s="70">
        <v>-1</v>
      </c>
      <c r="D3316" s="68">
        <v>1</v>
      </c>
      <c r="E3316" s="68">
        <v>0.1</v>
      </c>
      <c r="F3316" s="68"/>
      <c r="G3316" s="67">
        <f t="shared" si="86"/>
        <v>-0.1</v>
      </c>
      <c r="H3316" s="930" t="s">
        <v>1303</v>
      </c>
      <c r="I3316" s="1227"/>
      <c r="J3316" s="686"/>
    </row>
    <row r="3317" spans="1:13" s="78" customFormat="1" ht="18" customHeight="1">
      <c r="A3317" s="432"/>
      <c r="B3317" s="63" t="s">
        <v>2095</v>
      </c>
      <c r="C3317" s="70">
        <v>-1</v>
      </c>
      <c r="D3317" s="68">
        <v>0.9</v>
      </c>
      <c r="E3317" s="68">
        <v>0.1</v>
      </c>
      <c r="F3317" s="68"/>
      <c r="G3317" s="67">
        <f t="shared" si="86"/>
        <v>-0.09</v>
      </c>
      <c r="H3317" s="930" t="s">
        <v>1303</v>
      </c>
      <c r="I3317" s="1227"/>
      <c r="J3317" s="686"/>
    </row>
    <row r="3318" spans="1:13" s="78" customFormat="1" ht="18" customHeight="1">
      <c r="A3318" s="432"/>
      <c r="B3318" s="63"/>
      <c r="C3318" s="70">
        <v>-2</v>
      </c>
      <c r="D3318" s="68">
        <v>6.3</v>
      </c>
      <c r="E3318" s="68">
        <v>0.1</v>
      </c>
      <c r="F3318" s="68"/>
      <c r="G3318" s="67">
        <f t="shared" si="86"/>
        <v>-1.26</v>
      </c>
      <c r="H3318" s="930" t="s">
        <v>1303</v>
      </c>
      <c r="I3318" s="1227"/>
      <c r="J3318" s="686"/>
    </row>
    <row r="3319" spans="1:13" s="78" customFormat="1" ht="18" customHeight="1">
      <c r="A3319" s="432"/>
      <c r="B3319" s="63" t="s">
        <v>2081</v>
      </c>
      <c r="C3319" s="70">
        <v>1</v>
      </c>
      <c r="D3319" s="68">
        <v>1.5</v>
      </c>
      <c r="E3319" s="68">
        <v>0.1</v>
      </c>
      <c r="F3319" s="68"/>
      <c r="G3319" s="67">
        <f t="shared" si="86"/>
        <v>0.15</v>
      </c>
      <c r="H3319" s="930" t="s">
        <v>1303</v>
      </c>
      <c r="I3319" s="1227"/>
      <c r="J3319" s="686"/>
    </row>
    <row r="3320" spans="1:13" s="78" customFormat="1" ht="18" customHeight="1">
      <c r="A3320" s="432"/>
      <c r="B3320" s="63"/>
      <c r="C3320" s="70"/>
      <c r="D3320" s="68"/>
      <c r="E3320" s="68"/>
      <c r="F3320" s="68"/>
      <c r="G3320" s="67" t="str">
        <f t="shared" si="86"/>
        <v xml:space="preserve"> </v>
      </c>
      <c r="H3320" s="930"/>
      <c r="I3320" s="1227"/>
      <c r="J3320" s="686"/>
    </row>
    <row r="3321" spans="1:13" s="78" customFormat="1" ht="18" customHeight="1">
      <c r="A3321" s="354" t="s">
        <v>1306</v>
      </c>
      <c r="B3321" s="64" t="s">
        <v>2182</v>
      </c>
      <c r="C3321" s="70">
        <v>2</v>
      </c>
      <c r="D3321" s="567">
        <v>12.5</v>
      </c>
      <c r="E3321" s="68">
        <v>1.2</v>
      </c>
      <c r="F3321" s="68"/>
      <c r="G3321" s="67">
        <f t="shared" si="86"/>
        <v>30</v>
      </c>
      <c r="H3321" s="930" t="s">
        <v>1306</v>
      </c>
      <c r="I3321" s="1227"/>
      <c r="J3321" s="686"/>
    </row>
    <row r="3322" spans="1:13" s="78" customFormat="1" ht="18" customHeight="1">
      <c r="A3322" s="432"/>
      <c r="B3322" s="63"/>
      <c r="C3322" s="70">
        <v>2</v>
      </c>
      <c r="D3322" s="567">
        <v>11.45</v>
      </c>
      <c r="E3322" s="68">
        <v>1.2</v>
      </c>
      <c r="F3322" s="68"/>
      <c r="G3322" s="67">
        <f t="shared" si="86"/>
        <v>27.48</v>
      </c>
      <c r="H3322" s="930" t="s">
        <v>1306</v>
      </c>
      <c r="I3322" s="1227"/>
      <c r="J3322" s="686"/>
    </row>
    <row r="3323" spans="1:13" s="78" customFormat="1" ht="18" customHeight="1">
      <c r="A3323" s="432"/>
      <c r="B3323" s="63" t="s">
        <v>2183</v>
      </c>
      <c r="C3323" s="70">
        <v>-2</v>
      </c>
      <c r="D3323" s="68">
        <v>2.2000000000000002</v>
      </c>
      <c r="E3323" s="68">
        <v>1.2</v>
      </c>
      <c r="F3323" s="68"/>
      <c r="G3323" s="67">
        <f t="shared" si="86"/>
        <v>-5.28</v>
      </c>
      <c r="H3323" s="930" t="s">
        <v>1306</v>
      </c>
      <c r="I3323" s="1227"/>
      <c r="J3323" s="686"/>
    </row>
    <row r="3324" spans="1:13" s="78" customFormat="1" ht="18" customHeight="1">
      <c r="A3324" s="432"/>
      <c r="B3324" s="63" t="s">
        <v>2184</v>
      </c>
      <c r="C3324" s="70">
        <v>-2</v>
      </c>
      <c r="D3324" s="68">
        <v>3.4</v>
      </c>
      <c r="E3324" s="68">
        <v>0.9</v>
      </c>
      <c r="F3324" s="68"/>
      <c r="G3324" s="67">
        <f t="shared" si="86"/>
        <v>-6.12</v>
      </c>
      <c r="H3324" s="930" t="s">
        <v>1306</v>
      </c>
      <c r="I3324" s="1227"/>
      <c r="J3324" s="686"/>
    </row>
    <row r="3325" spans="1:13" s="78" customFormat="1" ht="18" customHeight="1">
      <c r="A3325" s="432"/>
      <c r="B3325" s="63" t="s">
        <v>1134</v>
      </c>
      <c r="C3325" s="70">
        <v>-1</v>
      </c>
      <c r="D3325" s="68">
        <v>2.2000000000000002</v>
      </c>
      <c r="E3325" s="68">
        <v>1.2</v>
      </c>
      <c r="F3325" s="68"/>
      <c r="G3325" s="67">
        <f t="shared" si="86"/>
        <v>-2.64</v>
      </c>
      <c r="H3325" s="930" t="s">
        <v>1306</v>
      </c>
      <c r="I3325" s="1227"/>
      <c r="J3325" s="686"/>
    </row>
    <row r="3326" spans="1:13" s="78" customFormat="1" ht="18" customHeight="1">
      <c r="A3326" s="432"/>
      <c r="B3326" s="63" t="s">
        <v>2185</v>
      </c>
      <c r="C3326" s="70">
        <v>4</v>
      </c>
      <c r="D3326" s="68">
        <f>0.45+0.45+0.23+0.23</f>
        <v>1.36</v>
      </c>
      <c r="E3326" s="68">
        <v>1.2</v>
      </c>
      <c r="F3326" s="68"/>
      <c r="G3326" s="67">
        <f t="shared" si="86"/>
        <v>6.53</v>
      </c>
      <c r="H3326" s="930" t="s">
        <v>1306</v>
      </c>
      <c r="I3326" s="1227"/>
      <c r="J3326" s="686"/>
    </row>
    <row r="3327" spans="1:13" ht="18" customHeight="1">
      <c r="A3327" s="687" t="s">
        <v>1442</v>
      </c>
      <c r="B3327" s="649" t="s">
        <v>1452</v>
      </c>
      <c r="C3327" s="647">
        <v>6</v>
      </c>
      <c r="D3327" s="648">
        <v>3.1</v>
      </c>
      <c r="E3327" s="648">
        <f>0.1+0.1+0.1</f>
        <v>0.30000000000000004</v>
      </c>
      <c r="F3327" s="648"/>
      <c r="G3327" s="878">
        <f t="shared" si="86"/>
        <v>5.58</v>
      </c>
      <c r="H3327" s="952" t="s">
        <v>1442</v>
      </c>
      <c r="I3327" s="1371"/>
      <c r="J3327" s="1371"/>
      <c r="K3327" s="1371"/>
      <c r="L3327" s="1371"/>
      <c r="M3327" s="1371"/>
    </row>
    <row r="3328" spans="1:13" s="79" customFormat="1" ht="14.25">
      <c r="A3328" s="407"/>
      <c r="B3328" s="81"/>
      <c r="C3328" s="404"/>
      <c r="D3328" s="405"/>
      <c r="E3328" s="405"/>
      <c r="F3328" s="405"/>
      <c r="G3328" s="664"/>
      <c r="H3328" s="935"/>
      <c r="I3328" s="877"/>
      <c r="J3328" s="877"/>
      <c r="K3328" s="877"/>
      <c r="L3328" s="877"/>
      <c r="M3328" s="877"/>
    </row>
    <row r="3329" spans="1:10" ht="18" customHeight="1">
      <c r="A3329" s="932"/>
      <c r="B3329" s="874" t="s">
        <v>2188</v>
      </c>
      <c r="C3329" s="875"/>
      <c r="D3329" s="874"/>
      <c r="E3329" s="874"/>
      <c r="F3329" s="874"/>
      <c r="G3329" s="842">
        <f>SUM(G3009:G3328)</f>
        <v>372.86999999999989</v>
      </c>
      <c r="H3329" s="945" t="s">
        <v>10</v>
      </c>
      <c r="I3329" s="1226" t="s">
        <v>473</v>
      </c>
      <c r="J3329" s="627"/>
    </row>
    <row r="3330" spans="1:10" s="79" customFormat="1" ht="18" customHeight="1">
      <c r="A3330" s="934"/>
      <c r="B3330" s="566"/>
      <c r="C3330" s="565"/>
      <c r="D3330" s="254"/>
      <c r="E3330" s="254"/>
      <c r="F3330" s="254"/>
      <c r="G3330" s="566"/>
      <c r="H3330" s="935"/>
      <c r="I3330" s="1231"/>
      <c r="J3330" s="690"/>
    </row>
    <row r="3331" spans="1:10" ht="14.25">
      <c r="A3331" s="380" t="s">
        <v>481</v>
      </c>
      <c r="B3331" s="842" t="s">
        <v>1777</v>
      </c>
      <c r="C3331" s="565"/>
      <c r="D3331" s="254"/>
      <c r="E3331" s="254"/>
      <c r="F3331" s="254"/>
      <c r="G3331" s="566"/>
      <c r="H3331" s="935"/>
    </row>
    <row r="3332" spans="1:10" ht="14.25">
      <c r="A3332" s="407"/>
      <c r="B3332" s="954" t="s">
        <v>1778</v>
      </c>
      <c r="C3332" s="565"/>
      <c r="D3332" s="254"/>
      <c r="E3332" s="254"/>
      <c r="F3332" s="254"/>
      <c r="G3332" s="566"/>
      <c r="H3332" s="935"/>
    </row>
    <row r="3333" spans="1:10" ht="18" customHeight="1">
      <c r="A3333" s="354"/>
      <c r="B3333" s="64" t="s">
        <v>1509</v>
      </c>
      <c r="C3333" s="70"/>
      <c r="D3333" s="68"/>
      <c r="E3333" s="68"/>
      <c r="F3333" s="68"/>
      <c r="G3333" s="68"/>
      <c r="H3333" s="929"/>
    </row>
    <row r="3334" spans="1:10" ht="18" customHeight="1">
      <c r="A3334" s="354"/>
      <c r="B3334" s="63" t="s">
        <v>1510</v>
      </c>
      <c r="C3334" s="70">
        <v>6</v>
      </c>
      <c r="D3334" s="68">
        <f>1.875+2.25-0.2</f>
        <v>3.9249999999999998</v>
      </c>
      <c r="E3334" s="68">
        <v>0.6</v>
      </c>
      <c r="F3334" s="68"/>
      <c r="G3334" s="67">
        <f t="shared" ref="G3334:G3349" si="87">IF(C3334&lt;&gt;0,ROUND(PRODUCT(D3334:F3334)*C3334,2)," ")</f>
        <v>14.13</v>
      </c>
      <c r="H3334" s="929" t="s">
        <v>1306</v>
      </c>
    </row>
    <row r="3335" spans="1:10" ht="18" customHeight="1">
      <c r="A3335" s="354"/>
      <c r="B3335" s="63"/>
      <c r="C3335" s="70">
        <v>6</v>
      </c>
      <c r="D3335" s="567">
        <v>3.3250000000000002</v>
      </c>
      <c r="E3335" s="68">
        <v>0.15</v>
      </c>
      <c r="F3335" s="68"/>
      <c r="G3335" s="67">
        <f t="shared" si="87"/>
        <v>2.99</v>
      </c>
      <c r="H3335" s="929" t="s">
        <v>1306</v>
      </c>
    </row>
    <row r="3336" spans="1:10" ht="18" customHeight="1">
      <c r="A3336" s="354"/>
      <c r="B3336" s="63"/>
      <c r="C3336" s="70">
        <v>6</v>
      </c>
      <c r="D3336" s="567">
        <v>4.8730000000000002</v>
      </c>
      <c r="E3336" s="68">
        <v>0.6</v>
      </c>
      <c r="F3336" s="68"/>
      <c r="G3336" s="67">
        <f t="shared" si="87"/>
        <v>17.54</v>
      </c>
      <c r="H3336" s="929" t="s">
        <v>1306</v>
      </c>
    </row>
    <row r="3337" spans="1:10" ht="18" customHeight="1">
      <c r="A3337" s="354"/>
      <c r="B3337" s="63"/>
      <c r="C3337" s="70">
        <v>6</v>
      </c>
      <c r="D3337" s="567">
        <v>4.8730000000000002</v>
      </c>
      <c r="E3337" s="68">
        <v>0.15</v>
      </c>
      <c r="F3337" s="68"/>
      <c r="G3337" s="67">
        <f t="shared" si="87"/>
        <v>4.3899999999999997</v>
      </c>
      <c r="H3337" s="929" t="s">
        <v>1306</v>
      </c>
    </row>
    <row r="3338" spans="1:10" ht="18" customHeight="1">
      <c r="A3338" s="354"/>
      <c r="B3338" s="63" t="s">
        <v>1511</v>
      </c>
      <c r="C3338" s="70">
        <v>2</v>
      </c>
      <c r="D3338" s="567">
        <v>4.67</v>
      </c>
      <c r="E3338" s="68">
        <v>0.6</v>
      </c>
      <c r="F3338" s="68"/>
      <c r="G3338" s="67">
        <f t="shared" si="87"/>
        <v>5.6</v>
      </c>
      <c r="H3338" s="929" t="s">
        <v>1306</v>
      </c>
    </row>
    <row r="3339" spans="1:10" ht="18" customHeight="1">
      <c r="A3339" s="354"/>
      <c r="B3339" s="63"/>
      <c r="C3339" s="70">
        <v>2</v>
      </c>
      <c r="D3339" s="567">
        <v>4.67</v>
      </c>
      <c r="E3339" s="68">
        <v>0.15</v>
      </c>
      <c r="F3339" s="68"/>
      <c r="G3339" s="67">
        <f t="shared" si="87"/>
        <v>1.4</v>
      </c>
      <c r="H3339" s="929" t="s">
        <v>1306</v>
      </c>
    </row>
    <row r="3340" spans="1:10" ht="18" customHeight="1">
      <c r="A3340" s="354"/>
      <c r="B3340" s="63" t="s">
        <v>1512</v>
      </c>
      <c r="C3340" s="70">
        <v>1</v>
      </c>
      <c r="D3340" s="567">
        <f>4.9-0.2</f>
        <v>4.7</v>
      </c>
      <c r="E3340" s="68">
        <v>0.6</v>
      </c>
      <c r="F3340" s="68"/>
      <c r="G3340" s="67">
        <f t="shared" si="87"/>
        <v>2.82</v>
      </c>
      <c r="H3340" s="929" t="s">
        <v>1306</v>
      </c>
    </row>
    <row r="3341" spans="1:10" ht="18" customHeight="1">
      <c r="A3341" s="354"/>
      <c r="B3341" s="63"/>
      <c r="C3341" s="70">
        <v>1</v>
      </c>
      <c r="D3341" s="567">
        <v>4.0999999999999996</v>
      </c>
      <c r="E3341" s="68">
        <v>0.15</v>
      </c>
      <c r="F3341" s="68"/>
      <c r="G3341" s="67">
        <f t="shared" si="87"/>
        <v>0.62</v>
      </c>
      <c r="H3341" s="929" t="s">
        <v>1306</v>
      </c>
    </row>
    <row r="3342" spans="1:10" ht="18" customHeight="1">
      <c r="A3342" s="354"/>
      <c r="B3342" s="63"/>
      <c r="C3342" s="70">
        <v>1</v>
      </c>
      <c r="D3342" s="567">
        <v>3.2850000000000001</v>
      </c>
      <c r="E3342" s="68">
        <v>0.6</v>
      </c>
      <c r="F3342" s="68"/>
      <c r="G3342" s="67">
        <f t="shared" si="87"/>
        <v>1.97</v>
      </c>
      <c r="H3342" s="929" t="s">
        <v>1306</v>
      </c>
    </row>
    <row r="3343" spans="1:10" ht="18" customHeight="1">
      <c r="A3343" s="354"/>
      <c r="B3343" s="63"/>
      <c r="C3343" s="70">
        <v>1</v>
      </c>
      <c r="D3343" s="567">
        <v>2.6880000000000002</v>
      </c>
      <c r="E3343" s="68">
        <v>0.15</v>
      </c>
      <c r="F3343" s="68"/>
      <c r="G3343" s="67">
        <f t="shared" si="87"/>
        <v>0.4</v>
      </c>
      <c r="H3343" s="929" t="s">
        <v>1306</v>
      </c>
    </row>
    <row r="3344" spans="1:10" ht="18" customHeight="1">
      <c r="A3344" s="354"/>
      <c r="B3344" s="63"/>
      <c r="C3344" s="70">
        <v>1</v>
      </c>
      <c r="D3344" s="567">
        <v>1.9</v>
      </c>
      <c r="E3344" s="68">
        <v>0.6</v>
      </c>
      <c r="F3344" s="68"/>
      <c r="G3344" s="67">
        <f t="shared" si="87"/>
        <v>1.1399999999999999</v>
      </c>
      <c r="H3344" s="929" t="s">
        <v>1306</v>
      </c>
    </row>
    <row r="3345" spans="1:10" ht="18" customHeight="1">
      <c r="A3345" s="354"/>
      <c r="B3345" s="63"/>
      <c r="C3345" s="70">
        <v>1</v>
      </c>
      <c r="D3345" s="567">
        <v>1.9</v>
      </c>
      <c r="E3345" s="68">
        <v>0.15</v>
      </c>
      <c r="F3345" s="68"/>
      <c r="G3345" s="67">
        <f t="shared" si="87"/>
        <v>0.28999999999999998</v>
      </c>
      <c r="H3345" s="929" t="s">
        <v>1306</v>
      </c>
    </row>
    <row r="3346" spans="1:10" ht="18" customHeight="1">
      <c r="A3346" s="354"/>
      <c r="B3346" s="63" t="s">
        <v>1513</v>
      </c>
      <c r="C3346" s="70">
        <v>1</v>
      </c>
      <c r="D3346" s="68">
        <v>1</v>
      </c>
      <c r="E3346" s="68">
        <v>0.6</v>
      </c>
      <c r="F3346" s="68"/>
      <c r="G3346" s="67">
        <f t="shared" si="87"/>
        <v>0.6</v>
      </c>
      <c r="H3346" s="929" t="s">
        <v>1306</v>
      </c>
    </row>
    <row r="3347" spans="1:10" ht="18" customHeight="1">
      <c r="A3347" s="354"/>
      <c r="B3347" s="63"/>
      <c r="C3347" s="70">
        <v>1</v>
      </c>
      <c r="D3347" s="68">
        <f>1+0.6</f>
        <v>1.6</v>
      </c>
      <c r="E3347" s="68">
        <v>0.15</v>
      </c>
      <c r="F3347" s="68"/>
      <c r="G3347" s="67">
        <f t="shared" si="87"/>
        <v>0.24</v>
      </c>
      <c r="H3347" s="929" t="s">
        <v>1306</v>
      </c>
    </row>
    <row r="3348" spans="1:10" s="666" customFormat="1" ht="18" customHeight="1">
      <c r="A3348" s="687"/>
      <c r="B3348" s="649" t="s">
        <v>1454</v>
      </c>
      <c r="C3348" s="651">
        <f>1</f>
        <v>1</v>
      </c>
      <c r="D3348" s="652">
        <f>3.2+2.8</f>
        <v>6</v>
      </c>
      <c r="E3348" s="652">
        <v>0.75</v>
      </c>
      <c r="F3348" s="648"/>
      <c r="G3348" s="878">
        <f t="shared" si="87"/>
        <v>4.5</v>
      </c>
      <c r="H3348" s="953" t="s">
        <v>1442</v>
      </c>
      <c r="I3348" s="1248"/>
    </row>
    <row r="3349" spans="1:10" s="666" customFormat="1" ht="18" customHeight="1">
      <c r="A3349" s="665"/>
      <c r="B3349" s="955" t="s">
        <v>1455</v>
      </c>
      <c r="C3349" s="647">
        <f>6</f>
        <v>6</v>
      </c>
      <c r="D3349" s="648">
        <v>1.5</v>
      </c>
      <c r="E3349" s="648">
        <v>0.32</v>
      </c>
      <c r="F3349" s="648"/>
      <c r="G3349" s="878">
        <f t="shared" si="87"/>
        <v>2.88</v>
      </c>
      <c r="H3349" s="956" t="s">
        <v>1442</v>
      </c>
      <c r="I3349" s="1248"/>
    </row>
    <row r="3350" spans="1:10" s="79" customFormat="1" ht="18" customHeight="1">
      <c r="A3350" s="879"/>
      <c r="B3350" s="957" t="s">
        <v>2188</v>
      </c>
      <c r="C3350" s="712"/>
      <c r="D3350" s="713"/>
      <c r="E3350" s="713"/>
      <c r="F3350" s="713"/>
      <c r="G3350" s="842">
        <f>SUM(G3334:G3349)</f>
        <v>61.51</v>
      </c>
      <c r="H3350" s="958" t="s">
        <v>350</v>
      </c>
      <c r="I3350" s="1231" t="s">
        <v>481</v>
      </c>
    </row>
    <row r="3351" spans="1:10" s="79" customFormat="1" ht="18" customHeight="1">
      <c r="A3351" s="479"/>
      <c r="B3351" s="478"/>
      <c r="C3351" s="446"/>
      <c r="D3351" s="414"/>
      <c r="E3351" s="414"/>
      <c r="F3351" s="414"/>
      <c r="G3351" s="715"/>
      <c r="H3351" s="959"/>
      <c r="I3351" s="1231"/>
    </row>
    <row r="3352" spans="1:10" ht="18" customHeight="1">
      <c r="A3352" s="380" t="s">
        <v>484</v>
      </c>
      <c r="B3352" s="387" t="s">
        <v>2186</v>
      </c>
      <c r="C3352" s="70"/>
      <c r="D3352" s="68"/>
      <c r="E3352" s="68"/>
      <c r="F3352" s="68"/>
      <c r="G3352" s="68"/>
      <c r="H3352" s="929"/>
      <c r="J3352" s="686"/>
    </row>
    <row r="3353" spans="1:10" s="79" customFormat="1" ht="18" customHeight="1">
      <c r="A3353" s="354" t="s">
        <v>1306</v>
      </c>
      <c r="B3353" s="451" t="s">
        <v>1357</v>
      </c>
      <c r="C3353" s="404">
        <v>1</v>
      </c>
      <c r="D3353" s="405">
        <f>6.3+3.2-0.2</f>
        <v>9.3000000000000007</v>
      </c>
      <c r="E3353" s="405">
        <v>4.8</v>
      </c>
      <c r="F3353" s="405"/>
      <c r="G3353" s="67">
        <f t="shared" ref="G3353" si="88">IF(C3353&lt;&gt;0,ROUND(PRODUCT(D3353:F3353)*C3353,2)," ")</f>
        <v>44.64</v>
      </c>
      <c r="H3353" s="935" t="s">
        <v>1306</v>
      </c>
      <c r="I3353" s="1231"/>
      <c r="J3353" s="686"/>
    </row>
    <row r="3354" spans="1:10" s="79" customFormat="1" ht="18" customHeight="1">
      <c r="A3354" s="407"/>
      <c r="B3354" s="478"/>
      <c r="C3354" s="404"/>
      <c r="D3354" s="405"/>
      <c r="E3354" s="405"/>
      <c r="F3354" s="405"/>
      <c r="G3354" s="405">
        <f>+PRODUCT(C3354:F3354)</f>
        <v>0</v>
      </c>
      <c r="H3354" s="935"/>
      <c r="I3354" s="1231"/>
      <c r="J3354" s="686"/>
    </row>
    <row r="3355" spans="1:10" s="79" customFormat="1" ht="18" customHeight="1">
      <c r="A3355" s="879"/>
      <c r="B3355" s="957" t="s">
        <v>2188</v>
      </c>
      <c r="C3355" s="712"/>
      <c r="D3355" s="713"/>
      <c r="E3355" s="713"/>
      <c r="F3355" s="713"/>
      <c r="G3355" s="842">
        <f>SUM(G3352:G3354)</f>
        <v>44.64</v>
      </c>
      <c r="H3355" s="958" t="s">
        <v>10</v>
      </c>
      <c r="I3355" s="1231" t="s">
        <v>484</v>
      </c>
    </row>
    <row r="3356" spans="1:10" s="79" customFormat="1" ht="18" customHeight="1">
      <c r="A3356" s="934"/>
      <c r="B3356" s="566"/>
      <c r="C3356" s="254"/>
      <c r="D3356" s="254"/>
      <c r="E3356" s="254"/>
      <c r="F3356" s="254"/>
      <c r="G3356" s="566"/>
      <c r="H3356" s="935"/>
      <c r="I3356" s="1231"/>
    </row>
    <row r="3357" spans="1:10" ht="18" customHeight="1">
      <c r="A3357" s="380" t="s">
        <v>487</v>
      </c>
      <c r="B3357" s="387" t="s">
        <v>1344</v>
      </c>
      <c r="C3357" s="70"/>
      <c r="D3357" s="68"/>
      <c r="E3357" s="68"/>
      <c r="F3357" s="68"/>
      <c r="G3357" s="68"/>
      <c r="H3357" s="929"/>
    </row>
    <row r="3358" spans="1:10" ht="18" customHeight="1">
      <c r="A3358" s="354" t="s">
        <v>1306</v>
      </c>
      <c r="B3358" s="548" t="s">
        <v>1338</v>
      </c>
      <c r="C3358" s="70"/>
      <c r="D3358" s="68"/>
      <c r="E3358" s="68"/>
      <c r="F3358" s="68"/>
      <c r="G3358" s="68"/>
      <c r="H3358" s="929"/>
      <c r="J3358" s="686"/>
    </row>
    <row r="3359" spans="1:10" ht="18" customHeight="1">
      <c r="A3359" s="75"/>
      <c r="B3359" s="607" t="s">
        <v>1194</v>
      </c>
      <c r="C3359" s="70"/>
      <c r="D3359" s="68"/>
      <c r="E3359" s="68"/>
      <c r="F3359" s="68"/>
      <c r="G3359" s="68">
        <f t="shared" ref="G3359" si="89">+PRODUCT(C3359:F3359)</f>
        <v>0</v>
      </c>
      <c r="H3359" s="929"/>
      <c r="J3359" s="686"/>
    </row>
    <row r="3360" spans="1:10" ht="18" customHeight="1">
      <c r="A3360" s="75"/>
      <c r="B3360" s="406" t="s">
        <v>1339</v>
      </c>
      <c r="C3360" s="70">
        <v>1</v>
      </c>
      <c r="D3360" s="68">
        <f>2.298+4.6+3.825+3.2+6.45+6.45+6.45+6.45+3.2+3.825+4.6+2.298</f>
        <v>53.646000000000008</v>
      </c>
      <c r="E3360" s="68">
        <v>0.6</v>
      </c>
      <c r="F3360" s="68"/>
      <c r="G3360" s="67">
        <f t="shared" ref="G3360:G3383" si="90">IF(C3360&lt;&gt;0,ROUND(PRODUCT(D3360:F3360)*C3360,2)," ")</f>
        <v>32.19</v>
      </c>
      <c r="H3360" s="929" t="s">
        <v>1306</v>
      </c>
      <c r="J3360" s="686"/>
    </row>
    <row r="3361" spans="1:10" ht="18" customHeight="1">
      <c r="A3361" s="75"/>
      <c r="B3361" s="406" t="s">
        <v>1193</v>
      </c>
      <c r="C3361" s="70">
        <v>1</v>
      </c>
      <c r="D3361" s="68">
        <f>2.298+4.6+3.825+3.2+6.45+6.45+6.3+6.45+6.45+3.2+3.825+4.6+2.298</f>
        <v>59.946000000000012</v>
      </c>
      <c r="E3361" s="68">
        <v>0.6</v>
      </c>
      <c r="F3361" s="68"/>
      <c r="G3361" s="67">
        <f t="shared" si="90"/>
        <v>35.97</v>
      </c>
      <c r="H3361" s="929" t="s">
        <v>1306</v>
      </c>
      <c r="J3361" s="686"/>
    </row>
    <row r="3362" spans="1:10" ht="18" customHeight="1">
      <c r="A3362" s="75"/>
      <c r="B3362" s="406" t="s">
        <v>1340</v>
      </c>
      <c r="C3362" s="70">
        <v>1</v>
      </c>
      <c r="D3362" s="68">
        <f>2.025+4.6+3.775+6.45+6.4+6.4+3.25+3.175+4.125+5.187+6.622</f>
        <v>52.008999999999993</v>
      </c>
      <c r="E3362" s="68">
        <v>0.6</v>
      </c>
      <c r="F3362" s="68"/>
      <c r="G3362" s="67">
        <f t="shared" si="90"/>
        <v>31.21</v>
      </c>
      <c r="H3362" s="929" t="s">
        <v>1306</v>
      </c>
      <c r="J3362" s="686"/>
    </row>
    <row r="3363" spans="1:10" ht="18" customHeight="1">
      <c r="A3363" s="75"/>
      <c r="B3363" s="406" t="s">
        <v>1341</v>
      </c>
      <c r="C3363" s="70">
        <v>1</v>
      </c>
      <c r="D3363" s="68">
        <f>2.025+4.6+3.775+6.45+6.4+6.4+3.25+3.175+4.125+5.187+6.622</f>
        <v>52.008999999999993</v>
      </c>
      <c r="E3363" s="68">
        <v>0.6</v>
      </c>
      <c r="F3363" s="68"/>
      <c r="G3363" s="67">
        <f t="shared" si="90"/>
        <v>31.21</v>
      </c>
      <c r="H3363" s="929" t="s">
        <v>1306</v>
      </c>
      <c r="J3363" s="686"/>
    </row>
    <row r="3364" spans="1:10" ht="18" customHeight="1">
      <c r="A3364" s="75"/>
      <c r="B3364" s="406" t="s">
        <v>1342</v>
      </c>
      <c r="C3364" s="70">
        <v>1</v>
      </c>
      <c r="D3364" s="68">
        <v>2.4620000000000002</v>
      </c>
      <c r="E3364" s="68">
        <v>0.6</v>
      </c>
      <c r="F3364" s="68"/>
      <c r="G3364" s="67">
        <f t="shared" si="90"/>
        <v>1.48</v>
      </c>
      <c r="H3364" s="929" t="s">
        <v>1306</v>
      </c>
      <c r="J3364" s="686"/>
    </row>
    <row r="3365" spans="1:10" ht="18" customHeight="1">
      <c r="A3365" s="75"/>
      <c r="B3365" s="607" t="s">
        <v>1195</v>
      </c>
      <c r="C3365" s="70"/>
      <c r="D3365" s="68"/>
      <c r="E3365" s="68"/>
      <c r="F3365" s="68"/>
      <c r="G3365" s="67" t="str">
        <f t="shared" si="90"/>
        <v xml:space="preserve"> </v>
      </c>
      <c r="H3365" s="929" t="s">
        <v>1306</v>
      </c>
      <c r="J3365" s="686"/>
    </row>
    <row r="3366" spans="1:10" ht="18" customHeight="1">
      <c r="A3366" s="75"/>
      <c r="B3366" s="406" t="s">
        <v>1196</v>
      </c>
      <c r="C3366" s="70">
        <v>1</v>
      </c>
      <c r="D3366" s="68">
        <f>6.45+6.45+6.3+6.45+6.45+1.6+1.6</f>
        <v>35.300000000000004</v>
      </c>
      <c r="E3366" s="68">
        <v>0.6</v>
      </c>
      <c r="F3366" s="68"/>
      <c r="G3366" s="67">
        <f t="shared" si="90"/>
        <v>21.18</v>
      </c>
      <c r="H3366" s="929" t="s">
        <v>1306</v>
      </c>
      <c r="J3366" s="686"/>
    </row>
    <row r="3367" spans="1:10" ht="18" customHeight="1">
      <c r="A3367" s="75"/>
      <c r="B3367" s="406" t="s">
        <v>1197</v>
      </c>
      <c r="C3367" s="70">
        <v>1</v>
      </c>
      <c r="D3367" s="68">
        <f>32.1+1.475+1.825+1.475+1.825</f>
        <v>38.70000000000001</v>
      </c>
      <c r="E3367" s="68">
        <v>0.6</v>
      </c>
      <c r="F3367" s="68"/>
      <c r="G3367" s="67">
        <f t="shared" si="90"/>
        <v>23.22</v>
      </c>
      <c r="H3367" s="929" t="s">
        <v>1306</v>
      </c>
      <c r="J3367" s="686"/>
    </row>
    <row r="3368" spans="1:10" ht="18" customHeight="1">
      <c r="A3368" s="75"/>
      <c r="B3368" s="63" t="s">
        <v>1198</v>
      </c>
      <c r="C3368" s="70">
        <v>1</v>
      </c>
      <c r="D3368" s="452">
        <v>17.45</v>
      </c>
      <c r="E3368" s="68">
        <v>0.6</v>
      </c>
      <c r="F3368" s="68"/>
      <c r="G3368" s="67">
        <f t="shared" si="90"/>
        <v>10.47</v>
      </c>
      <c r="H3368" s="929" t="s">
        <v>1306</v>
      </c>
      <c r="J3368" s="686"/>
    </row>
    <row r="3369" spans="1:10" ht="18" customHeight="1">
      <c r="A3369" s="75"/>
      <c r="B3369" s="63" t="s">
        <v>1199</v>
      </c>
      <c r="C3369" s="70">
        <v>1</v>
      </c>
      <c r="D3369" s="452">
        <v>17.45</v>
      </c>
      <c r="E3369" s="68">
        <v>0.6</v>
      </c>
      <c r="F3369" s="68"/>
      <c r="G3369" s="67">
        <f t="shared" si="90"/>
        <v>10.47</v>
      </c>
      <c r="H3369" s="929" t="s">
        <v>1306</v>
      </c>
      <c r="J3369" s="686"/>
    </row>
    <row r="3370" spans="1:10" ht="18" customHeight="1">
      <c r="A3370" s="354" t="s">
        <v>1442</v>
      </c>
      <c r="B3370" s="451" t="s">
        <v>1357</v>
      </c>
      <c r="C3370" s="404">
        <v>1</v>
      </c>
      <c r="D3370" s="405">
        <f>6.3+3.2-0.2</f>
        <v>9.3000000000000007</v>
      </c>
      <c r="E3370" s="405">
        <v>4.8</v>
      </c>
      <c r="F3370" s="405"/>
      <c r="G3370" s="67">
        <f t="shared" si="90"/>
        <v>44.64</v>
      </c>
      <c r="H3370" s="929" t="s">
        <v>1442</v>
      </c>
    </row>
    <row r="3371" spans="1:10" ht="18" customHeight="1">
      <c r="A3371" s="960"/>
      <c r="B3371" s="64" t="s">
        <v>1456</v>
      </c>
      <c r="C3371" s="404"/>
      <c r="D3371" s="68"/>
      <c r="E3371" s="68"/>
      <c r="F3371" s="68"/>
      <c r="G3371" s="67" t="str">
        <f t="shared" si="90"/>
        <v xml:space="preserve"> </v>
      </c>
      <c r="H3371" s="929" t="s">
        <v>1442</v>
      </c>
      <c r="I3371" s="1133"/>
    </row>
    <row r="3372" spans="1:10" ht="18" customHeight="1">
      <c r="A3372" s="128"/>
      <c r="B3372" s="63" t="s">
        <v>942</v>
      </c>
      <c r="C3372" s="404">
        <v>1</v>
      </c>
      <c r="D3372" s="405">
        <f>6.45+6.4+6.4+3.25-1.15-1.15</f>
        <v>20.200000000000003</v>
      </c>
      <c r="E3372" s="567">
        <v>0.6</v>
      </c>
      <c r="F3372" s="68"/>
      <c r="G3372" s="67">
        <f t="shared" si="90"/>
        <v>12.12</v>
      </c>
      <c r="H3372" s="929" t="s">
        <v>1442</v>
      </c>
      <c r="I3372" s="1228"/>
    </row>
    <row r="3373" spans="1:10" ht="18" customHeight="1">
      <c r="A3373" s="128"/>
      <c r="B3373" s="63" t="s">
        <v>1086</v>
      </c>
      <c r="C3373" s="404">
        <v>1</v>
      </c>
      <c r="D3373" s="405">
        <f>6.45+6.4+6.4+3.25-1.15-1.15</f>
        <v>20.200000000000003</v>
      </c>
      <c r="E3373" s="567">
        <v>0.6</v>
      </c>
      <c r="F3373" s="68"/>
      <c r="G3373" s="67">
        <f t="shared" si="90"/>
        <v>12.12</v>
      </c>
      <c r="H3373" s="929" t="s">
        <v>1442</v>
      </c>
      <c r="I3373" s="1228"/>
    </row>
    <row r="3374" spans="1:10" ht="18" customHeight="1">
      <c r="A3374" s="128"/>
      <c r="B3374" s="63" t="s">
        <v>1291</v>
      </c>
      <c r="C3374" s="404">
        <v>2</v>
      </c>
      <c r="D3374" s="405">
        <f>2.2+2</f>
        <v>4.2</v>
      </c>
      <c r="E3374" s="567">
        <v>0.6</v>
      </c>
      <c r="F3374" s="68"/>
      <c r="G3374" s="67">
        <f t="shared" si="90"/>
        <v>5.04</v>
      </c>
      <c r="H3374" s="929" t="s">
        <v>1442</v>
      </c>
      <c r="I3374" s="1228"/>
    </row>
    <row r="3375" spans="1:10" ht="18" customHeight="1">
      <c r="A3375" s="128"/>
      <c r="B3375" s="63" t="s">
        <v>1292</v>
      </c>
      <c r="C3375" s="404">
        <v>2</v>
      </c>
      <c r="D3375" s="405">
        <f>2.2+2</f>
        <v>4.2</v>
      </c>
      <c r="E3375" s="567">
        <v>0.6</v>
      </c>
      <c r="F3375" s="68"/>
      <c r="G3375" s="67">
        <f t="shared" si="90"/>
        <v>5.04</v>
      </c>
      <c r="H3375" s="929" t="s">
        <v>1442</v>
      </c>
      <c r="I3375" s="1228"/>
    </row>
    <row r="3376" spans="1:10" ht="18" customHeight="1">
      <c r="A3376" s="128"/>
      <c r="B3376" s="63" t="s">
        <v>1293</v>
      </c>
      <c r="C3376" s="404">
        <v>1</v>
      </c>
      <c r="D3376" s="567">
        <v>10.91</v>
      </c>
      <c r="E3376" s="567">
        <v>0.6</v>
      </c>
      <c r="F3376" s="68"/>
      <c r="G3376" s="67">
        <f t="shared" si="90"/>
        <v>6.55</v>
      </c>
      <c r="H3376" s="929" t="s">
        <v>1442</v>
      </c>
      <c r="I3376" s="1228"/>
    </row>
    <row r="3377" spans="1:10" ht="18" customHeight="1">
      <c r="A3377" s="128"/>
      <c r="B3377" s="63" t="s">
        <v>1294</v>
      </c>
      <c r="C3377" s="404">
        <v>1</v>
      </c>
      <c r="D3377" s="567">
        <v>10.91</v>
      </c>
      <c r="E3377" s="567">
        <v>0.6</v>
      </c>
      <c r="F3377" s="68"/>
      <c r="G3377" s="67">
        <f t="shared" si="90"/>
        <v>6.55</v>
      </c>
      <c r="H3377" s="929" t="s">
        <v>1442</v>
      </c>
      <c r="I3377" s="1228"/>
    </row>
    <row r="3378" spans="1:10" ht="18" customHeight="1">
      <c r="A3378" s="128"/>
      <c r="B3378" s="63" t="s">
        <v>1295</v>
      </c>
      <c r="C3378" s="404">
        <v>1</v>
      </c>
      <c r="D3378" s="567">
        <v>14.275</v>
      </c>
      <c r="E3378" s="567">
        <v>0.6</v>
      </c>
      <c r="F3378" s="68"/>
      <c r="G3378" s="67">
        <f t="shared" si="90"/>
        <v>8.57</v>
      </c>
      <c r="H3378" s="929" t="s">
        <v>1442</v>
      </c>
      <c r="I3378" s="1228"/>
    </row>
    <row r="3379" spans="1:10" ht="18" customHeight="1">
      <c r="A3379" s="128"/>
      <c r="B3379" s="63" t="s">
        <v>1296</v>
      </c>
      <c r="C3379" s="404">
        <v>1</v>
      </c>
      <c r="D3379" s="567">
        <v>14.275</v>
      </c>
      <c r="E3379" s="567">
        <v>0.6</v>
      </c>
      <c r="F3379" s="68"/>
      <c r="G3379" s="67">
        <f t="shared" si="90"/>
        <v>8.57</v>
      </c>
      <c r="H3379" s="929" t="s">
        <v>1442</v>
      </c>
      <c r="I3379" s="1228"/>
    </row>
    <row r="3380" spans="1:10" ht="18" customHeight="1">
      <c r="A3380" s="128"/>
      <c r="B3380" s="63" t="s">
        <v>1113</v>
      </c>
      <c r="C3380" s="404">
        <v>1</v>
      </c>
      <c r="D3380" s="405">
        <f>3.2+6.45+3.25-1.025-1.075</f>
        <v>10.8</v>
      </c>
      <c r="E3380" s="567">
        <v>0.6</v>
      </c>
      <c r="F3380" s="68"/>
      <c r="G3380" s="67">
        <f t="shared" si="90"/>
        <v>6.48</v>
      </c>
      <c r="H3380" s="929" t="s">
        <v>1442</v>
      </c>
      <c r="I3380" s="1228"/>
    </row>
    <row r="3381" spans="1:10" ht="18" customHeight="1">
      <c r="A3381" s="128"/>
      <c r="B3381" s="63" t="s">
        <v>1297</v>
      </c>
      <c r="C3381" s="404">
        <v>1</v>
      </c>
      <c r="D3381" s="405">
        <f>3.2+6.45+3.25-1.025-1.075</f>
        <v>10.8</v>
      </c>
      <c r="E3381" s="567">
        <v>0.6</v>
      </c>
      <c r="F3381" s="68"/>
      <c r="G3381" s="67">
        <f t="shared" si="90"/>
        <v>6.48</v>
      </c>
      <c r="H3381" s="929" t="s">
        <v>1442</v>
      </c>
      <c r="I3381" s="1228"/>
    </row>
    <row r="3382" spans="1:10" ht="18" customHeight="1">
      <c r="A3382" s="128"/>
      <c r="B3382" s="63" t="s">
        <v>1111</v>
      </c>
      <c r="C3382" s="404">
        <v>1</v>
      </c>
      <c r="D3382" s="405">
        <f>3.2+6.45+6.45-1.025-1.05</f>
        <v>14.025</v>
      </c>
      <c r="E3382" s="567">
        <v>0.6</v>
      </c>
      <c r="F3382" s="68"/>
      <c r="G3382" s="67">
        <f t="shared" si="90"/>
        <v>8.42</v>
      </c>
      <c r="H3382" s="929" t="s">
        <v>1442</v>
      </c>
      <c r="I3382" s="1228"/>
    </row>
    <row r="3383" spans="1:10" ht="18" customHeight="1">
      <c r="A3383" s="128"/>
      <c r="B3383" s="63" t="s">
        <v>1112</v>
      </c>
      <c r="C3383" s="404">
        <v>1</v>
      </c>
      <c r="D3383" s="405">
        <f>3.2+6.45+6.45-1.025-1.05</f>
        <v>14.025</v>
      </c>
      <c r="E3383" s="567">
        <v>0.6</v>
      </c>
      <c r="F3383" s="68"/>
      <c r="G3383" s="67">
        <f t="shared" si="90"/>
        <v>8.42</v>
      </c>
      <c r="H3383" s="929" t="s">
        <v>1442</v>
      </c>
      <c r="I3383" s="1228"/>
    </row>
    <row r="3384" spans="1:10" ht="18" customHeight="1">
      <c r="A3384" s="75"/>
      <c r="B3384" s="406"/>
      <c r="C3384" s="70"/>
      <c r="D3384" s="68"/>
      <c r="E3384" s="68"/>
      <c r="F3384" s="68"/>
      <c r="G3384" s="68">
        <f t="shared" ref="G3384" si="91">PRODUCT(C3384:F3384)</f>
        <v>0</v>
      </c>
      <c r="H3384" s="929"/>
      <c r="I3384" s="1228"/>
    </row>
    <row r="3385" spans="1:10" ht="18" customHeight="1">
      <c r="A3385" s="932"/>
      <c r="B3385" s="842" t="s">
        <v>7</v>
      </c>
      <c r="C3385" s="875"/>
      <c r="D3385" s="874"/>
      <c r="E3385" s="874"/>
      <c r="F3385" s="874"/>
      <c r="G3385" s="842">
        <f>SUM(G3360:G3384)</f>
        <v>336.40000000000015</v>
      </c>
      <c r="H3385" s="945" t="s">
        <v>10</v>
      </c>
      <c r="I3385" s="1226" t="s">
        <v>487</v>
      </c>
    </row>
    <row r="3386" spans="1:10" ht="18" customHeight="1">
      <c r="A3386" s="354"/>
      <c r="B3386" s="64"/>
      <c r="C3386" s="70"/>
      <c r="D3386" s="68"/>
      <c r="E3386" s="68"/>
      <c r="F3386" s="68"/>
      <c r="G3386" s="67"/>
      <c r="H3386" s="929"/>
    </row>
    <row r="3387" spans="1:10" ht="18.75" customHeight="1">
      <c r="A3387" s="880" t="s">
        <v>489</v>
      </c>
      <c r="B3387" s="881" t="s">
        <v>1179</v>
      </c>
      <c r="C3387" s="70"/>
      <c r="D3387" s="67"/>
      <c r="E3387" s="67"/>
      <c r="F3387" s="67"/>
      <c r="G3387" s="67"/>
      <c r="H3387" s="929"/>
    </row>
    <row r="3388" spans="1:10" s="78" customFormat="1" ht="18" customHeight="1">
      <c r="A3388" s="75" t="s">
        <v>1280</v>
      </c>
      <c r="B3388" s="654" t="s">
        <v>2096</v>
      </c>
      <c r="C3388" s="70"/>
      <c r="D3388" s="68"/>
      <c r="E3388" s="68"/>
      <c r="F3388" s="68"/>
      <c r="G3388" s="68">
        <f>PRODUCT(C3388:F3388)</f>
        <v>0</v>
      </c>
      <c r="H3388" s="930"/>
      <c r="I3388" s="1227"/>
    </row>
    <row r="3389" spans="1:10" s="78" customFormat="1" ht="18" customHeight="1">
      <c r="A3389" s="75"/>
      <c r="B3389" s="655" t="s">
        <v>2097</v>
      </c>
      <c r="C3389" s="70">
        <v>158</v>
      </c>
      <c r="D3389" s="68">
        <v>1.4</v>
      </c>
      <c r="E3389" s="68">
        <v>0.2</v>
      </c>
      <c r="F3389" s="68">
        <v>0.15</v>
      </c>
      <c r="G3389" s="67">
        <f t="shared" ref="G3389:G3420" si="92">IF(C3389&lt;&gt;0,ROUND(PRODUCT(D3389:F3389)*C3389,2)," ")</f>
        <v>6.64</v>
      </c>
      <c r="H3389" s="930" t="s">
        <v>1280</v>
      </c>
      <c r="I3389" s="1227"/>
    </row>
    <row r="3390" spans="1:10" s="78" customFormat="1" ht="18" customHeight="1">
      <c r="A3390" s="75"/>
      <c r="B3390" s="655" t="s">
        <v>2098</v>
      </c>
      <c r="C3390" s="70">
        <v>21</v>
      </c>
      <c r="D3390" s="68">
        <v>1.4</v>
      </c>
      <c r="E3390" s="68">
        <v>0.2</v>
      </c>
      <c r="F3390" s="68">
        <v>0.15</v>
      </c>
      <c r="G3390" s="67">
        <f t="shared" si="92"/>
        <v>0.88</v>
      </c>
      <c r="H3390" s="930" t="s">
        <v>1280</v>
      </c>
      <c r="I3390" s="1227"/>
    </row>
    <row r="3391" spans="1:10" s="78" customFormat="1" ht="18" customHeight="1">
      <c r="A3391" s="75"/>
      <c r="B3391" s="655" t="s">
        <v>2099</v>
      </c>
      <c r="C3391" s="70">
        <v>6</v>
      </c>
      <c r="D3391" s="68">
        <v>3.25</v>
      </c>
      <c r="E3391" s="68">
        <v>0.2</v>
      </c>
      <c r="F3391" s="68">
        <v>0.15</v>
      </c>
      <c r="G3391" s="67">
        <f t="shared" si="92"/>
        <v>0.59</v>
      </c>
      <c r="H3391" s="930" t="s">
        <v>1280</v>
      </c>
      <c r="I3391" s="1227"/>
      <c r="J3391" s="220"/>
    </row>
    <row r="3392" spans="1:10" s="78" customFormat="1" ht="18" customHeight="1">
      <c r="A3392" s="75"/>
      <c r="B3392" s="655" t="s">
        <v>2100</v>
      </c>
      <c r="C3392" s="70">
        <v>1</v>
      </c>
      <c r="D3392" s="68">
        <v>2.9</v>
      </c>
      <c r="E3392" s="68">
        <v>0.2</v>
      </c>
      <c r="F3392" s="68">
        <v>0.15</v>
      </c>
      <c r="G3392" s="67">
        <f t="shared" si="92"/>
        <v>0.09</v>
      </c>
      <c r="H3392" s="930" t="s">
        <v>1280</v>
      </c>
      <c r="I3392" s="1227"/>
    </row>
    <row r="3393" spans="1:10" s="78" customFormat="1" ht="18" customHeight="1">
      <c r="A3393" s="75"/>
      <c r="B3393" s="655" t="s">
        <v>2101</v>
      </c>
      <c r="C3393" s="70">
        <v>8</v>
      </c>
      <c r="D3393" s="68">
        <v>2.25</v>
      </c>
      <c r="E3393" s="68">
        <v>0.2</v>
      </c>
      <c r="F3393" s="68">
        <v>0.15</v>
      </c>
      <c r="G3393" s="67">
        <f t="shared" si="92"/>
        <v>0.54</v>
      </c>
      <c r="H3393" s="930" t="s">
        <v>1280</v>
      </c>
      <c r="I3393" s="1227"/>
      <c r="J3393" s="220"/>
    </row>
    <row r="3394" spans="1:10" s="78" customFormat="1" ht="18" customHeight="1">
      <c r="A3394" s="75"/>
      <c r="B3394" s="655" t="s">
        <v>2102</v>
      </c>
      <c r="C3394" s="70">
        <v>1</v>
      </c>
      <c r="D3394" s="68">
        <v>5.3</v>
      </c>
      <c r="E3394" s="68">
        <v>0.2</v>
      </c>
      <c r="F3394" s="68">
        <v>0.15</v>
      </c>
      <c r="G3394" s="67">
        <f t="shared" si="92"/>
        <v>0.16</v>
      </c>
      <c r="H3394" s="930" t="s">
        <v>1280</v>
      </c>
      <c r="I3394" s="1227"/>
    </row>
    <row r="3395" spans="1:10" s="78" customFormat="1" ht="18" customHeight="1">
      <c r="A3395" s="75"/>
      <c r="B3395" s="655" t="s">
        <v>2103</v>
      </c>
      <c r="C3395" s="70">
        <v>2</v>
      </c>
      <c r="D3395" s="68">
        <v>3.4</v>
      </c>
      <c r="E3395" s="68">
        <v>0.2</v>
      </c>
      <c r="F3395" s="68">
        <v>0.15</v>
      </c>
      <c r="G3395" s="67">
        <f t="shared" si="92"/>
        <v>0.2</v>
      </c>
      <c r="H3395" s="930" t="s">
        <v>1280</v>
      </c>
      <c r="I3395" s="1227"/>
      <c r="J3395" s="220"/>
    </row>
    <row r="3396" spans="1:10" s="78" customFormat="1" ht="18" customHeight="1">
      <c r="A3396" s="75"/>
      <c r="B3396" s="655" t="s">
        <v>2104</v>
      </c>
      <c r="C3396" s="70">
        <v>8</v>
      </c>
      <c r="D3396" s="68">
        <v>1.9</v>
      </c>
      <c r="E3396" s="68">
        <v>0.2</v>
      </c>
      <c r="F3396" s="68">
        <v>0.15</v>
      </c>
      <c r="G3396" s="67">
        <f t="shared" si="92"/>
        <v>0.46</v>
      </c>
      <c r="H3396" s="930" t="s">
        <v>1280</v>
      </c>
      <c r="I3396" s="1227"/>
    </row>
    <row r="3397" spans="1:10" s="78" customFormat="1" ht="18" customHeight="1">
      <c r="A3397" s="75"/>
      <c r="B3397" s="655" t="s">
        <v>2105</v>
      </c>
      <c r="C3397" s="70">
        <v>4</v>
      </c>
      <c r="D3397" s="68">
        <v>1</v>
      </c>
      <c r="E3397" s="68">
        <v>0.2</v>
      </c>
      <c r="F3397" s="68">
        <v>0.15</v>
      </c>
      <c r="G3397" s="67">
        <f t="shared" si="92"/>
        <v>0.12</v>
      </c>
      <c r="H3397" s="930" t="s">
        <v>1280</v>
      </c>
      <c r="I3397" s="1227"/>
      <c r="J3397" s="220"/>
    </row>
    <row r="3398" spans="1:10" s="78" customFormat="1" ht="18" customHeight="1">
      <c r="A3398" s="75"/>
      <c r="B3398" s="655" t="s">
        <v>2106</v>
      </c>
      <c r="C3398" s="70">
        <v>2</v>
      </c>
      <c r="D3398" s="68">
        <v>1.2</v>
      </c>
      <c r="E3398" s="68">
        <v>0.2</v>
      </c>
      <c r="F3398" s="68">
        <v>0.15</v>
      </c>
      <c r="G3398" s="67">
        <f t="shared" si="92"/>
        <v>7.0000000000000007E-2</v>
      </c>
      <c r="H3398" s="930" t="s">
        <v>1280</v>
      </c>
      <c r="I3398" s="1227"/>
      <c r="J3398" s="220"/>
    </row>
    <row r="3399" spans="1:10" s="78" customFormat="1" ht="18" customHeight="1">
      <c r="A3399" s="75"/>
      <c r="B3399" s="655" t="s">
        <v>1495</v>
      </c>
      <c r="C3399" s="70">
        <v>16</v>
      </c>
      <c r="D3399" s="68">
        <v>1.4</v>
      </c>
      <c r="E3399" s="68">
        <v>0.2</v>
      </c>
      <c r="F3399" s="68">
        <v>0.15</v>
      </c>
      <c r="G3399" s="67">
        <f t="shared" si="92"/>
        <v>0.67</v>
      </c>
      <c r="H3399" s="930" t="s">
        <v>1280</v>
      </c>
      <c r="I3399" s="1227"/>
    </row>
    <row r="3400" spans="1:10" s="78" customFormat="1" ht="18" customHeight="1">
      <c r="A3400" s="75"/>
      <c r="B3400" s="655" t="s">
        <v>2107</v>
      </c>
      <c r="C3400" s="70">
        <v>1</v>
      </c>
      <c r="D3400" s="68">
        <v>2.2000000000000002</v>
      </c>
      <c r="E3400" s="68">
        <v>0.2</v>
      </c>
      <c r="F3400" s="68">
        <v>0.15</v>
      </c>
      <c r="G3400" s="67">
        <f t="shared" si="92"/>
        <v>7.0000000000000007E-2</v>
      </c>
      <c r="H3400" s="930" t="s">
        <v>1280</v>
      </c>
      <c r="I3400" s="1227"/>
      <c r="J3400" s="220"/>
    </row>
    <row r="3401" spans="1:10" s="78" customFormat="1" ht="18" customHeight="1">
      <c r="A3401" s="75"/>
      <c r="B3401" s="655" t="s">
        <v>2108</v>
      </c>
      <c r="C3401" s="70">
        <v>1</v>
      </c>
      <c r="D3401" s="68">
        <v>1.6</v>
      </c>
      <c r="E3401" s="68">
        <v>0.115</v>
      </c>
      <c r="F3401" s="68">
        <v>0.15</v>
      </c>
      <c r="G3401" s="67">
        <f t="shared" si="92"/>
        <v>0.03</v>
      </c>
      <c r="H3401" s="930" t="s">
        <v>1280</v>
      </c>
      <c r="I3401" s="1227"/>
    </row>
    <row r="3402" spans="1:10" s="78" customFormat="1" ht="18" customHeight="1">
      <c r="A3402" s="75"/>
      <c r="B3402" s="655" t="s">
        <v>2091</v>
      </c>
      <c r="C3402" s="70">
        <v>9</v>
      </c>
      <c r="D3402" s="68">
        <v>2.2000000000000002</v>
      </c>
      <c r="E3402" s="68">
        <v>0.2</v>
      </c>
      <c r="F3402" s="68">
        <v>0.15</v>
      </c>
      <c r="G3402" s="67">
        <f t="shared" si="92"/>
        <v>0.59</v>
      </c>
      <c r="H3402" s="930" t="s">
        <v>1280</v>
      </c>
      <c r="I3402" s="1227"/>
      <c r="J3402" s="220"/>
    </row>
    <row r="3403" spans="1:10" s="78" customFormat="1" ht="18" customHeight="1">
      <c r="A3403" s="75"/>
      <c r="B3403" s="655" t="s">
        <v>2094</v>
      </c>
      <c r="C3403" s="70">
        <v>7</v>
      </c>
      <c r="D3403" s="68">
        <v>1.4</v>
      </c>
      <c r="E3403" s="68">
        <v>0.2</v>
      </c>
      <c r="F3403" s="68">
        <v>0.15</v>
      </c>
      <c r="G3403" s="67">
        <f t="shared" si="92"/>
        <v>0.28999999999999998</v>
      </c>
      <c r="H3403" s="930" t="s">
        <v>1280</v>
      </c>
      <c r="I3403" s="1227"/>
    </row>
    <row r="3404" spans="1:10" s="78" customFormat="1" ht="18" customHeight="1">
      <c r="A3404" s="75"/>
      <c r="B3404" s="655" t="s">
        <v>2109</v>
      </c>
      <c r="C3404" s="70">
        <v>9</v>
      </c>
      <c r="D3404" s="68">
        <v>1.6</v>
      </c>
      <c r="E3404" s="68">
        <v>0.2</v>
      </c>
      <c r="F3404" s="68">
        <v>0.15</v>
      </c>
      <c r="G3404" s="67">
        <f t="shared" si="92"/>
        <v>0.43</v>
      </c>
      <c r="H3404" s="930" t="s">
        <v>1280</v>
      </c>
      <c r="I3404" s="1227"/>
    </row>
    <row r="3405" spans="1:10" s="78" customFormat="1" ht="18" customHeight="1">
      <c r="A3405" s="75"/>
      <c r="B3405" s="655" t="s">
        <v>2095</v>
      </c>
      <c r="C3405" s="70">
        <v>10</v>
      </c>
      <c r="D3405" s="68">
        <v>1.3</v>
      </c>
      <c r="E3405" s="68">
        <v>0.2</v>
      </c>
      <c r="F3405" s="68">
        <v>0.15</v>
      </c>
      <c r="G3405" s="67">
        <f t="shared" si="92"/>
        <v>0.39</v>
      </c>
      <c r="H3405" s="930" t="s">
        <v>1280</v>
      </c>
      <c r="I3405" s="1227"/>
      <c r="J3405" s="220"/>
    </row>
    <row r="3406" spans="1:10" s="78" customFormat="1" ht="18" customHeight="1">
      <c r="A3406" s="75"/>
      <c r="B3406" s="655" t="s">
        <v>2093</v>
      </c>
      <c r="C3406" s="70">
        <v>3</v>
      </c>
      <c r="D3406" s="68">
        <v>1.6</v>
      </c>
      <c r="E3406" s="68">
        <v>0.2</v>
      </c>
      <c r="F3406" s="68">
        <v>0.15</v>
      </c>
      <c r="G3406" s="67">
        <f t="shared" si="92"/>
        <v>0.14000000000000001</v>
      </c>
      <c r="H3406" s="930" t="s">
        <v>1280</v>
      </c>
      <c r="I3406" s="1227"/>
      <c r="J3406" s="220"/>
    </row>
    <row r="3407" spans="1:10" s="78" customFormat="1" ht="18" customHeight="1">
      <c r="A3407" s="75"/>
      <c r="B3407" s="655" t="s">
        <v>2092</v>
      </c>
      <c r="C3407" s="70">
        <v>9</v>
      </c>
      <c r="D3407" s="68">
        <v>1.6</v>
      </c>
      <c r="E3407" s="68">
        <v>0.2</v>
      </c>
      <c r="F3407" s="68">
        <v>0.15</v>
      </c>
      <c r="G3407" s="67">
        <f t="shared" si="92"/>
        <v>0.43</v>
      </c>
      <c r="H3407" s="930" t="s">
        <v>1280</v>
      </c>
      <c r="I3407" s="1227"/>
    </row>
    <row r="3408" spans="1:10" s="78" customFormat="1" ht="18" customHeight="1">
      <c r="A3408" s="75"/>
      <c r="B3408" s="655" t="s">
        <v>2092</v>
      </c>
      <c r="C3408" s="70">
        <v>4</v>
      </c>
      <c r="D3408" s="68">
        <v>1.6</v>
      </c>
      <c r="E3408" s="68">
        <v>0.115</v>
      </c>
      <c r="F3408" s="68">
        <v>0.15</v>
      </c>
      <c r="G3408" s="67">
        <f t="shared" si="92"/>
        <v>0.11</v>
      </c>
      <c r="H3408" s="930" t="s">
        <v>1280</v>
      </c>
      <c r="I3408" s="1227"/>
    </row>
    <row r="3409" spans="1:10" s="78" customFormat="1" ht="18" customHeight="1">
      <c r="A3409" s="75"/>
      <c r="B3409" s="655" t="s">
        <v>2110</v>
      </c>
      <c r="C3409" s="70">
        <v>3</v>
      </c>
      <c r="D3409" s="68">
        <v>1.2</v>
      </c>
      <c r="E3409" s="68">
        <v>0.115</v>
      </c>
      <c r="F3409" s="68">
        <v>0.15</v>
      </c>
      <c r="G3409" s="67">
        <f t="shared" si="92"/>
        <v>0.06</v>
      </c>
      <c r="H3409" s="930" t="s">
        <v>1280</v>
      </c>
      <c r="I3409" s="1227"/>
    </row>
    <row r="3410" spans="1:10" s="78" customFormat="1" ht="18" customHeight="1">
      <c r="A3410" s="75"/>
      <c r="B3410" s="655" t="s">
        <v>2110</v>
      </c>
      <c r="C3410" s="70">
        <v>1</v>
      </c>
      <c r="D3410" s="68">
        <v>1.2</v>
      </c>
      <c r="E3410" s="68">
        <v>0.2</v>
      </c>
      <c r="F3410" s="68">
        <v>0.15</v>
      </c>
      <c r="G3410" s="67">
        <f t="shared" si="92"/>
        <v>0.04</v>
      </c>
      <c r="H3410" s="930" t="s">
        <v>1280</v>
      </c>
      <c r="I3410" s="1227"/>
    </row>
    <row r="3411" spans="1:10" s="78" customFormat="1" ht="18" customHeight="1">
      <c r="A3411" s="75"/>
      <c r="B3411" s="655" t="s">
        <v>2111</v>
      </c>
      <c r="C3411" s="70">
        <v>6</v>
      </c>
      <c r="D3411" s="68">
        <v>1.2</v>
      </c>
      <c r="E3411" s="68">
        <v>0.2</v>
      </c>
      <c r="F3411" s="68">
        <v>0.15</v>
      </c>
      <c r="G3411" s="67">
        <f t="shared" si="92"/>
        <v>0.22</v>
      </c>
      <c r="H3411" s="930" t="s">
        <v>1280</v>
      </c>
      <c r="I3411" s="1227"/>
      <c r="J3411" s="220"/>
    </row>
    <row r="3412" spans="1:10" s="78" customFormat="1" ht="18" customHeight="1">
      <c r="A3412" s="75"/>
      <c r="B3412" s="655" t="s">
        <v>2112</v>
      </c>
      <c r="C3412" s="70">
        <v>1</v>
      </c>
      <c r="D3412" s="68">
        <v>1.3</v>
      </c>
      <c r="E3412" s="68">
        <v>0.2</v>
      </c>
      <c r="F3412" s="68">
        <v>0.15</v>
      </c>
      <c r="G3412" s="67">
        <f t="shared" si="92"/>
        <v>0.04</v>
      </c>
      <c r="H3412" s="930" t="s">
        <v>1280</v>
      </c>
      <c r="I3412" s="1227"/>
    </row>
    <row r="3413" spans="1:10" s="78" customFormat="1" ht="18" customHeight="1">
      <c r="A3413" s="75"/>
      <c r="B3413" s="654" t="s">
        <v>2113</v>
      </c>
      <c r="C3413" s="70"/>
      <c r="D3413" s="68"/>
      <c r="E3413" s="68"/>
      <c r="F3413" s="68"/>
      <c r="G3413" s="67" t="str">
        <f t="shared" si="92"/>
        <v xml:space="preserve"> </v>
      </c>
      <c r="H3413" s="930" t="s">
        <v>1280</v>
      </c>
      <c r="I3413" s="1227"/>
    </row>
    <row r="3414" spans="1:10" s="78" customFormat="1" ht="18" customHeight="1">
      <c r="A3414" s="75"/>
      <c r="B3414" s="655" t="s">
        <v>2114</v>
      </c>
      <c r="C3414" s="70">
        <v>4</v>
      </c>
      <c r="D3414" s="68">
        <v>1.4</v>
      </c>
      <c r="E3414" s="68">
        <v>0.2</v>
      </c>
      <c r="F3414" s="68">
        <v>0.15</v>
      </c>
      <c r="G3414" s="67">
        <f t="shared" si="92"/>
        <v>0.17</v>
      </c>
      <c r="H3414" s="930" t="s">
        <v>1280</v>
      </c>
      <c r="I3414" s="1227"/>
    </row>
    <row r="3415" spans="1:10" s="78" customFormat="1" ht="18" customHeight="1">
      <c r="A3415" s="75"/>
      <c r="B3415" s="655" t="s">
        <v>2115</v>
      </c>
      <c r="C3415" s="70">
        <v>6</v>
      </c>
      <c r="D3415" s="68">
        <v>1.9</v>
      </c>
      <c r="E3415" s="68">
        <v>0.2</v>
      </c>
      <c r="F3415" s="68">
        <v>0.15</v>
      </c>
      <c r="G3415" s="67">
        <f t="shared" si="92"/>
        <v>0.34</v>
      </c>
      <c r="H3415" s="930" t="s">
        <v>1280</v>
      </c>
      <c r="I3415" s="1227"/>
    </row>
    <row r="3416" spans="1:10" s="78" customFormat="1" ht="18" customHeight="1">
      <c r="A3416" s="75"/>
      <c r="B3416" s="655" t="s">
        <v>2116</v>
      </c>
      <c r="C3416" s="70">
        <v>6</v>
      </c>
      <c r="D3416" s="68">
        <v>1.75</v>
      </c>
      <c r="E3416" s="68">
        <v>0.2</v>
      </c>
      <c r="F3416" s="68">
        <v>0.15</v>
      </c>
      <c r="G3416" s="67">
        <f t="shared" si="92"/>
        <v>0.32</v>
      </c>
      <c r="H3416" s="930" t="s">
        <v>1280</v>
      </c>
      <c r="I3416" s="1227"/>
    </row>
    <row r="3417" spans="1:10" s="78" customFormat="1" ht="18" customHeight="1">
      <c r="A3417" s="75"/>
      <c r="B3417" s="655" t="s">
        <v>2117</v>
      </c>
      <c r="C3417" s="70">
        <v>1</v>
      </c>
      <c r="D3417" s="68">
        <v>2.9249999999999998</v>
      </c>
      <c r="E3417" s="68">
        <v>0.2</v>
      </c>
      <c r="F3417" s="68">
        <v>0.15</v>
      </c>
      <c r="G3417" s="67">
        <f t="shared" si="92"/>
        <v>0.09</v>
      </c>
      <c r="H3417" s="930" t="s">
        <v>1280</v>
      </c>
      <c r="I3417" s="1227"/>
    </row>
    <row r="3418" spans="1:10" s="78" customFormat="1" ht="18" customHeight="1">
      <c r="A3418" s="75"/>
      <c r="B3418" s="655" t="s">
        <v>2118</v>
      </c>
      <c r="C3418" s="70">
        <v>1</v>
      </c>
      <c r="D3418" s="68">
        <v>2.0249999999999999</v>
      </c>
      <c r="E3418" s="68">
        <v>0.2</v>
      </c>
      <c r="F3418" s="68">
        <v>0.15</v>
      </c>
      <c r="G3418" s="67">
        <f t="shared" si="92"/>
        <v>0.06</v>
      </c>
      <c r="H3418" s="930" t="s">
        <v>1280</v>
      </c>
      <c r="I3418" s="1227"/>
    </row>
    <row r="3419" spans="1:10" s="78" customFormat="1" ht="18" customHeight="1">
      <c r="A3419" s="75"/>
      <c r="B3419" s="961" t="s">
        <v>2119</v>
      </c>
      <c r="C3419" s="70">
        <v>1</v>
      </c>
      <c r="D3419" s="68">
        <v>1.4</v>
      </c>
      <c r="E3419" s="68">
        <v>0.115</v>
      </c>
      <c r="F3419" s="68">
        <v>0.15</v>
      </c>
      <c r="G3419" s="67">
        <f t="shared" si="92"/>
        <v>0.02</v>
      </c>
      <c r="H3419" s="930" t="s">
        <v>1280</v>
      </c>
      <c r="I3419" s="1227"/>
    </row>
    <row r="3420" spans="1:10" s="78" customFormat="1" ht="18" customHeight="1">
      <c r="A3420" s="75"/>
      <c r="B3420" s="961" t="s">
        <v>2120</v>
      </c>
      <c r="C3420" s="70">
        <v>12</v>
      </c>
      <c r="D3420" s="68">
        <v>1.6</v>
      </c>
      <c r="E3420" s="68">
        <v>0.2</v>
      </c>
      <c r="F3420" s="68">
        <v>0.15</v>
      </c>
      <c r="G3420" s="67">
        <f t="shared" si="92"/>
        <v>0.57999999999999996</v>
      </c>
      <c r="H3420" s="930" t="s">
        <v>1280</v>
      </c>
      <c r="I3420" s="1227"/>
    </row>
    <row r="3421" spans="1:10" ht="18" customHeight="1">
      <c r="A3421" s="380"/>
      <c r="B3421" s="80" t="s">
        <v>2188</v>
      </c>
      <c r="C3421" s="540"/>
      <c r="D3421" s="539"/>
      <c r="E3421" s="539"/>
      <c r="F3421" s="539"/>
      <c r="G3421" s="842">
        <f>SUM(G3388:G3420)</f>
        <v>14.839999999999996</v>
      </c>
      <c r="H3421" s="945" t="s">
        <v>347</v>
      </c>
      <c r="I3421" s="1226" t="s">
        <v>489</v>
      </c>
    </row>
    <row r="3422" spans="1:10" ht="18" customHeight="1">
      <c r="A3422" s="354"/>
      <c r="B3422" s="64"/>
      <c r="C3422" s="70"/>
      <c r="D3422" s="68"/>
      <c r="E3422" s="68"/>
      <c r="F3422" s="68"/>
      <c r="G3422" s="68"/>
      <c r="H3422" s="929"/>
    </row>
    <row r="3423" spans="1:10" ht="24.95" customHeight="1">
      <c r="A3423" s="624" t="s">
        <v>497</v>
      </c>
      <c r="B3423" s="656" t="s">
        <v>496</v>
      </c>
      <c r="C3423" s="70"/>
      <c r="D3423" s="68"/>
      <c r="E3423" s="68"/>
      <c r="F3423" s="68"/>
      <c r="G3423" s="68"/>
      <c r="H3423" s="929"/>
    </row>
    <row r="3424" spans="1:10" ht="18" customHeight="1">
      <c r="A3424" s="354" t="s">
        <v>1303</v>
      </c>
      <c r="B3424" s="607" t="s">
        <v>1145</v>
      </c>
      <c r="C3424" s="70"/>
      <c r="D3424" s="67"/>
      <c r="E3424" s="67"/>
      <c r="F3424" s="67"/>
      <c r="G3424" s="68"/>
      <c r="H3424" s="929"/>
    </row>
    <row r="3425" spans="1:9" ht="18" customHeight="1">
      <c r="A3425" s="354"/>
      <c r="B3425" s="406" t="s">
        <v>2189</v>
      </c>
      <c r="C3425" s="70">
        <v>32</v>
      </c>
      <c r="D3425" s="68">
        <v>0.6</v>
      </c>
      <c r="E3425" s="68"/>
      <c r="F3425" s="68">
        <v>1.7849999999999999</v>
      </c>
      <c r="G3425" s="67">
        <f t="shared" ref="G3425:G3437" si="93">IF(C3425&lt;&gt;0,ROUND(PRODUCT(D3425:F3425)*C3425,2)," ")</f>
        <v>34.270000000000003</v>
      </c>
      <c r="H3425" s="929" t="s">
        <v>1303</v>
      </c>
    </row>
    <row r="3426" spans="1:9" ht="18" customHeight="1">
      <c r="A3426" s="354"/>
      <c r="B3426" s="406" t="s">
        <v>2190</v>
      </c>
      <c r="C3426" s="70">
        <v>24</v>
      </c>
      <c r="D3426" s="67">
        <v>1.825</v>
      </c>
      <c r="E3426" s="67"/>
      <c r="F3426" s="67">
        <v>1.5</v>
      </c>
      <c r="G3426" s="67">
        <f t="shared" si="93"/>
        <v>65.7</v>
      </c>
      <c r="H3426" s="929" t="s">
        <v>1303</v>
      </c>
    </row>
    <row r="3427" spans="1:9" ht="18" customHeight="1">
      <c r="A3427" s="354"/>
      <c r="B3427" s="406" t="s">
        <v>2191</v>
      </c>
      <c r="C3427" s="70">
        <v>8</v>
      </c>
      <c r="D3427" s="68">
        <v>2.5</v>
      </c>
      <c r="E3427" s="68"/>
      <c r="F3427" s="68">
        <v>1.83</v>
      </c>
      <c r="G3427" s="67">
        <f t="shared" si="93"/>
        <v>36.6</v>
      </c>
      <c r="H3427" s="929" t="s">
        <v>1303</v>
      </c>
    </row>
    <row r="3428" spans="1:9" ht="18" customHeight="1">
      <c r="A3428" s="354"/>
      <c r="B3428" s="406"/>
      <c r="C3428" s="70"/>
      <c r="D3428" s="67"/>
      <c r="E3428" s="67"/>
      <c r="F3428" s="67"/>
      <c r="G3428" s="67" t="str">
        <f t="shared" si="93"/>
        <v xml:space="preserve"> </v>
      </c>
      <c r="H3428" s="929" t="s">
        <v>1303</v>
      </c>
    </row>
    <row r="3429" spans="1:9" ht="18" customHeight="1">
      <c r="A3429" s="354"/>
      <c r="B3429" s="607" t="s">
        <v>2192</v>
      </c>
      <c r="C3429" s="70"/>
      <c r="D3429" s="68"/>
      <c r="E3429" s="68"/>
      <c r="F3429" s="68"/>
      <c r="G3429" s="67" t="str">
        <f t="shared" si="93"/>
        <v xml:space="preserve"> </v>
      </c>
      <c r="H3429" s="929" t="s">
        <v>1303</v>
      </c>
    </row>
    <row r="3430" spans="1:9" ht="18" customHeight="1">
      <c r="A3430" s="354"/>
      <c r="B3430" s="406" t="s">
        <v>2189</v>
      </c>
      <c r="C3430" s="70">
        <v>32</v>
      </c>
      <c r="D3430" s="68">
        <v>0.6</v>
      </c>
      <c r="E3430" s="68"/>
      <c r="F3430" s="68">
        <v>1.7849999999999999</v>
      </c>
      <c r="G3430" s="67">
        <f t="shared" si="93"/>
        <v>34.270000000000003</v>
      </c>
      <c r="H3430" s="929" t="s">
        <v>1303</v>
      </c>
    </row>
    <row r="3431" spans="1:9" ht="18" customHeight="1">
      <c r="A3431" s="354"/>
      <c r="B3431" s="406" t="s">
        <v>2190</v>
      </c>
      <c r="C3431" s="70">
        <v>24</v>
      </c>
      <c r="D3431" s="67">
        <v>1.825</v>
      </c>
      <c r="E3431" s="67"/>
      <c r="F3431" s="67">
        <v>1.5</v>
      </c>
      <c r="G3431" s="67">
        <f t="shared" si="93"/>
        <v>65.7</v>
      </c>
      <c r="H3431" s="929" t="s">
        <v>1303</v>
      </c>
    </row>
    <row r="3432" spans="1:9" ht="18" customHeight="1">
      <c r="A3432" s="354"/>
      <c r="B3432" s="406" t="s">
        <v>2191</v>
      </c>
      <c r="C3432" s="70">
        <v>8</v>
      </c>
      <c r="D3432" s="68">
        <v>2.5</v>
      </c>
      <c r="E3432" s="68"/>
      <c r="F3432" s="68">
        <v>1.83</v>
      </c>
      <c r="G3432" s="67">
        <f t="shared" si="93"/>
        <v>36.6</v>
      </c>
      <c r="H3432" s="929" t="s">
        <v>1303</v>
      </c>
    </row>
    <row r="3433" spans="1:9" ht="18" customHeight="1">
      <c r="A3433" s="354"/>
      <c r="B3433" s="607"/>
      <c r="C3433" s="70"/>
      <c r="D3433" s="68"/>
      <c r="E3433" s="68"/>
      <c r="F3433" s="68"/>
      <c r="G3433" s="67" t="str">
        <f t="shared" si="93"/>
        <v xml:space="preserve"> </v>
      </c>
      <c r="H3433" s="929" t="s">
        <v>1303</v>
      </c>
    </row>
    <row r="3434" spans="1:9" ht="18" customHeight="1">
      <c r="A3434" s="354"/>
      <c r="B3434" s="607" t="s">
        <v>2193</v>
      </c>
      <c r="C3434" s="70"/>
      <c r="D3434" s="68"/>
      <c r="E3434" s="68"/>
      <c r="F3434" s="68"/>
      <c r="G3434" s="67" t="str">
        <f t="shared" si="93"/>
        <v xml:space="preserve"> </v>
      </c>
      <c r="H3434" s="929" t="s">
        <v>1303</v>
      </c>
    </row>
    <row r="3435" spans="1:9" ht="18" customHeight="1">
      <c r="A3435" s="354"/>
      <c r="B3435" s="406" t="s">
        <v>2189</v>
      </c>
      <c r="C3435" s="70">
        <v>32</v>
      </c>
      <c r="D3435" s="68">
        <v>0.6</v>
      </c>
      <c r="E3435" s="68"/>
      <c r="F3435" s="68">
        <v>1.7849999999999999</v>
      </c>
      <c r="G3435" s="67">
        <f t="shared" si="93"/>
        <v>34.270000000000003</v>
      </c>
      <c r="H3435" s="929" t="s">
        <v>1303</v>
      </c>
    </row>
    <row r="3436" spans="1:9" ht="18" customHeight="1">
      <c r="A3436" s="354"/>
      <c r="B3436" s="406" t="s">
        <v>2190</v>
      </c>
      <c r="C3436" s="70">
        <v>24</v>
      </c>
      <c r="D3436" s="67">
        <v>1.825</v>
      </c>
      <c r="E3436" s="67"/>
      <c r="F3436" s="67">
        <v>1.5</v>
      </c>
      <c r="G3436" s="67">
        <f t="shared" si="93"/>
        <v>65.7</v>
      </c>
      <c r="H3436" s="929" t="s">
        <v>1303</v>
      </c>
    </row>
    <row r="3437" spans="1:9" ht="18" customHeight="1">
      <c r="A3437" s="354"/>
      <c r="B3437" s="406" t="s">
        <v>2191</v>
      </c>
      <c r="C3437" s="70">
        <v>8</v>
      </c>
      <c r="D3437" s="68">
        <v>2.5</v>
      </c>
      <c r="E3437" s="68"/>
      <c r="F3437" s="68">
        <v>1.83</v>
      </c>
      <c r="G3437" s="67">
        <f t="shared" si="93"/>
        <v>36.6</v>
      </c>
      <c r="H3437" s="929" t="s">
        <v>1303</v>
      </c>
    </row>
    <row r="3438" spans="1:9" ht="18" customHeight="1">
      <c r="A3438" s="380"/>
      <c r="B3438" s="387" t="s">
        <v>2188</v>
      </c>
      <c r="C3438" s="712"/>
      <c r="D3438" s="713"/>
      <c r="E3438" s="713"/>
      <c r="F3438" s="713"/>
      <c r="G3438" s="713">
        <f>SUM(G3425:G3437)</f>
        <v>409.71000000000004</v>
      </c>
      <c r="H3438" s="945" t="s">
        <v>350</v>
      </c>
      <c r="I3438" s="1226" t="s">
        <v>497</v>
      </c>
    </row>
    <row r="3439" spans="1:9" ht="18" customHeight="1">
      <c r="A3439" s="354"/>
      <c r="B3439" s="607"/>
      <c r="C3439" s="410"/>
      <c r="D3439" s="352"/>
      <c r="E3439" s="352"/>
      <c r="F3439" s="352"/>
      <c r="G3439" s="615"/>
      <c r="H3439" s="929"/>
    </row>
    <row r="3440" spans="1:9" ht="18" customHeight="1">
      <c r="A3440" s="380">
        <v>11.1</v>
      </c>
      <c r="B3440" s="387" t="s">
        <v>508</v>
      </c>
      <c r="C3440" s="70"/>
      <c r="D3440" s="67"/>
      <c r="E3440" s="67"/>
      <c r="F3440" s="67"/>
      <c r="G3440" s="67"/>
      <c r="H3440" s="929"/>
    </row>
    <row r="3441" spans="1:9" ht="14.25">
      <c r="A3441" s="354" t="s">
        <v>1909</v>
      </c>
      <c r="B3441" s="64" t="s">
        <v>1925</v>
      </c>
      <c r="C3441" s="70"/>
      <c r="D3441" s="68"/>
      <c r="E3441" s="68"/>
      <c r="F3441" s="68"/>
      <c r="G3441" s="68"/>
      <c r="H3441" s="929"/>
    </row>
    <row r="3442" spans="1:9" ht="14.25">
      <c r="A3442" s="354" t="s">
        <v>1909</v>
      </c>
      <c r="B3442" s="64" t="s">
        <v>1926</v>
      </c>
      <c r="C3442" s="70"/>
      <c r="D3442" s="68"/>
      <c r="E3442" s="68"/>
      <c r="F3442" s="68"/>
      <c r="G3442" s="68">
        <f t="shared" ref="G3442" si="94">PRODUCT(C3442:F3442)</f>
        <v>0</v>
      </c>
      <c r="H3442" s="929"/>
    </row>
    <row r="3443" spans="1:9" s="78" customFormat="1" ht="14.25">
      <c r="A3443" s="354" t="s">
        <v>1909</v>
      </c>
      <c r="B3443" s="356" t="s">
        <v>1927</v>
      </c>
      <c r="C3443" s="76">
        <v>1</v>
      </c>
      <c r="D3443" s="77">
        <f>0.7+4.9+0.7-0.13-0.13+0.3+0.3</f>
        <v>6.6400000000000006</v>
      </c>
      <c r="E3443" s="68">
        <v>2.7</v>
      </c>
      <c r="F3443" s="68"/>
      <c r="G3443" s="67">
        <f t="shared" ref="G3443:G3471" si="95">IF(C3443&lt;&gt;0,ROUND(PRODUCT(D3443:F3443)*C3443,2)," ")</f>
        <v>17.93</v>
      </c>
      <c r="H3443" s="930"/>
      <c r="I3443" s="1241"/>
    </row>
    <row r="3444" spans="1:9" ht="14.25">
      <c r="A3444" s="354" t="s">
        <v>1909</v>
      </c>
      <c r="B3444" s="356" t="s">
        <v>1928</v>
      </c>
      <c r="C3444" s="76">
        <v>1</v>
      </c>
      <c r="D3444" s="77">
        <f>0.7+4.9+0.7-0.13-0.13+0.3+0.3</f>
        <v>6.6400000000000006</v>
      </c>
      <c r="E3444" s="68">
        <f>1.525+3.075+1.6-0.13+0.3+0.3</f>
        <v>6.669999999999999</v>
      </c>
      <c r="F3444" s="68"/>
      <c r="G3444" s="67">
        <f t="shared" si="95"/>
        <v>44.29</v>
      </c>
      <c r="H3444" s="929"/>
      <c r="I3444" s="1241"/>
    </row>
    <row r="3445" spans="1:9" s="78" customFormat="1" ht="14.25">
      <c r="A3445" s="354" t="s">
        <v>1909</v>
      </c>
      <c r="B3445" s="356" t="s">
        <v>1929</v>
      </c>
      <c r="C3445" s="76">
        <v>1</v>
      </c>
      <c r="D3445" s="77">
        <v>6.82</v>
      </c>
      <c r="E3445" s="68">
        <v>2.4049999999999998</v>
      </c>
      <c r="F3445" s="68"/>
      <c r="G3445" s="67">
        <f t="shared" si="95"/>
        <v>16.399999999999999</v>
      </c>
      <c r="H3445" s="930"/>
      <c r="I3445" s="1241"/>
    </row>
    <row r="3446" spans="1:9" s="78" customFormat="1" ht="14.25">
      <c r="A3446" s="354" t="s">
        <v>1909</v>
      </c>
      <c r="B3446" s="356" t="s">
        <v>1930</v>
      </c>
      <c r="C3446" s="76">
        <v>1</v>
      </c>
      <c r="D3446" s="77">
        <v>2.1</v>
      </c>
      <c r="E3446" s="68">
        <f>0.46+0.3+0.3</f>
        <v>1.06</v>
      </c>
      <c r="F3446" s="68"/>
      <c r="G3446" s="67">
        <f t="shared" si="95"/>
        <v>2.23</v>
      </c>
      <c r="H3446" s="930"/>
      <c r="I3446" s="1241"/>
    </row>
    <row r="3447" spans="1:9" s="78" customFormat="1" ht="14.25">
      <c r="A3447" s="354" t="s">
        <v>1909</v>
      </c>
      <c r="B3447" s="356"/>
      <c r="C3447" s="76">
        <v>1</v>
      </c>
      <c r="D3447" s="77">
        <f>3.2-0.1-0.115+0.3+0.3</f>
        <v>3.5849999999999995</v>
      </c>
      <c r="E3447" s="68">
        <f>1.525+3.075+0.275-0.23-0.46-0.23+0.3+0.3</f>
        <v>4.5549999999999997</v>
      </c>
      <c r="F3447" s="68"/>
      <c r="G3447" s="67">
        <f t="shared" si="95"/>
        <v>16.329999999999998</v>
      </c>
      <c r="H3447" s="930"/>
      <c r="I3447" s="1241"/>
    </row>
    <row r="3448" spans="1:9" s="78" customFormat="1" ht="14.25">
      <c r="A3448" s="354" t="s">
        <v>1909</v>
      </c>
      <c r="B3448" s="356" t="s">
        <v>1931</v>
      </c>
      <c r="C3448" s="76">
        <v>1</v>
      </c>
      <c r="D3448" s="77">
        <f>6.45-1.185-3.135-0.23-0.23+0.3+0.3</f>
        <v>2.2700000000000009</v>
      </c>
      <c r="E3448" s="77">
        <f>3.075-0.235-0.23+0.275-0.23+0.3+0.3</f>
        <v>3.2549999999999999</v>
      </c>
      <c r="F3448" s="68"/>
      <c r="G3448" s="67">
        <f t="shared" si="95"/>
        <v>7.39</v>
      </c>
      <c r="H3448" s="930"/>
      <c r="I3448" s="1241"/>
    </row>
    <row r="3449" spans="1:9" s="78" customFormat="1" ht="14.25">
      <c r="A3449" s="354" t="s">
        <v>1909</v>
      </c>
      <c r="B3449" s="356" t="s">
        <v>1932</v>
      </c>
      <c r="C3449" s="76">
        <v>1</v>
      </c>
      <c r="D3449" s="68">
        <f>4.9-0.13-0.13+0.3+0.3</f>
        <v>5.24</v>
      </c>
      <c r="E3449" s="68">
        <f>1.475+1.825-0.275+0.275-0.23+0.3+0.3</f>
        <v>3.6699999999999995</v>
      </c>
      <c r="F3449" s="68"/>
      <c r="G3449" s="67">
        <f t="shared" si="95"/>
        <v>19.23</v>
      </c>
      <c r="H3449" s="930"/>
      <c r="I3449" s="1241"/>
    </row>
    <row r="3450" spans="1:9" s="78" customFormat="1" ht="14.25">
      <c r="A3450" s="354" t="s">
        <v>1909</v>
      </c>
      <c r="B3450" s="356" t="s">
        <v>1933</v>
      </c>
      <c r="C3450" s="76">
        <v>1</v>
      </c>
      <c r="D3450" s="77">
        <f>3.025+0.175-0.13-0.015+0.3+0.3</f>
        <v>3.6549999999999994</v>
      </c>
      <c r="E3450" s="68">
        <v>7.3140000000000001</v>
      </c>
      <c r="F3450" s="68"/>
      <c r="G3450" s="67">
        <f t="shared" si="95"/>
        <v>26.73</v>
      </c>
      <c r="H3450" s="930"/>
      <c r="I3450" s="1241"/>
    </row>
    <row r="3451" spans="1:9" s="78" customFormat="1" ht="14.25">
      <c r="A3451" s="354" t="s">
        <v>1909</v>
      </c>
      <c r="B3451" s="356" t="s">
        <v>1934</v>
      </c>
      <c r="C3451" s="76">
        <v>1</v>
      </c>
      <c r="D3451" s="77">
        <f>3.025+0.175-0.13-0.015+0.3+0.3</f>
        <v>3.6549999999999994</v>
      </c>
      <c r="E3451" s="68">
        <v>7.3140000000000001</v>
      </c>
      <c r="F3451" s="68"/>
      <c r="G3451" s="67">
        <f t="shared" si="95"/>
        <v>26.73</v>
      </c>
      <c r="H3451" s="930"/>
      <c r="I3451" s="1241"/>
    </row>
    <row r="3452" spans="1:9" s="78" customFormat="1" ht="14.25">
      <c r="A3452" s="354" t="s">
        <v>1909</v>
      </c>
      <c r="B3452" s="63" t="s">
        <v>1935</v>
      </c>
      <c r="C3452" s="70">
        <v>1</v>
      </c>
      <c r="D3452" s="68">
        <f>2.298+3.6+0.01-0.13+0.3+0.3</f>
        <v>6.3779999999999992</v>
      </c>
      <c r="E3452" s="68">
        <f>3.175-0.115-0.13+0.3+0.3</f>
        <v>3.5299999999999994</v>
      </c>
      <c r="F3452" s="68"/>
      <c r="G3452" s="67">
        <f t="shared" si="95"/>
        <v>22.51</v>
      </c>
      <c r="H3452" s="930"/>
      <c r="I3452" s="1241"/>
    </row>
    <row r="3453" spans="1:9" s="78" customFormat="1" ht="14.25">
      <c r="A3453" s="354" t="s">
        <v>1909</v>
      </c>
      <c r="B3453" s="63" t="s">
        <v>1936</v>
      </c>
      <c r="C3453" s="70">
        <v>1</v>
      </c>
      <c r="D3453" s="68">
        <f>2.298+3.6+0.01-0.13+0.3+0.3</f>
        <v>6.3779999999999992</v>
      </c>
      <c r="E3453" s="68">
        <f>3.175-0.115-0.13+0.3+0.3</f>
        <v>3.5299999999999994</v>
      </c>
      <c r="F3453" s="68"/>
      <c r="G3453" s="67">
        <f t="shared" si="95"/>
        <v>22.51</v>
      </c>
      <c r="H3453" s="930"/>
      <c r="I3453" s="1241"/>
    </row>
    <row r="3454" spans="1:9" s="78" customFormat="1" ht="14.25">
      <c r="A3454" s="354" t="s">
        <v>1909</v>
      </c>
      <c r="B3454" s="63" t="s">
        <v>1937</v>
      </c>
      <c r="C3454" s="70">
        <v>1</v>
      </c>
      <c r="D3454" s="68">
        <v>10.407999999999999</v>
      </c>
      <c r="E3454" s="68">
        <f>2.25+1.875+2.725+2.462-0.13-0.13-0.23-0.23+(6*0.3)</f>
        <v>10.391999999999996</v>
      </c>
      <c r="F3454" s="68"/>
      <c r="G3454" s="67">
        <f t="shared" si="95"/>
        <v>108.16</v>
      </c>
      <c r="H3454" s="930"/>
      <c r="I3454" s="1241"/>
    </row>
    <row r="3455" spans="1:9" s="78" customFormat="1" ht="14.25">
      <c r="A3455" s="354" t="s">
        <v>1909</v>
      </c>
      <c r="B3455" s="63" t="s">
        <v>1938</v>
      </c>
      <c r="C3455" s="70">
        <v>1</v>
      </c>
      <c r="D3455" s="68">
        <v>10.407999999999999</v>
      </c>
      <c r="E3455" s="68">
        <f>2.25+1.875+2.725+2.462-0.13-0.13-0.23-0.23+(6*0.3)</f>
        <v>10.391999999999996</v>
      </c>
      <c r="F3455" s="68"/>
      <c r="G3455" s="67">
        <f t="shared" si="95"/>
        <v>108.16</v>
      </c>
      <c r="H3455" s="930"/>
      <c r="I3455" s="1241"/>
    </row>
    <row r="3456" spans="1:9" s="78" customFormat="1" ht="14.25">
      <c r="A3456" s="354" t="s">
        <v>1909</v>
      </c>
      <c r="B3456" s="63" t="s">
        <v>1939</v>
      </c>
      <c r="C3456" s="70">
        <v>4</v>
      </c>
      <c r="D3456" s="68">
        <f>3.25-0.1-0.115+0.3+0.3</f>
        <v>3.6349999999999993</v>
      </c>
      <c r="E3456" s="68">
        <v>5.24</v>
      </c>
      <c r="F3456" s="68"/>
      <c r="G3456" s="67">
        <f t="shared" si="95"/>
        <v>76.19</v>
      </c>
      <c r="H3456" s="930"/>
      <c r="I3456" s="1241"/>
    </row>
    <row r="3457" spans="1:11" s="78" customFormat="1" ht="14.25">
      <c r="A3457" s="354" t="s">
        <v>1909</v>
      </c>
      <c r="B3457" s="356" t="s">
        <v>1940</v>
      </c>
      <c r="C3457" s="76">
        <v>1</v>
      </c>
      <c r="D3457" s="77">
        <f>3.2+0.7+4.9+0.7+3.2-0.13-0.115-0.23-0.23+(6*0.3)</f>
        <v>13.794999999999998</v>
      </c>
      <c r="E3457" s="68">
        <v>9.3840000000000003</v>
      </c>
      <c r="F3457" s="68"/>
      <c r="G3457" s="67">
        <f t="shared" si="95"/>
        <v>129.44999999999999</v>
      </c>
      <c r="H3457" s="930"/>
      <c r="I3457" s="1241"/>
    </row>
    <row r="3458" spans="1:11" s="78" customFormat="1" ht="14.25">
      <c r="A3458" s="75"/>
      <c r="B3458" s="356"/>
      <c r="C3458" s="76"/>
      <c r="D3458" s="77"/>
      <c r="E3458" s="68"/>
      <c r="F3458" s="68"/>
      <c r="G3458" s="67" t="str">
        <f t="shared" si="95"/>
        <v xml:space="preserve"> </v>
      </c>
      <c r="H3458" s="930"/>
      <c r="I3458" s="1241"/>
    </row>
    <row r="3459" spans="1:11" ht="18" customHeight="1">
      <c r="A3459" s="354" t="s">
        <v>1442</v>
      </c>
      <c r="B3459" s="478" t="s">
        <v>1457</v>
      </c>
      <c r="C3459" s="404"/>
      <c r="D3459" s="405"/>
      <c r="E3459" s="405"/>
      <c r="F3459" s="405"/>
      <c r="G3459" s="67" t="str">
        <f t="shared" si="95"/>
        <v xml:space="preserve"> </v>
      </c>
      <c r="H3459" s="935" t="s">
        <v>1442</v>
      </c>
    </row>
    <row r="3460" spans="1:11" ht="18" customHeight="1">
      <c r="A3460" s="354" t="s">
        <v>1442</v>
      </c>
      <c r="B3460" s="451" t="s">
        <v>1458</v>
      </c>
      <c r="C3460" s="404"/>
      <c r="D3460" s="405"/>
      <c r="E3460" s="405"/>
      <c r="F3460" s="405"/>
      <c r="G3460" s="67" t="str">
        <f t="shared" si="95"/>
        <v xml:space="preserve"> </v>
      </c>
      <c r="H3460" s="935" t="s">
        <v>1442</v>
      </c>
    </row>
    <row r="3461" spans="1:11" s="78" customFormat="1" ht="18" customHeight="1">
      <c r="A3461" s="354" t="s">
        <v>1442</v>
      </c>
      <c r="B3461" s="81" t="s">
        <v>1307</v>
      </c>
      <c r="C3461" s="404">
        <v>6</v>
      </c>
      <c r="D3461" s="405">
        <f>5.187-0.1-0.1+0.6</f>
        <v>5.5870000000000006</v>
      </c>
      <c r="E3461" s="405">
        <f>1.73+1.2+1.73+0.6</f>
        <v>5.26</v>
      </c>
      <c r="F3461" s="405"/>
      <c r="G3461" s="67">
        <f t="shared" si="95"/>
        <v>176.33</v>
      </c>
      <c r="H3461" s="935" t="s">
        <v>1442</v>
      </c>
      <c r="I3461" s="1227"/>
      <c r="J3461" s="220"/>
      <c r="K3461" s="220"/>
    </row>
    <row r="3462" spans="1:11" s="78" customFormat="1" ht="18" customHeight="1">
      <c r="A3462" s="354" t="s">
        <v>1442</v>
      </c>
      <c r="B3462" s="81" t="s">
        <v>1308</v>
      </c>
      <c r="C3462" s="404">
        <v>6</v>
      </c>
      <c r="D3462" s="405">
        <f>4.987+0.6</f>
        <v>5.5869999999999997</v>
      </c>
      <c r="E3462" s="405">
        <f>4.66+0.6</f>
        <v>5.26</v>
      </c>
      <c r="F3462" s="405"/>
      <c r="G3462" s="67">
        <f t="shared" si="95"/>
        <v>176.33</v>
      </c>
      <c r="H3462" s="935" t="s">
        <v>1442</v>
      </c>
      <c r="I3462" s="1227"/>
      <c r="J3462" s="220"/>
      <c r="K3462" s="220"/>
    </row>
    <row r="3463" spans="1:11" s="78" customFormat="1" ht="18" customHeight="1">
      <c r="A3463" s="354" t="s">
        <v>1442</v>
      </c>
      <c r="B3463" s="81" t="s">
        <v>1309</v>
      </c>
      <c r="C3463" s="404">
        <v>6</v>
      </c>
      <c r="D3463" s="405">
        <f>2.298+4.6+3.825-0.1-0.1+0.6</f>
        <v>11.122999999999999</v>
      </c>
      <c r="E3463" s="405">
        <f>1.8+0.6</f>
        <v>2.4</v>
      </c>
      <c r="F3463" s="405"/>
      <c r="G3463" s="67">
        <f t="shared" si="95"/>
        <v>160.16999999999999</v>
      </c>
      <c r="H3463" s="935" t="s">
        <v>1442</v>
      </c>
      <c r="I3463" s="1227"/>
      <c r="J3463" s="220"/>
      <c r="K3463" s="220"/>
    </row>
    <row r="3464" spans="1:11" s="78" customFormat="1" ht="18" customHeight="1">
      <c r="A3464" s="354" t="s">
        <v>1442</v>
      </c>
      <c r="B3464" s="81" t="s">
        <v>1310</v>
      </c>
      <c r="C3464" s="404">
        <v>6</v>
      </c>
      <c r="D3464" s="567">
        <f>2.25-0.1+0.3</f>
        <v>2.4499999999999997</v>
      </c>
      <c r="E3464" s="405">
        <f>2.298+4.6+0.125+0.1-0.1+0.6</f>
        <v>7.6229999999999993</v>
      </c>
      <c r="F3464" s="405"/>
      <c r="G3464" s="67">
        <f t="shared" si="95"/>
        <v>112.06</v>
      </c>
      <c r="H3464" s="935" t="s">
        <v>1442</v>
      </c>
      <c r="I3464" s="1227"/>
      <c r="J3464" s="220"/>
      <c r="K3464" s="220"/>
    </row>
    <row r="3465" spans="1:11" ht="18" customHeight="1">
      <c r="A3465" s="354" t="s">
        <v>1442</v>
      </c>
      <c r="B3465" s="64" t="s">
        <v>1459</v>
      </c>
      <c r="C3465" s="404"/>
      <c r="D3465" s="68"/>
      <c r="E3465" s="68"/>
      <c r="F3465" s="68"/>
      <c r="G3465" s="67" t="str">
        <f t="shared" si="95"/>
        <v xml:space="preserve"> </v>
      </c>
      <c r="H3465" s="935" t="s">
        <v>1442</v>
      </c>
    </row>
    <row r="3466" spans="1:11" ht="18" customHeight="1">
      <c r="A3466" s="354" t="s">
        <v>1442</v>
      </c>
      <c r="B3466" s="63" t="s">
        <v>1460</v>
      </c>
      <c r="C3466" s="70"/>
      <c r="D3466" s="68"/>
      <c r="E3466" s="68"/>
      <c r="F3466" s="68"/>
      <c r="G3466" s="67" t="str">
        <f t="shared" si="95"/>
        <v xml:space="preserve"> </v>
      </c>
      <c r="H3466" s="935" t="s">
        <v>1442</v>
      </c>
    </row>
    <row r="3467" spans="1:11" s="78" customFormat="1" ht="18" customHeight="1">
      <c r="A3467" s="354" t="s">
        <v>1442</v>
      </c>
      <c r="B3467" s="63" t="s">
        <v>1149</v>
      </c>
      <c r="C3467" s="573">
        <v>6</v>
      </c>
      <c r="D3467" s="574">
        <f>4.7+0.6</f>
        <v>5.3</v>
      </c>
      <c r="E3467" s="405">
        <f>3.05+0.6</f>
        <v>3.65</v>
      </c>
      <c r="F3467" s="68"/>
      <c r="G3467" s="67">
        <f t="shared" si="95"/>
        <v>116.07</v>
      </c>
      <c r="H3467" s="935" t="s">
        <v>1442</v>
      </c>
      <c r="I3467" s="1227"/>
    </row>
    <row r="3468" spans="1:11" ht="18" customHeight="1">
      <c r="A3468" s="354" t="s">
        <v>1442</v>
      </c>
      <c r="B3468" s="356" t="s">
        <v>1150</v>
      </c>
      <c r="C3468" s="573">
        <v>6</v>
      </c>
      <c r="D3468" s="574">
        <f>3.1+0.6</f>
        <v>3.7</v>
      </c>
      <c r="E3468" s="405">
        <f>3.1+0.6</f>
        <v>3.7</v>
      </c>
      <c r="F3468" s="68"/>
      <c r="G3468" s="67">
        <f t="shared" si="95"/>
        <v>82.14</v>
      </c>
      <c r="H3468" s="935" t="s">
        <v>1442</v>
      </c>
    </row>
    <row r="3469" spans="1:11" ht="18" customHeight="1">
      <c r="A3469" s="354" t="s">
        <v>1442</v>
      </c>
      <c r="B3469" s="64" t="s">
        <v>1148</v>
      </c>
      <c r="C3469" s="70"/>
      <c r="D3469" s="68"/>
      <c r="E3469" s="68"/>
      <c r="F3469" s="68"/>
      <c r="G3469" s="67" t="str">
        <f t="shared" si="95"/>
        <v xml:space="preserve"> </v>
      </c>
      <c r="H3469" s="935" t="s">
        <v>1442</v>
      </c>
    </row>
    <row r="3470" spans="1:11" s="78" customFormat="1" ht="18" customHeight="1">
      <c r="A3470" s="354" t="s">
        <v>1442</v>
      </c>
      <c r="B3470" s="63" t="s">
        <v>1461</v>
      </c>
      <c r="C3470" s="573">
        <v>2</v>
      </c>
      <c r="D3470" s="574">
        <v>3</v>
      </c>
      <c r="E3470" s="405">
        <v>4.7</v>
      </c>
      <c r="F3470" s="68"/>
      <c r="G3470" s="67">
        <f t="shared" si="95"/>
        <v>28.2</v>
      </c>
      <c r="H3470" s="935" t="s">
        <v>1442</v>
      </c>
      <c r="I3470" s="1227"/>
    </row>
    <row r="3471" spans="1:11" s="78" customFormat="1" ht="18" customHeight="1">
      <c r="A3471" s="75"/>
      <c r="B3471" s="356"/>
      <c r="C3471" s="76"/>
      <c r="D3471" s="77"/>
      <c r="E3471" s="68"/>
      <c r="F3471" s="68"/>
      <c r="G3471" s="67" t="str">
        <f t="shared" si="95"/>
        <v xml:space="preserve"> </v>
      </c>
      <c r="H3471" s="930"/>
      <c r="I3471" s="1227"/>
    </row>
    <row r="3472" spans="1:11" ht="18" customHeight="1">
      <c r="A3472" s="932"/>
      <c r="B3472" s="874" t="s">
        <v>2188</v>
      </c>
      <c r="C3472" s="875"/>
      <c r="D3472" s="874"/>
      <c r="E3472" s="874"/>
      <c r="F3472" s="874"/>
      <c r="G3472" s="842">
        <f>SUM(G3443:G3471)</f>
        <v>1495.5400000000002</v>
      </c>
      <c r="H3472" s="945" t="s">
        <v>10</v>
      </c>
      <c r="I3472" s="1226">
        <v>11.1</v>
      </c>
    </row>
    <row r="3473" spans="1:10" ht="18" customHeight="1">
      <c r="A3473" s="354"/>
      <c r="B3473" s="64"/>
      <c r="C3473" s="70"/>
      <c r="D3473" s="68"/>
      <c r="E3473" s="68"/>
      <c r="F3473" s="68"/>
      <c r="G3473" s="68"/>
      <c r="H3473" s="929"/>
    </row>
    <row r="3474" spans="1:10" s="556" customFormat="1" ht="16.5" customHeight="1">
      <c r="A3474" s="914" t="s">
        <v>515</v>
      </c>
      <c r="B3474" s="915" t="s">
        <v>2121</v>
      </c>
      <c r="C3474" s="632"/>
      <c r="D3474" s="585"/>
      <c r="E3474" s="585"/>
      <c r="F3474" s="585"/>
      <c r="G3474" s="585"/>
      <c r="H3474" s="939"/>
      <c r="I3474" s="1233"/>
    </row>
    <row r="3475" spans="1:10" ht="18" customHeight="1">
      <c r="A3475" s="354" t="s">
        <v>1303</v>
      </c>
      <c r="B3475" s="548" t="s">
        <v>937</v>
      </c>
      <c r="C3475" s="70"/>
      <c r="D3475" s="68"/>
      <c r="E3475" s="68"/>
      <c r="F3475" s="68"/>
      <c r="G3475" s="68">
        <f t="shared" ref="G3475" si="96">PRODUCT(C3475:F3475)</f>
        <v>0</v>
      </c>
      <c r="H3475" s="929"/>
    </row>
    <row r="3476" spans="1:10" ht="18" customHeight="1">
      <c r="A3476" s="354"/>
      <c r="B3476" s="548" t="s">
        <v>1949</v>
      </c>
      <c r="C3476" s="70">
        <v>1</v>
      </c>
      <c r="D3476" s="68">
        <f>3.2+6.3+3.2+0.1+0.1</f>
        <v>12.899999999999999</v>
      </c>
      <c r="E3476" s="68">
        <f>2.462+6.622+0.275</f>
        <v>9.359</v>
      </c>
      <c r="F3476" s="68"/>
      <c r="G3476" s="67">
        <f t="shared" ref="G3476:G3490" si="97">IF(C3476&lt;&gt;0,ROUND(PRODUCT(D3476:F3476)*C3476,2)," ")</f>
        <v>120.73</v>
      </c>
      <c r="H3476" s="929"/>
    </row>
    <row r="3477" spans="1:10" ht="18" customHeight="1">
      <c r="A3477" s="354"/>
      <c r="B3477" s="81" t="s">
        <v>1951</v>
      </c>
      <c r="C3477" s="70">
        <v>1</v>
      </c>
      <c r="D3477" s="68">
        <f>4.9+0.1+0.1</f>
        <v>5.0999999999999996</v>
      </c>
      <c r="E3477" s="68">
        <f>1.475+1.825</f>
        <v>3.3</v>
      </c>
      <c r="F3477" s="68"/>
      <c r="G3477" s="67">
        <f t="shared" si="97"/>
        <v>16.829999999999998</v>
      </c>
      <c r="H3477" s="929"/>
    </row>
    <row r="3478" spans="1:10" ht="18" customHeight="1">
      <c r="A3478" s="354"/>
      <c r="B3478" s="81" t="s">
        <v>2122</v>
      </c>
      <c r="C3478" s="70">
        <v>1</v>
      </c>
      <c r="D3478" s="68">
        <v>6.3</v>
      </c>
      <c r="E3478" s="68">
        <v>2.4</v>
      </c>
      <c r="F3478" s="68"/>
      <c r="G3478" s="67">
        <f t="shared" si="97"/>
        <v>15.12</v>
      </c>
      <c r="H3478" s="929"/>
    </row>
    <row r="3479" spans="1:10" ht="18" customHeight="1">
      <c r="A3479" s="354"/>
      <c r="B3479" s="548" t="s">
        <v>938</v>
      </c>
      <c r="C3479" s="70"/>
      <c r="D3479" s="68"/>
      <c r="E3479" s="68"/>
      <c r="F3479" s="68"/>
      <c r="G3479" s="67" t="str">
        <f t="shared" si="97"/>
        <v xml:space="preserve"> </v>
      </c>
      <c r="H3479" s="929"/>
    </row>
    <row r="3480" spans="1:10" ht="18" customHeight="1">
      <c r="A3480" s="354"/>
      <c r="B3480" s="548" t="s">
        <v>1957</v>
      </c>
      <c r="C3480" s="70"/>
      <c r="D3480" s="68"/>
      <c r="E3480" s="68"/>
      <c r="F3480" s="68"/>
      <c r="G3480" s="67" t="str">
        <f t="shared" si="97"/>
        <v xml:space="preserve"> </v>
      </c>
      <c r="H3480" s="929"/>
    </row>
    <row r="3481" spans="1:10" ht="18" customHeight="1">
      <c r="A3481" s="354"/>
      <c r="B3481" s="548" t="s">
        <v>1047</v>
      </c>
      <c r="C3481" s="70"/>
      <c r="D3481" s="68"/>
      <c r="E3481" s="68"/>
      <c r="F3481" s="68"/>
      <c r="G3481" s="67" t="str">
        <f t="shared" si="97"/>
        <v xml:space="preserve"> </v>
      </c>
      <c r="H3481" s="929"/>
    </row>
    <row r="3482" spans="1:10" ht="18" customHeight="1">
      <c r="A3482" s="354"/>
      <c r="B3482" s="81" t="s">
        <v>1958</v>
      </c>
      <c r="C3482" s="70">
        <v>2</v>
      </c>
      <c r="D3482" s="68">
        <f>2.298+3.6+1+2.25+1.575+0.1+0.1</f>
        <v>10.922999999999998</v>
      </c>
      <c r="E3482" s="68">
        <f>2.25+1.875+2.725+2.462+0.1+0.1</f>
        <v>9.5119999999999987</v>
      </c>
      <c r="F3482" s="68"/>
      <c r="G3482" s="67">
        <f t="shared" si="97"/>
        <v>207.8</v>
      </c>
      <c r="H3482" s="929"/>
    </row>
    <row r="3483" spans="1:10" ht="18" customHeight="1">
      <c r="A3483" s="354"/>
      <c r="B3483" s="81" t="s">
        <v>1959</v>
      </c>
      <c r="C3483" s="70">
        <v>2</v>
      </c>
      <c r="D3483" s="68">
        <f>2.25+1.575</f>
        <v>3.8250000000000002</v>
      </c>
      <c r="E3483" s="68">
        <f>1.425+3.175+0.1</f>
        <v>4.6999999999999993</v>
      </c>
      <c r="F3483" s="68"/>
      <c r="G3483" s="67">
        <f t="shared" si="97"/>
        <v>35.96</v>
      </c>
      <c r="H3483" s="929"/>
    </row>
    <row r="3484" spans="1:10" ht="18" customHeight="1">
      <c r="A3484" s="354"/>
      <c r="B3484" s="81" t="s">
        <v>1960</v>
      </c>
      <c r="C3484" s="70">
        <v>2</v>
      </c>
      <c r="D3484" s="68">
        <f>3.6+1</f>
        <v>4.5999999999999996</v>
      </c>
      <c r="E3484" s="68">
        <v>1.425</v>
      </c>
      <c r="F3484" s="68"/>
      <c r="G3484" s="67">
        <f t="shared" si="97"/>
        <v>13.11</v>
      </c>
      <c r="H3484" s="929"/>
    </row>
    <row r="3485" spans="1:10" ht="18" customHeight="1">
      <c r="A3485" s="354"/>
      <c r="B3485" s="81" t="s">
        <v>1961</v>
      </c>
      <c r="C3485" s="70">
        <v>1</v>
      </c>
      <c r="D3485" s="68">
        <v>3.0249999999999999</v>
      </c>
      <c r="E3485" s="68">
        <f>1.425+3.175+0.1</f>
        <v>4.6999999999999993</v>
      </c>
      <c r="F3485" s="68"/>
      <c r="G3485" s="67">
        <f t="shared" si="97"/>
        <v>14.22</v>
      </c>
      <c r="H3485" s="929"/>
    </row>
    <row r="3486" spans="1:10" ht="18" customHeight="1">
      <c r="A3486" s="354"/>
      <c r="B3486" s="63"/>
      <c r="C3486" s="70"/>
      <c r="D3486" s="68"/>
      <c r="E3486" s="68"/>
      <c r="F3486" s="68"/>
      <c r="G3486" s="67" t="str">
        <f t="shared" si="97"/>
        <v xml:space="preserve"> </v>
      </c>
      <c r="H3486" s="929"/>
      <c r="J3486" s="355"/>
    </row>
    <row r="3487" spans="1:10" ht="18" customHeight="1">
      <c r="A3487" s="354"/>
      <c r="B3487" s="80" t="s">
        <v>1965</v>
      </c>
      <c r="C3487" s="70"/>
      <c r="D3487" s="68"/>
      <c r="E3487" s="68"/>
      <c r="F3487" s="68"/>
      <c r="G3487" s="67" t="str">
        <f t="shared" si="97"/>
        <v xml:space="preserve"> </v>
      </c>
      <c r="H3487" s="929"/>
    </row>
    <row r="3488" spans="1:10" ht="18" customHeight="1">
      <c r="A3488" s="354"/>
      <c r="B3488" s="81" t="s">
        <v>1966</v>
      </c>
      <c r="C3488" s="70">
        <v>2</v>
      </c>
      <c r="D3488" s="68">
        <f>2.298+3.6+0.1+0.1</f>
        <v>6.097999999999999</v>
      </c>
      <c r="E3488" s="68">
        <f>3.175+0.1+0.1</f>
        <v>3.375</v>
      </c>
      <c r="F3488" s="68"/>
      <c r="G3488" s="67">
        <f t="shared" si="97"/>
        <v>41.16</v>
      </c>
      <c r="H3488" s="929"/>
    </row>
    <row r="3489" spans="1:10" ht="18" customHeight="1">
      <c r="A3489" s="354"/>
      <c r="B3489" s="81" t="s">
        <v>1967</v>
      </c>
      <c r="C3489" s="70">
        <v>1</v>
      </c>
      <c r="D3489" s="68">
        <f>6.3+0.1+0.1</f>
        <v>6.4999999999999991</v>
      </c>
      <c r="E3489" s="68">
        <f>1.525+3.075+1.6+0.1+0.275</f>
        <v>6.5749999999999993</v>
      </c>
      <c r="F3489" s="68"/>
      <c r="G3489" s="67">
        <f t="shared" si="97"/>
        <v>42.74</v>
      </c>
      <c r="H3489" s="929"/>
    </row>
    <row r="3490" spans="1:10" ht="18" customHeight="1">
      <c r="A3490" s="128"/>
      <c r="B3490" s="81" t="s">
        <v>2194</v>
      </c>
      <c r="C3490" s="70">
        <v>1</v>
      </c>
      <c r="D3490" s="68">
        <f>1.875+2.725</f>
        <v>4.5999999999999996</v>
      </c>
      <c r="E3490" s="68">
        <f>3.2+6.3+3.2</f>
        <v>12.7</v>
      </c>
      <c r="F3490" s="68"/>
      <c r="G3490" s="67">
        <f t="shared" si="97"/>
        <v>58.42</v>
      </c>
      <c r="H3490" s="929"/>
    </row>
    <row r="3491" spans="1:10" s="355" customFormat="1" ht="18" customHeight="1">
      <c r="A3491" s="380"/>
      <c r="B3491" s="874" t="s">
        <v>2188</v>
      </c>
      <c r="C3491" s="712"/>
      <c r="D3491" s="713"/>
      <c r="E3491" s="713"/>
      <c r="F3491" s="713"/>
      <c r="G3491" s="842">
        <f>SUM(G3475:G3490)</f>
        <v>566.09</v>
      </c>
      <c r="H3491" s="945" t="s">
        <v>350</v>
      </c>
      <c r="I3491" s="1239" t="s">
        <v>515</v>
      </c>
    </row>
    <row r="3492" spans="1:10" s="355" customFormat="1" ht="18" customHeight="1">
      <c r="A3492" s="354"/>
      <c r="B3492" s="548"/>
      <c r="C3492" s="410"/>
      <c r="D3492" s="352"/>
      <c r="E3492" s="352"/>
      <c r="F3492" s="352"/>
      <c r="G3492" s="615"/>
      <c r="H3492" s="942"/>
      <c r="I3492" s="1239"/>
    </row>
    <row r="3493" spans="1:10" ht="18" customHeight="1">
      <c r="A3493" s="380" t="s">
        <v>523</v>
      </c>
      <c r="B3493" s="387" t="s">
        <v>1151</v>
      </c>
      <c r="C3493" s="70"/>
      <c r="D3493" s="68"/>
      <c r="E3493" s="68"/>
      <c r="F3493" s="68"/>
      <c r="G3493" s="68"/>
      <c r="H3493" s="929"/>
    </row>
    <row r="3494" spans="1:10" ht="18" customHeight="1">
      <c r="A3494" s="354" t="s">
        <v>1303</v>
      </c>
      <c r="B3494" s="80" t="s">
        <v>2034</v>
      </c>
      <c r="C3494" s="70"/>
      <c r="D3494" s="68"/>
      <c r="E3494" s="68"/>
      <c r="F3494" s="68"/>
      <c r="G3494" s="68"/>
      <c r="H3494" s="929"/>
    </row>
    <row r="3495" spans="1:10" ht="18" customHeight="1">
      <c r="A3495" s="128"/>
      <c r="B3495" s="362" t="s">
        <v>1200</v>
      </c>
      <c r="C3495" s="70"/>
      <c r="D3495" s="68"/>
      <c r="E3495" s="68"/>
      <c r="F3495" s="68"/>
      <c r="G3495" s="68"/>
      <c r="H3495" s="929"/>
    </row>
    <row r="3496" spans="1:10" s="78" customFormat="1" ht="18" customHeight="1">
      <c r="A3496" s="432"/>
      <c r="B3496" s="408" t="s">
        <v>1201</v>
      </c>
      <c r="C3496" s="573">
        <v>153</v>
      </c>
      <c r="D3496" s="572">
        <v>0.8</v>
      </c>
      <c r="E3496" s="405">
        <v>0.125</v>
      </c>
      <c r="F3496" s="405">
        <v>0.05</v>
      </c>
      <c r="G3496" s="68">
        <f>IF(C3496&lt;&gt;0,ROUND(PRODUCT(D3496:F3496)*C3496,3)," ")</f>
        <v>0.76500000000000001</v>
      </c>
      <c r="H3496" s="930" t="s">
        <v>1303</v>
      </c>
      <c r="I3496" s="1227"/>
      <c r="J3496" s="65"/>
    </row>
    <row r="3497" spans="1:10" ht="18" customHeight="1">
      <c r="A3497" s="354"/>
      <c r="B3497" s="63" t="s">
        <v>1202</v>
      </c>
      <c r="C3497" s="573">
        <f>+C3496*2</f>
        <v>306</v>
      </c>
      <c r="D3497" s="574">
        <v>2.15</v>
      </c>
      <c r="E3497" s="405">
        <v>0.125</v>
      </c>
      <c r="F3497" s="405">
        <v>0.05</v>
      </c>
      <c r="G3497" s="68">
        <f t="shared" ref="G3497:G3519" si="98">IF(C3497&lt;&gt;0,ROUND(PRODUCT(D3497:F3497)*C3497,3)," ")</f>
        <v>4.1120000000000001</v>
      </c>
      <c r="H3497" s="930" t="s">
        <v>1303</v>
      </c>
    </row>
    <row r="3498" spans="1:10" s="78" customFormat="1" ht="18" customHeight="1">
      <c r="A3498" s="432"/>
      <c r="B3498" s="408" t="s">
        <v>1462</v>
      </c>
      <c r="C3498" s="573">
        <v>153</v>
      </c>
      <c r="D3498" s="574">
        <v>0.9</v>
      </c>
      <c r="E3498" s="405">
        <v>0.03</v>
      </c>
      <c r="F3498" s="405">
        <v>0.08</v>
      </c>
      <c r="G3498" s="68">
        <f t="shared" si="98"/>
        <v>0.33</v>
      </c>
      <c r="H3498" s="930" t="s">
        <v>1303</v>
      </c>
      <c r="I3498" s="1227"/>
    </row>
    <row r="3499" spans="1:10" ht="18" customHeight="1">
      <c r="A3499" s="354"/>
      <c r="B3499" s="63" t="s">
        <v>1463</v>
      </c>
      <c r="C3499" s="573">
        <f>C3498*2</f>
        <v>306</v>
      </c>
      <c r="D3499" s="574">
        <v>2.15</v>
      </c>
      <c r="E3499" s="405">
        <v>0.03</v>
      </c>
      <c r="F3499" s="405">
        <v>0.08</v>
      </c>
      <c r="G3499" s="68">
        <f t="shared" si="98"/>
        <v>1.579</v>
      </c>
      <c r="H3499" s="930" t="s">
        <v>1303</v>
      </c>
    </row>
    <row r="3500" spans="1:10" ht="18" customHeight="1">
      <c r="A3500" s="128"/>
      <c r="B3500" s="362" t="s">
        <v>1210</v>
      </c>
      <c r="C3500" s="70"/>
      <c r="D3500" s="68"/>
      <c r="E3500" s="68"/>
      <c r="F3500" s="68"/>
      <c r="G3500" s="68" t="str">
        <f t="shared" si="98"/>
        <v xml:space="preserve"> </v>
      </c>
      <c r="H3500" s="930" t="s">
        <v>1303</v>
      </c>
    </row>
    <row r="3501" spans="1:10" s="78" customFormat="1" ht="18" customHeight="1">
      <c r="A3501" s="432"/>
      <c r="B3501" s="408" t="s">
        <v>1201</v>
      </c>
      <c r="C3501" s="573">
        <v>1</v>
      </c>
      <c r="D3501" s="572">
        <v>1.1000000000000001</v>
      </c>
      <c r="E3501" s="405">
        <v>0.125</v>
      </c>
      <c r="F3501" s="405">
        <v>0.05</v>
      </c>
      <c r="G3501" s="68">
        <f t="shared" si="98"/>
        <v>7.0000000000000001E-3</v>
      </c>
      <c r="H3501" s="930" t="s">
        <v>1303</v>
      </c>
      <c r="I3501" s="1227"/>
    </row>
    <row r="3502" spans="1:10" ht="18" customHeight="1">
      <c r="A3502" s="354"/>
      <c r="B3502" s="63" t="s">
        <v>1202</v>
      </c>
      <c r="C3502" s="573">
        <f>+C3501*2</f>
        <v>2</v>
      </c>
      <c r="D3502" s="574">
        <v>2.15</v>
      </c>
      <c r="E3502" s="405">
        <v>0.125</v>
      </c>
      <c r="F3502" s="405">
        <v>0.05</v>
      </c>
      <c r="G3502" s="68">
        <f t="shared" si="98"/>
        <v>2.7E-2</v>
      </c>
      <c r="H3502" s="930" t="s">
        <v>1303</v>
      </c>
    </row>
    <row r="3503" spans="1:10" s="78" customFormat="1" ht="18" customHeight="1">
      <c r="A3503" s="432"/>
      <c r="B3503" s="408" t="s">
        <v>1462</v>
      </c>
      <c r="C3503" s="573">
        <f>1</f>
        <v>1</v>
      </c>
      <c r="D3503" s="574">
        <v>1.2</v>
      </c>
      <c r="E3503" s="405">
        <v>0.03</v>
      </c>
      <c r="F3503" s="405">
        <v>0.08</v>
      </c>
      <c r="G3503" s="68">
        <f t="shared" si="98"/>
        <v>3.0000000000000001E-3</v>
      </c>
      <c r="H3503" s="930" t="s">
        <v>1303</v>
      </c>
      <c r="I3503" s="1227"/>
    </row>
    <row r="3504" spans="1:10" ht="18" customHeight="1">
      <c r="A3504" s="354"/>
      <c r="B3504" s="63" t="s">
        <v>1463</v>
      </c>
      <c r="C3504" s="573">
        <f>+C3503*2</f>
        <v>2</v>
      </c>
      <c r="D3504" s="574">
        <v>2.15</v>
      </c>
      <c r="E3504" s="405">
        <v>0.03</v>
      </c>
      <c r="F3504" s="405">
        <v>0.08</v>
      </c>
      <c r="G3504" s="68">
        <f t="shared" si="98"/>
        <v>0.01</v>
      </c>
      <c r="H3504" s="930" t="s">
        <v>1303</v>
      </c>
    </row>
    <row r="3505" spans="1:9" ht="18" customHeight="1">
      <c r="A3505" s="128"/>
      <c r="B3505" s="362" t="s">
        <v>1211</v>
      </c>
      <c r="C3505" s="70"/>
      <c r="D3505" s="68"/>
      <c r="E3505" s="68"/>
      <c r="F3505" s="68"/>
      <c r="G3505" s="68" t="str">
        <f t="shared" si="98"/>
        <v xml:space="preserve"> </v>
      </c>
      <c r="H3505" s="930" t="s">
        <v>1303</v>
      </c>
    </row>
    <row r="3506" spans="1:9" s="78" customFormat="1" ht="18" customHeight="1">
      <c r="A3506" s="432"/>
      <c r="B3506" s="408" t="s">
        <v>1201</v>
      </c>
      <c r="C3506" s="573">
        <v>4</v>
      </c>
      <c r="D3506" s="572">
        <v>0.7</v>
      </c>
      <c r="E3506" s="405">
        <v>0.125</v>
      </c>
      <c r="F3506" s="405">
        <v>0.05</v>
      </c>
      <c r="G3506" s="68">
        <f t="shared" si="98"/>
        <v>1.7999999999999999E-2</v>
      </c>
      <c r="H3506" s="930" t="s">
        <v>1303</v>
      </c>
      <c r="I3506" s="1227"/>
    </row>
    <row r="3507" spans="1:9" ht="18" customHeight="1">
      <c r="A3507" s="354"/>
      <c r="B3507" s="63" t="s">
        <v>1202</v>
      </c>
      <c r="C3507" s="573">
        <f>+C3506*2</f>
        <v>8</v>
      </c>
      <c r="D3507" s="574">
        <v>2.15</v>
      </c>
      <c r="E3507" s="405">
        <v>0.125</v>
      </c>
      <c r="F3507" s="405">
        <v>0.05</v>
      </c>
      <c r="G3507" s="68">
        <f t="shared" si="98"/>
        <v>0.108</v>
      </c>
      <c r="H3507" s="930" t="s">
        <v>1303</v>
      </c>
    </row>
    <row r="3508" spans="1:9" s="78" customFormat="1" ht="18" customHeight="1">
      <c r="A3508" s="432"/>
      <c r="B3508" s="408" t="s">
        <v>1462</v>
      </c>
      <c r="C3508" s="573">
        <f>4</f>
        <v>4</v>
      </c>
      <c r="D3508" s="572">
        <v>0.8</v>
      </c>
      <c r="E3508" s="405">
        <v>0.03</v>
      </c>
      <c r="F3508" s="405">
        <v>0.08</v>
      </c>
      <c r="G3508" s="68">
        <f t="shared" si="98"/>
        <v>8.0000000000000002E-3</v>
      </c>
      <c r="H3508" s="930" t="s">
        <v>1303</v>
      </c>
      <c r="I3508" s="1227"/>
    </row>
    <row r="3509" spans="1:9" ht="18" customHeight="1">
      <c r="A3509" s="354"/>
      <c r="B3509" s="63" t="s">
        <v>1463</v>
      </c>
      <c r="C3509" s="573">
        <f>+C3508*2</f>
        <v>8</v>
      </c>
      <c r="D3509" s="572">
        <v>2.15</v>
      </c>
      <c r="E3509" s="405">
        <v>0.03</v>
      </c>
      <c r="F3509" s="405">
        <v>0.08</v>
      </c>
      <c r="G3509" s="68">
        <f t="shared" si="98"/>
        <v>4.1000000000000002E-2</v>
      </c>
      <c r="H3509" s="930" t="s">
        <v>1303</v>
      </c>
    </row>
    <row r="3510" spans="1:9" ht="18" customHeight="1">
      <c r="A3510" s="128"/>
      <c r="B3510" s="362" t="s">
        <v>1212</v>
      </c>
      <c r="C3510" s="70"/>
      <c r="D3510" s="68"/>
      <c r="E3510" s="68"/>
      <c r="F3510" s="68"/>
      <c r="G3510" s="68" t="str">
        <f t="shared" si="98"/>
        <v xml:space="preserve"> </v>
      </c>
      <c r="H3510" s="930" t="s">
        <v>1303</v>
      </c>
    </row>
    <row r="3511" spans="1:9" s="78" customFormat="1" ht="18" customHeight="1">
      <c r="A3511" s="432"/>
      <c r="B3511" s="408" t="s">
        <v>1201</v>
      </c>
      <c r="C3511" s="573">
        <v>6</v>
      </c>
      <c r="D3511" s="572">
        <v>0.7</v>
      </c>
      <c r="E3511" s="405">
        <v>0.125</v>
      </c>
      <c r="F3511" s="405">
        <v>0.05</v>
      </c>
      <c r="G3511" s="68">
        <f t="shared" si="98"/>
        <v>2.5999999999999999E-2</v>
      </c>
      <c r="H3511" s="930" t="s">
        <v>1303</v>
      </c>
      <c r="I3511" s="1227"/>
    </row>
    <row r="3512" spans="1:9" ht="19.5" customHeight="1">
      <c r="A3512" s="354"/>
      <c r="B3512" s="63" t="s">
        <v>1202</v>
      </c>
      <c r="C3512" s="573">
        <f>+C3511*2</f>
        <v>12</v>
      </c>
      <c r="D3512" s="574">
        <v>2.15</v>
      </c>
      <c r="E3512" s="405">
        <v>0.125</v>
      </c>
      <c r="F3512" s="405">
        <v>0.05</v>
      </c>
      <c r="G3512" s="68">
        <f t="shared" si="98"/>
        <v>0.161</v>
      </c>
      <c r="H3512" s="930" t="s">
        <v>1303</v>
      </c>
    </row>
    <row r="3513" spans="1:9" s="78" customFormat="1" ht="18" customHeight="1">
      <c r="A3513" s="432"/>
      <c r="B3513" s="408" t="s">
        <v>1462</v>
      </c>
      <c r="C3513" s="573">
        <f>6</f>
        <v>6</v>
      </c>
      <c r="D3513" s="572">
        <v>0.8</v>
      </c>
      <c r="E3513" s="405">
        <v>0.03</v>
      </c>
      <c r="F3513" s="405">
        <v>0.08</v>
      </c>
      <c r="G3513" s="68">
        <f t="shared" si="98"/>
        <v>1.2E-2</v>
      </c>
      <c r="H3513" s="930" t="s">
        <v>1303</v>
      </c>
      <c r="I3513" s="1227"/>
    </row>
    <row r="3514" spans="1:9" ht="18" customHeight="1">
      <c r="A3514" s="354"/>
      <c r="B3514" s="63" t="s">
        <v>1463</v>
      </c>
      <c r="C3514" s="573">
        <f>+C3513*2</f>
        <v>12</v>
      </c>
      <c r="D3514" s="572">
        <v>2.15</v>
      </c>
      <c r="E3514" s="405">
        <v>0.03</v>
      </c>
      <c r="F3514" s="405">
        <v>0.08</v>
      </c>
      <c r="G3514" s="68">
        <f t="shared" si="98"/>
        <v>6.2E-2</v>
      </c>
      <c r="H3514" s="930" t="s">
        <v>1303</v>
      </c>
    </row>
    <row r="3515" spans="1:9" ht="18" customHeight="1">
      <c r="A3515" s="128"/>
      <c r="B3515" s="362" t="s">
        <v>1213</v>
      </c>
      <c r="C3515" s="404"/>
      <c r="D3515" s="405"/>
      <c r="E3515" s="405"/>
      <c r="F3515" s="405"/>
      <c r="G3515" s="68" t="str">
        <f t="shared" si="98"/>
        <v xml:space="preserve"> </v>
      </c>
      <c r="H3515" s="930" t="s">
        <v>1303</v>
      </c>
    </row>
    <row r="3516" spans="1:9" s="78" customFormat="1" ht="18" customHeight="1">
      <c r="A3516" s="432"/>
      <c r="B3516" s="408" t="s">
        <v>1201</v>
      </c>
      <c r="C3516" s="573">
        <v>1</v>
      </c>
      <c r="D3516" s="572">
        <v>0.8</v>
      </c>
      <c r="E3516" s="405">
        <v>0.125</v>
      </c>
      <c r="F3516" s="405">
        <v>0.05</v>
      </c>
      <c r="G3516" s="68">
        <f t="shared" si="98"/>
        <v>5.0000000000000001E-3</v>
      </c>
      <c r="H3516" s="930" t="s">
        <v>1303</v>
      </c>
      <c r="I3516" s="1227"/>
    </row>
    <row r="3517" spans="1:9" ht="18" customHeight="1">
      <c r="A3517" s="354"/>
      <c r="B3517" s="63" t="s">
        <v>1202</v>
      </c>
      <c r="C3517" s="573">
        <f>+C3516*2</f>
        <v>2</v>
      </c>
      <c r="D3517" s="574">
        <v>2.15</v>
      </c>
      <c r="E3517" s="405">
        <v>0.125</v>
      </c>
      <c r="F3517" s="405">
        <v>0.05</v>
      </c>
      <c r="G3517" s="68">
        <f t="shared" si="98"/>
        <v>2.7E-2</v>
      </c>
      <c r="H3517" s="930" t="s">
        <v>1303</v>
      </c>
    </row>
    <row r="3518" spans="1:9" s="78" customFormat="1" ht="18" customHeight="1">
      <c r="A3518" s="432"/>
      <c r="B3518" s="408" t="s">
        <v>1462</v>
      </c>
      <c r="C3518" s="573">
        <f>1</f>
        <v>1</v>
      </c>
      <c r="D3518" s="574">
        <v>0.9</v>
      </c>
      <c r="E3518" s="405">
        <v>0.03</v>
      </c>
      <c r="F3518" s="405">
        <v>0.08</v>
      </c>
      <c r="G3518" s="68">
        <f t="shared" si="98"/>
        <v>2E-3</v>
      </c>
      <c r="H3518" s="930" t="s">
        <v>1303</v>
      </c>
      <c r="I3518" s="1227"/>
    </row>
    <row r="3519" spans="1:9" ht="18" customHeight="1">
      <c r="A3519" s="354"/>
      <c r="B3519" s="63" t="s">
        <v>1463</v>
      </c>
      <c r="C3519" s="573">
        <f>+C3518*2</f>
        <v>2</v>
      </c>
      <c r="D3519" s="572">
        <v>2.15</v>
      </c>
      <c r="E3519" s="405">
        <v>0.03</v>
      </c>
      <c r="F3519" s="405">
        <v>0.08</v>
      </c>
      <c r="G3519" s="68">
        <f t="shared" si="98"/>
        <v>0.01</v>
      </c>
      <c r="H3519" s="930" t="s">
        <v>1303</v>
      </c>
    </row>
    <row r="3520" spans="1:9" s="355" customFormat="1" ht="18" customHeight="1">
      <c r="A3520" s="380"/>
      <c r="B3520" s="874" t="s">
        <v>2188</v>
      </c>
      <c r="C3520" s="917"/>
      <c r="D3520" s="918"/>
      <c r="E3520" s="713"/>
      <c r="F3520" s="713"/>
      <c r="G3520" s="713">
        <f>SUM(G3495:G3519)</f>
        <v>7.3129999999999979</v>
      </c>
      <c r="H3520" s="945" t="s">
        <v>8</v>
      </c>
      <c r="I3520" s="1239" t="s">
        <v>523</v>
      </c>
    </row>
    <row r="3521" spans="1:10" s="355" customFormat="1" ht="18" customHeight="1">
      <c r="A3521" s="354"/>
      <c r="B3521" s="64"/>
      <c r="C3521" s="427"/>
      <c r="D3521" s="428"/>
      <c r="E3521" s="352"/>
      <c r="F3521" s="352"/>
      <c r="G3521" s="352"/>
      <c r="H3521" s="942"/>
      <c r="I3521" s="1239"/>
      <c r="J3521" s="65"/>
    </row>
    <row r="3522" spans="1:10" s="628" customFormat="1" ht="17.25" customHeight="1">
      <c r="A3522" s="914" t="s">
        <v>528</v>
      </c>
      <c r="B3522" s="915" t="s">
        <v>2123</v>
      </c>
      <c r="C3522" s="632"/>
      <c r="D3522" s="585"/>
      <c r="E3522" s="585"/>
      <c r="F3522" s="585"/>
      <c r="G3522" s="352"/>
      <c r="H3522" s="939"/>
      <c r="I3522" s="1235"/>
    </row>
    <row r="3523" spans="1:10" s="628" customFormat="1" ht="24.95" customHeight="1">
      <c r="A3523" s="635" t="s">
        <v>2045</v>
      </c>
      <c r="B3523" s="658" t="s">
        <v>2124</v>
      </c>
      <c r="C3523" s="632"/>
      <c r="D3523" s="585"/>
      <c r="E3523" s="585"/>
      <c r="F3523" s="585"/>
      <c r="G3523" s="585">
        <f>+PRODUCT(C3523:F3523)</f>
        <v>0</v>
      </c>
      <c r="H3523" s="939"/>
      <c r="I3523" s="1235"/>
    </row>
    <row r="3524" spans="1:10" ht="18" customHeight="1">
      <c r="A3524" s="354" t="s">
        <v>1303</v>
      </c>
      <c r="B3524" s="409" t="s">
        <v>1200</v>
      </c>
      <c r="C3524" s="70">
        <v>153</v>
      </c>
      <c r="D3524" s="452">
        <v>0.82</v>
      </c>
      <c r="E3524" s="452">
        <v>2.0699999999999998</v>
      </c>
      <c r="F3524" s="68"/>
      <c r="G3524" s="67">
        <f>IF(C3524&lt;&gt;0,ROUND(PRODUCT(D3524:F3524)*C3524,2)," ")</f>
        <v>259.7</v>
      </c>
      <c r="H3524" s="929" t="s">
        <v>1303</v>
      </c>
    </row>
    <row r="3525" spans="1:10" ht="18" customHeight="1">
      <c r="A3525" s="354"/>
      <c r="B3525" s="409" t="s">
        <v>1210</v>
      </c>
      <c r="C3525" s="70">
        <v>1</v>
      </c>
      <c r="D3525" s="452">
        <v>1.1200000000000001</v>
      </c>
      <c r="E3525" s="452">
        <v>2.0699999999999998</v>
      </c>
      <c r="F3525" s="68"/>
      <c r="G3525" s="67">
        <f t="shared" ref="G3525:G3528" si="99">IF(C3525&lt;&gt;0,ROUND(PRODUCT(D3525:F3525)*C3525,2)," ")</f>
        <v>2.3199999999999998</v>
      </c>
      <c r="H3525" s="929" t="s">
        <v>1303</v>
      </c>
    </row>
    <row r="3526" spans="1:10" ht="18" customHeight="1">
      <c r="A3526" s="354"/>
      <c r="B3526" s="409" t="s">
        <v>1214</v>
      </c>
      <c r="C3526" s="70">
        <v>4</v>
      </c>
      <c r="D3526" s="452">
        <v>0.72</v>
      </c>
      <c r="E3526" s="452">
        <v>2.0699999999999998</v>
      </c>
      <c r="F3526" s="68"/>
      <c r="G3526" s="67">
        <f t="shared" si="99"/>
        <v>5.96</v>
      </c>
      <c r="H3526" s="929" t="s">
        <v>1303</v>
      </c>
    </row>
    <row r="3527" spans="1:10" ht="18" customHeight="1">
      <c r="A3527" s="354"/>
      <c r="B3527" s="409" t="s">
        <v>1215</v>
      </c>
      <c r="C3527" s="70">
        <v>6</v>
      </c>
      <c r="D3527" s="452">
        <v>0.72</v>
      </c>
      <c r="E3527" s="452">
        <v>2.0699999999999998</v>
      </c>
      <c r="F3527" s="68"/>
      <c r="G3527" s="67">
        <f t="shared" si="99"/>
        <v>8.94</v>
      </c>
      <c r="H3527" s="929" t="s">
        <v>1303</v>
      </c>
    </row>
    <row r="3528" spans="1:10" ht="18" customHeight="1">
      <c r="A3528" s="354"/>
      <c r="B3528" s="409" t="s">
        <v>1216</v>
      </c>
      <c r="C3528" s="70">
        <v>1</v>
      </c>
      <c r="D3528" s="452">
        <v>0.82</v>
      </c>
      <c r="E3528" s="452">
        <v>2.0699999999999998</v>
      </c>
      <c r="F3528" s="68"/>
      <c r="G3528" s="67">
        <f t="shared" si="99"/>
        <v>1.7</v>
      </c>
      <c r="H3528" s="929" t="s">
        <v>1303</v>
      </c>
    </row>
    <row r="3529" spans="1:10" s="355" customFormat="1" ht="18" customHeight="1">
      <c r="A3529" s="380"/>
      <c r="B3529" s="874" t="s">
        <v>2188</v>
      </c>
      <c r="C3529" s="917"/>
      <c r="D3529" s="918"/>
      <c r="E3529" s="713"/>
      <c r="F3529" s="713"/>
      <c r="G3529" s="842">
        <f>SUM(G3522:G3528)</f>
        <v>278.61999999999995</v>
      </c>
      <c r="H3529" s="945" t="s">
        <v>347</v>
      </c>
      <c r="I3529" s="1239" t="s">
        <v>528</v>
      </c>
    </row>
    <row r="3530" spans="1:10" ht="14.25">
      <c r="A3530" s="635"/>
      <c r="B3530" s="962"/>
      <c r="C3530" s="962"/>
      <c r="D3530" s="962"/>
      <c r="E3530" s="962"/>
      <c r="F3530" s="962"/>
      <c r="G3530" s="692"/>
      <c r="H3530" s="939"/>
    </row>
    <row r="3531" spans="1:10" ht="18" customHeight="1">
      <c r="A3531" s="380" t="s">
        <v>535</v>
      </c>
      <c r="B3531" s="387" t="s">
        <v>2195</v>
      </c>
      <c r="C3531" s="70"/>
      <c r="D3531" s="68"/>
      <c r="E3531" s="68"/>
      <c r="F3531" s="68"/>
      <c r="G3531" s="68"/>
      <c r="H3531" s="929"/>
      <c r="J3531" s="686"/>
    </row>
    <row r="3532" spans="1:10" ht="18" customHeight="1">
      <c r="A3532" s="354" t="s">
        <v>1306</v>
      </c>
      <c r="B3532" s="409" t="s">
        <v>1720</v>
      </c>
      <c r="C3532" s="70">
        <v>8</v>
      </c>
      <c r="D3532" s="68">
        <v>1.2</v>
      </c>
      <c r="E3532" s="68">
        <v>2.1</v>
      </c>
      <c r="F3532" s="68"/>
      <c r="G3532" s="67">
        <f t="shared" ref="G3532:G3533" si="100">IF(C3532&lt;&gt;0,ROUND(PRODUCT(D3532:F3532)*C3532,2)," ")</f>
        <v>20.16</v>
      </c>
      <c r="H3532" s="929" t="s">
        <v>1306</v>
      </c>
    </row>
    <row r="3533" spans="1:10" ht="18" customHeight="1">
      <c r="A3533" s="354"/>
      <c r="B3533" s="409" t="s">
        <v>1396</v>
      </c>
      <c r="C3533" s="70">
        <v>3</v>
      </c>
      <c r="D3533" s="68">
        <v>1.2</v>
      </c>
      <c r="E3533" s="68">
        <v>2.1</v>
      </c>
      <c r="F3533" s="68"/>
      <c r="G3533" s="67">
        <f t="shared" si="100"/>
        <v>7.56</v>
      </c>
      <c r="H3533" s="929" t="s">
        <v>1306</v>
      </c>
    </row>
    <row r="3534" spans="1:10" s="355" customFormat="1" ht="18" customHeight="1">
      <c r="A3534" s="354"/>
      <c r="B3534" s="64"/>
      <c r="C3534" s="410"/>
      <c r="D3534" s="352"/>
      <c r="E3534" s="352"/>
      <c r="F3534" s="352"/>
      <c r="G3534" s="352"/>
      <c r="H3534" s="942"/>
      <c r="I3534" s="1239"/>
    </row>
    <row r="3535" spans="1:10" s="355" customFormat="1" ht="18" customHeight="1">
      <c r="A3535" s="380"/>
      <c r="B3535" s="874" t="s">
        <v>2188</v>
      </c>
      <c r="C3535" s="917"/>
      <c r="D3535" s="918"/>
      <c r="E3535" s="713"/>
      <c r="F3535" s="713"/>
      <c r="G3535" s="842">
        <f>SUM(G3531:G3534)</f>
        <v>27.72</v>
      </c>
      <c r="H3535" s="945" t="s">
        <v>350</v>
      </c>
      <c r="I3535" s="1239" t="s">
        <v>535</v>
      </c>
    </row>
    <row r="3536" spans="1:10" s="79" customFormat="1" ht="18" customHeight="1">
      <c r="A3536" s="934"/>
      <c r="B3536" s="566"/>
      <c r="C3536" s="254"/>
      <c r="D3536" s="254"/>
      <c r="E3536" s="254"/>
      <c r="F3536" s="254"/>
      <c r="G3536" s="566"/>
      <c r="H3536" s="963"/>
      <c r="I3536" s="1231"/>
      <c r="J3536" s="688"/>
    </row>
    <row r="3537" spans="1:10" ht="18" customHeight="1">
      <c r="A3537" s="380" t="s">
        <v>540</v>
      </c>
      <c r="B3537" s="387" t="s">
        <v>1397</v>
      </c>
      <c r="C3537" s="70"/>
      <c r="D3537" s="68"/>
      <c r="E3537" s="68"/>
      <c r="F3537" s="68"/>
      <c r="G3537" s="68"/>
      <c r="H3537" s="929"/>
    </row>
    <row r="3538" spans="1:10" ht="18" customHeight="1">
      <c r="A3538" s="354" t="s">
        <v>1306</v>
      </c>
      <c r="B3538" s="409" t="s">
        <v>1720</v>
      </c>
      <c r="C3538" s="404">
        <v>8</v>
      </c>
      <c r="D3538" s="584">
        <v>1</v>
      </c>
      <c r="E3538" s="68"/>
      <c r="F3538" s="68"/>
      <c r="G3538" s="67">
        <f t="shared" ref="G3538:G3540" si="101">IF(C3538&lt;&gt;0,ROUND(PRODUCT(D3538:F3538)*C3538,2)," ")</f>
        <v>8</v>
      </c>
      <c r="H3538" s="929" t="s">
        <v>1306</v>
      </c>
    </row>
    <row r="3539" spans="1:10" ht="18" customHeight="1">
      <c r="A3539" s="354"/>
      <c r="B3539" s="409" t="s">
        <v>1764</v>
      </c>
      <c r="C3539" s="404">
        <v>3</v>
      </c>
      <c r="D3539" s="584">
        <v>1</v>
      </c>
      <c r="E3539" s="68"/>
      <c r="F3539" s="68"/>
      <c r="G3539" s="67">
        <f t="shared" si="101"/>
        <v>3</v>
      </c>
      <c r="H3539" s="929" t="s">
        <v>1306</v>
      </c>
    </row>
    <row r="3540" spans="1:10" s="494" customFormat="1" ht="30" customHeight="1">
      <c r="A3540" s="432" t="s">
        <v>1442</v>
      </c>
      <c r="B3540" s="63" t="s">
        <v>1726</v>
      </c>
      <c r="C3540" s="404">
        <v>3</v>
      </c>
      <c r="D3540" s="584">
        <v>1</v>
      </c>
      <c r="E3540" s="486"/>
      <c r="F3540" s="486"/>
      <c r="G3540" s="67">
        <f t="shared" si="101"/>
        <v>3</v>
      </c>
      <c r="H3540" s="938" t="s">
        <v>1442</v>
      </c>
      <c r="I3540" s="1230"/>
    </row>
    <row r="3541" spans="1:10" s="355" customFormat="1" ht="18" customHeight="1">
      <c r="A3541" s="354"/>
      <c r="B3541" s="64"/>
      <c r="C3541" s="427"/>
      <c r="D3541" s="428"/>
      <c r="E3541" s="352"/>
      <c r="F3541" s="352"/>
      <c r="G3541" s="615"/>
      <c r="H3541" s="942"/>
      <c r="I3541" s="1239"/>
      <c r="J3541" s="65"/>
    </row>
    <row r="3542" spans="1:10" ht="18" customHeight="1">
      <c r="A3542" s="380"/>
      <c r="B3542" s="874" t="s">
        <v>2188</v>
      </c>
      <c r="C3542" s="917"/>
      <c r="D3542" s="918"/>
      <c r="E3542" s="713"/>
      <c r="F3542" s="713"/>
      <c r="G3542" s="842">
        <f>SUM(G3538:G3541)</f>
        <v>14</v>
      </c>
      <c r="H3542" s="945" t="s">
        <v>414</v>
      </c>
      <c r="I3542" s="1226" t="s">
        <v>540</v>
      </c>
      <c r="J3542" s="355"/>
    </row>
    <row r="3543" spans="1:10" s="79" customFormat="1" ht="18" customHeight="1">
      <c r="A3543" s="934"/>
      <c r="B3543" s="566"/>
      <c r="C3543" s="565"/>
      <c r="D3543" s="254"/>
      <c r="E3543" s="254"/>
      <c r="F3543" s="254"/>
      <c r="G3543" s="566"/>
      <c r="H3543" s="963"/>
      <c r="I3543" s="1231"/>
      <c r="J3543" s="688"/>
    </row>
    <row r="3544" spans="1:10" ht="18" customHeight="1">
      <c r="A3544" s="380" t="s">
        <v>544</v>
      </c>
      <c r="B3544" s="387" t="s">
        <v>2196</v>
      </c>
      <c r="C3544" s="70"/>
      <c r="D3544" s="68"/>
      <c r="E3544" s="68"/>
      <c r="F3544" s="68"/>
      <c r="G3544" s="68"/>
      <c r="H3544" s="929"/>
      <c r="J3544" s="686" t="s">
        <v>2187</v>
      </c>
    </row>
    <row r="3545" spans="1:10" ht="18" customHeight="1">
      <c r="A3545" s="354" t="s">
        <v>1306</v>
      </c>
      <c r="B3545" s="409" t="s">
        <v>2197</v>
      </c>
      <c r="C3545" s="70">
        <v>8</v>
      </c>
      <c r="D3545" s="68">
        <v>1</v>
      </c>
      <c r="E3545" s="68"/>
      <c r="F3545" s="68"/>
      <c r="G3545" s="67">
        <f t="shared" ref="G3545" si="102">IF(C3545&lt;&gt;0,ROUND(PRODUCT(D3545:F3545)*C3545,2)," ")</f>
        <v>8</v>
      </c>
      <c r="H3545" s="929" t="s">
        <v>1306</v>
      </c>
    </row>
    <row r="3546" spans="1:10" ht="18" customHeight="1">
      <c r="A3546" s="354"/>
      <c r="B3546" s="409" t="s">
        <v>1396</v>
      </c>
      <c r="C3546" s="70">
        <f>3*0</f>
        <v>0</v>
      </c>
      <c r="D3546" s="68"/>
      <c r="E3546" s="68"/>
      <c r="F3546" s="68"/>
      <c r="G3546" s="68">
        <f>+PRODUCT(C3546:F3546)</f>
        <v>0</v>
      </c>
      <c r="H3546" s="929" t="s">
        <v>1306</v>
      </c>
    </row>
    <row r="3547" spans="1:10" s="355" customFormat="1" ht="18" customHeight="1">
      <c r="A3547" s="354"/>
      <c r="B3547" s="64"/>
      <c r="C3547" s="410"/>
      <c r="D3547" s="352"/>
      <c r="E3547" s="352"/>
      <c r="F3547" s="352"/>
      <c r="G3547" s="352"/>
      <c r="H3547" s="942"/>
      <c r="I3547" s="1239"/>
    </row>
    <row r="3548" spans="1:10" ht="18" customHeight="1">
      <c r="A3548" s="380"/>
      <c r="B3548" s="874" t="s">
        <v>2188</v>
      </c>
      <c r="C3548" s="917"/>
      <c r="D3548" s="918"/>
      <c r="E3548" s="713"/>
      <c r="F3548" s="713"/>
      <c r="G3548" s="842">
        <f>SUM(G3545:G3547)</f>
        <v>8</v>
      </c>
      <c r="H3548" s="945" t="s">
        <v>414</v>
      </c>
      <c r="I3548" s="1226" t="s">
        <v>544</v>
      </c>
      <c r="J3548" s="355"/>
    </row>
    <row r="3549" spans="1:10" s="79" customFormat="1" ht="18" customHeight="1">
      <c r="A3549" s="934"/>
      <c r="B3549" s="566"/>
      <c r="C3549" s="254"/>
      <c r="D3549" s="254"/>
      <c r="E3549" s="254"/>
      <c r="F3549" s="254"/>
      <c r="G3549" s="566"/>
      <c r="H3549" s="963"/>
      <c r="I3549" s="1231"/>
      <c r="J3549" s="688"/>
    </row>
    <row r="3550" spans="1:10" ht="18" customHeight="1">
      <c r="A3550" s="380" t="s">
        <v>546</v>
      </c>
      <c r="B3550" s="387" t="s">
        <v>2198</v>
      </c>
      <c r="C3550" s="70"/>
      <c r="D3550" s="68"/>
      <c r="E3550" s="68"/>
      <c r="F3550" s="68"/>
      <c r="G3550" s="68"/>
      <c r="H3550" s="929"/>
      <c r="J3550" s="686" t="s">
        <v>2187</v>
      </c>
    </row>
    <row r="3551" spans="1:10" ht="18" customHeight="1">
      <c r="A3551" s="354" t="s">
        <v>1306</v>
      </c>
      <c r="B3551" s="409" t="s">
        <v>2197</v>
      </c>
      <c r="C3551" s="70">
        <v>8</v>
      </c>
      <c r="D3551" s="68">
        <v>1</v>
      </c>
      <c r="E3551" s="68"/>
      <c r="F3551" s="68"/>
      <c r="G3551" s="67">
        <f t="shared" ref="G3551" si="103">IF(C3551&lt;&gt;0,ROUND(PRODUCT(D3551:F3551)*C3551,2)," ")</f>
        <v>8</v>
      </c>
      <c r="H3551" s="929" t="s">
        <v>1306</v>
      </c>
    </row>
    <row r="3552" spans="1:10" ht="18" customHeight="1">
      <c r="A3552" s="354"/>
      <c r="B3552" s="409" t="s">
        <v>1396</v>
      </c>
      <c r="C3552" s="70">
        <f>3*0</f>
        <v>0</v>
      </c>
      <c r="D3552" s="68"/>
      <c r="E3552" s="68"/>
      <c r="F3552" s="68"/>
      <c r="G3552" s="68">
        <f>+PRODUCT(C3552:F3552)</f>
        <v>0</v>
      </c>
      <c r="H3552" s="929" t="s">
        <v>1306</v>
      </c>
    </row>
    <row r="3553" spans="1:10" s="355" customFormat="1" ht="18" customHeight="1">
      <c r="A3553" s="354"/>
      <c r="B3553" s="64"/>
      <c r="C3553" s="410"/>
      <c r="D3553" s="352"/>
      <c r="E3553" s="352"/>
      <c r="F3553" s="352"/>
      <c r="G3553" s="352"/>
      <c r="H3553" s="942"/>
      <c r="I3553" s="1239"/>
    </row>
    <row r="3554" spans="1:10" ht="18" customHeight="1">
      <c r="A3554" s="380"/>
      <c r="B3554" s="874" t="s">
        <v>2188</v>
      </c>
      <c r="C3554" s="917"/>
      <c r="D3554" s="918"/>
      <c r="E3554" s="713"/>
      <c r="F3554" s="713"/>
      <c r="G3554" s="842">
        <f>SUM(G3551:G3553)</f>
        <v>8</v>
      </c>
      <c r="H3554" s="945" t="s">
        <v>414</v>
      </c>
      <c r="I3554" s="1226" t="s">
        <v>546</v>
      </c>
      <c r="J3554" s="355"/>
    </row>
    <row r="3555" spans="1:10" s="79" customFormat="1" ht="18" customHeight="1">
      <c r="A3555" s="934"/>
      <c r="B3555" s="566"/>
      <c r="C3555" s="254"/>
      <c r="D3555" s="254"/>
      <c r="E3555" s="254"/>
      <c r="F3555" s="254"/>
      <c r="G3555" s="566"/>
      <c r="H3555" s="963"/>
      <c r="I3555" s="1231"/>
      <c r="J3555" s="688"/>
    </row>
    <row r="3556" spans="1:10" ht="18" customHeight="1">
      <c r="A3556" s="380" t="s">
        <v>548</v>
      </c>
      <c r="B3556" s="387" t="s">
        <v>1719</v>
      </c>
      <c r="C3556" s="70"/>
      <c r="D3556" s="68"/>
      <c r="E3556" s="68"/>
      <c r="F3556" s="68"/>
      <c r="G3556" s="68"/>
      <c r="H3556" s="929"/>
    </row>
    <row r="3557" spans="1:10" ht="18" customHeight="1">
      <c r="A3557" s="354" t="s">
        <v>1306</v>
      </c>
      <c r="B3557" s="409" t="s">
        <v>1720</v>
      </c>
      <c r="C3557" s="404">
        <v>8</v>
      </c>
      <c r="D3557" s="405">
        <v>0.3</v>
      </c>
      <c r="E3557" s="405">
        <v>0.3</v>
      </c>
      <c r="F3557" s="68"/>
      <c r="G3557" s="67">
        <f t="shared" ref="G3557:G3558" si="104">IF(C3557&lt;&gt;0,ROUND(PRODUCT(D3557:F3557)*C3557,2)," ")</f>
        <v>0.72</v>
      </c>
      <c r="H3557" s="929" t="s">
        <v>1306</v>
      </c>
    </row>
    <row r="3558" spans="1:10" ht="18" customHeight="1">
      <c r="A3558" s="354"/>
      <c r="B3558" s="409" t="s">
        <v>1396</v>
      </c>
      <c r="C3558" s="404">
        <f>3*0</f>
        <v>0</v>
      </c>
      <c r="D3558" s="405">
        <v>0.3</v>
      </c>
      <c r="E3558" s="405">
        <v>0.3</v>
      </c>
      <c r="F3558" s="68"/>
      <c r="G3558" s="67" t="str">
        <f t="shared" si="104"/>
        <v xml:space="preserve"> </v>
      </c>
      <c r="H3558" s="929" t="s">
        <v>1306</v>
      </c>
    </row>
    <row r="3559" spans="1:10" s="355" customFormat="1" ht="18" customHeight="1">
      <c r="A3559" s="354"/>
      <c r="B3559" s="64"/>
      <c r="C3559" s="427"/>
      <c r="D3559" s="428"/>
      <c r="E3559" s="352"/>
      <c r="F3559" s="352"/>
      <c r="G3559" s="352"/>
      <c r="H3559" s="942"/>
      <c r="I3559" s="1239"/>
      <c r="J3559" s="65"/>
    </row>
    <row r="3560" spans="1:10" ht="18" customHeight="1">
      <c r="A3560" s="380"/>
      <c r="B3560" s="874" t="s">
        <v>2188</v>
      </c>
      <c r="C3560" s="917"/>
      <c r="D3560" s="918"/>
      <c r="E3560" s="713"/>
      <c r="F3560" s="713"/>
      <c r="G3560" s="842">
        <f>SUM(G3557:G3559)</f>
        <v>0.72</v>
      </c>
      <c r="H3560" s="945" t="s">
        <v>10</v>
      </c>
      <c r="I3560" s="1226" t="s">
        <v>548</v>
      </c>
      <c r="J3560" s="355"/>
    </row>
    <row r="3561" spans="1:10" s="79" customFormat="1" ht="18" customHeight="1">
      <c r="A3561" s="934"/>
      <c r="B3561" s="566"/>
      <c r="C3561" s="254"/>
      <c r="D3561" s="254"/>
      <c r="E3561" s="254"/>
      <c r="F3561" s="254"/>
      <c r="G3561" s="566"/>
      <c r="H3561" s="963"/>
      <c r="I3561" s="1231"/>
      <c r="J3561" s="688"/>
    </row>
    <row r="3562" spans="1:10" ht="18" customHeight="1">
      <c r="A3562" s="380" t="s">
        <v>553</v>
      </c>
      <c r="B3562" s="437" t="s">
        <v>1219</v>
      </c>
      <c r="C3562" s="70"/>
      <c r="D3562" s="68"/>
      <c r="E3562" s="68"/>
      <c r="F3562" s="68"/>
      <c r="G3562" s="68"/>
      <c r="H3562" s="929"/>
    </row>
    <row r="3563" spans="1:10" ht="18" customHeight="1">
      <c r="A3563" s="354" t="s">
        <v>1442</v>
      </c>
      <c r="B3563" s="63" t="s">
        <v>1200</v>
      </c>
      <c r="C3563" s="404">
        <v>153</v>
      </c>
      <c r="D3563" s="405">
        <v>1</v>
      </c>
      <c r="E3563" s="68"/>
      <c r="F3563" s="68"/>
      <c r="G3563" s="67">
        <f t="shared" ref="G3563" si="105">IF(C3563&lt;&gt;0,ROUND(PRODUCT(D3563:F3563)*C3563,2)," ")</f>
        <v>153</v>
      </c>
      <c r="H3563" s="929" t="s">
        <v>1303</v>
      </c>
      <c r="J3563" s="355"/>
    </row>
    <row r="3564" spans="1:10" ht="18" customHeight="1">
      <c r="A3564" s="354"/>
      <c r="B3564" s="409" t="s">
        <v>1210</v>
      </c>
      <c r="C3564" s="404">
        <v>1</v>
      </c>
      <c r="D3564" s="405">
        <v>1</v>
      </c>
      <c r="E3564" s="68"/>
      <c r="F3564" s="68"/>
      <c r="G3564" s="68">
        <f>+PRODUCT(C3564:F3564)</f>
        <v>1</v>
      </c>
      <c r="H3564" s="929" t="s">
        <v>1303</v>
      </c>
    </row>
    <row r="3565" spans="1:10" ht="18" customHeight="1">
      <c r="A3565" s="354"/>
      <c r="B3565" s="409" t="s">
        <v>1214</v>
      </c>
      <c r="C3565" s="404">
        <v>4</v>
      </c>
      <c r="D3565" s="405">
        <v>1</v>
      </c>
      <c r="E3565" s="68"/>
      <c r="F3565" s="68"/>
      <c r="G3565" s="68">
        <f>+PRODUCT(C3565:F3565)</f>
        <v>4</v>
      </c>
      <c r="H3565" s="929" t="s">
        <v>1303</v>
      </c>
    </row>
    <row r="3566" spans="1:10" ht="18" customHeight="1">
      <c r="A3566" s="354"/>
      <c r="B3566" s="409" t="s">
        <v>1215</v>
      </c>
      <c r="C3566" s="404">
        <v>6</v>
      </c>
      <c r="D3566" s="405">
        <v>1</v>
      </c>
      <c r="E3566" s="68"/>
      <c r="F3566" s="68"/>
      <c r="G3566" s="68">
        <f>+PRODUCT(C3566:F3566)</f>
        <v>6</v>
      </c>
      <c r="H3566" s="929" t="s">
        <v>1303</v>
      </c>
    </row>
    <row r="3567" spans="1:10" ht="18" customHeight="1">
      <c r="A3567" s="354"/>
      <c r="B3567" s="409" t="s">
        <v>1216</v>
      </c>
      <c r="C3567" s="404">
        <v>1</v>
      </c>
      <c r="D3567" s="405">
        <v>1</v>
      </c>
      <c r="E3567" s="68"/>
      <c r="F3567" s="68"/>
      <c r="G3567" s="68">
        <f>+PRODUCT(C3567:F3567)</f>
        <v>1</v>
      </c>
      <c r="H3567" s="929" t="s">
        <v>1303</v>
      </c>
    </row>
    <row r="3568" spans="1:10" s="355" customFormat="1" ht="18" customHeight="1">
      <c r="A3568" s="354"/>
      <c r="B3568" s="64"/>
      <c r="C3568" s="427"/>
      <c r="D3568" s="428"/>
      <c r="E3568" s="352"/>
      <c r="F3568" s="352"/>
      <c r="G3568" s="615"/>
      <c r="H3568" s="942"/>
      <c r="I3568" s="1239"/>
      <c r="J3568" s="65"/>
    </row>
    <row r="3569" spans="1:10" ht="18" customHeight="1">
      <c r="A3569" s="932"/>
      <c r="B3569" s="874" t="s">
        <v>2188</v>
      </c>
      <c r="C3569" s="875"/>
      <c r="D3569" s="874"/>
      <c r="E3569" s="874"/>
      <c r="F3569" s="874"/>
      <c r="G3569" s="842">
        <f>SUM(G3563:G3568)</f>
        <v>165</v>
      </c>
      <c r="H3569" s="945" t="s">
        <v>414</v>
      </c>
      <c r="I3569" s="1226" t="s">
        <v>553</v>
      </c>
      <c r="J3569" s="355"/>
    </row>
    <row r="3570" spans="1:10" s="79" customFormat="1" ht="18" customHeight="1">
      <c r="A3570" s="934"/>
      <c r="B3570" s="566"/>
      <c r="C3570" s="254"/>
      <c r="D3570" s="254"/>
      <c r="E3570" s="254"/>
      <c r="F3570" s="254"/>
      <c r="G3570" s="566"/>
      <c r="H3570" s="963"/>
      <c r="I3570" s="1231"/>
      <c r="J3570" s="688"/>
    </row>
    <row r="3571" spans="1:10" ht="18" customHeight="1">
      <c r="A3571" s="380" t="s">
        <v>557</v>
      </c>
      <c r="B3571" s="437" t="s">
        <v>558</v>
      </c>
      <c r="C3571" s="70"/>
      <c r="D3571" s="68"/>
      <c r="E3571" s="68"/>
      <c r="F3571" s="68"/>
      <c r="G3571" s="68"/>
      <c r="H3571" s="929"/>
    </row>
    <row r="3572" spans="1:10" ht="18" customHeight="1">
      <c r="A3572" s="354" t="s">
        <v>1303</v>
      </c>
      <c r="B3572" s="63" t="s">
        <v>1200</v>
      </c>
      <c r="C3572" s="404">
        <v>153</v>
      </c>
      <c r="D3572" s="405">
        <v>1</v>
      </c>
      <c r="E3572" s="68"/>
      <c r="F3572" s="68"/>
      <c r="G3572" s="67">
        <f t="shared" ref="G3572" si="106">IF(C3572&lt;&gt;0,ROUND(PRODUCT(D3572:F3572)*C3572,2)," ")</f>
        <v>153</v>
      </c>
      <c r="H3572" s="929" t="s">
        <v>1303</v>
      </c>
      <c r="J3572" s="355"/>
    </row>
    <row r="3573" spans="1:10" ht="18" customHeight="1">
      <c r="A3573" s="354"/>
      <c r="B3573" s="409" t="s">
        <v>1210</v>
      </c>
      <c r="C3573" s="404">
        <v>1</v>
      </c>
      <c r="D3573" s="405">
        <v>1</v>
      </c>
      <c r="E3573" s="68"/>
      <c r="F3573" s="68"/>
      <c r="G3573" s="67">
        <f>+PRODUCT(C3573:F3573)</f>
        <v>1</v>
      </c>
      <c r="H3573" s="929" t="s">
        <v>1303</v>
      </c>
    </row>
    <row r="3574" spans="1:10" ht="18" customHeight="1">
      <c r="A3574" s="354"/>
      <c r="B3574" s="409" t="s">
        <v>1214</v>
      </c>
      <c r="C3574" s="404">
        <v>4</v>
      </c>
      <c r="D3574" s="405">
        <v>1</v>
      </c>
      <c r="E3574" s="68"/>
      <c r="F3574" s="68"/>
      <c r="G3574" s="67">
        <f>+PRODUCT(C3574:F3574)</f>
        <v>4</v>
      </c>
      <c r="H3574" s="929" t="s">
        <v>1303</v>
      </c>
    </row>
    <row r="3575" spans="1:10" ht="18" customHeight="1">
      <c r="A3575" s="354"/>
      <c r="B3575" s="409" t="s">
        <v>1215</v>
      </c>
      <c r="C3575" s="404">
        <v>6</v>
      </c>
      <c r="D3575" s="405">
        <v>1</v>
      </c>
      <c r="E3575" s="68"/>
      <c r="F3575" s="68"/>
      <c r="G3575" s="67">
        <f>+PRODUCT(C3575:F3575)</f>
        <v>6</v>
      </c>
      <c r="H3575" s="929" t="s">
        <v>1303</v>
      </c>
    </row>
    <row r="3576" spans="1:10" ht="18" customHeight="1">
      <c r="A3576" s="354"/>
      <c r="B3576" s="409" t="s">
        <v>1216</v>
      </c>
      <c r="C3576" s="404">
        <v>1</v>
      </c>
      <c r="D3576" s="405">
        <v>1</v>
      </c>
      <c r="E3576" s="68"/>
      <c r="F3576" s="68"/>
      <c r="G3576" s="67">
        <f>+PRODUCT(C3576:F3576)</f>
        <v>1</v>
      </c>
      <c r="H3576" s="929" t="s">
        <v>1303</v>
      </c>
    </row>
    <row r="3577" spans="1:10" s="355" customFormat="1" ht="18" customHeight="1">
      <c r="A3577" s="354"/>
      <c r="B3577" s="64"/>
      <c r="C3577" s="427"/>
      <c r="D3577" s="428"/>
      <c r="E3577" s="352"/>
      <c r="F3577" s="352"/>
      <c r="G3577" s="615"/>
      <c r="H3577" s="942"/>
      <c r="I3577" s="1239"/>
      <c r="J3577" s="65"/>
    </row>
    <row r="3578" spans="1:10" ht="18" customHeight="1">
      <c r="A3578" s="932"/>
      <c r="B3578" s="874" t="s">
        <v>2188</v>
      </c>
      <c r="C3578" s="875"/>
      <c r="D3578" s="874"/>
      <c r="E3578" s="874"/>
      <c r="F3578" s="874"/>
      <c r="G3578" s="842">
        <f>SUM(G3572:G3577)</f>
        <v>165</v>
      </c>
      <c r="H3578" s="945" t="s">
        <v>414</v>
      </c>
      <c r="I3578" s="1226" t="s">
        <v>557</v>
      </c>
      <c r="J3578" s="355"/>
    </row>
    <row r="3579" spans="1:10" s="355" customFormat="1" ht="18" customHeight="1">
      <c r="A3579" s="354"/>
      <c r="B3579" s="64"/>
      <c r="C3579" s="427"/>
      <c r="D3579" s="428"/>
      <c r="E3579" s="352"/>
      <c r="F3579" s="352"/>
      <c r="G3579" s="615"/>
      <c r="H3579" s="942"/>
      <c r="I3579" s="1239"/>
      <c r="J3579" s="65"/>
    </row>
    <row r="3580" spans="1:10" ht="18" customHeight="1">
      <c r="A3580" s="380" t="s">
        <v>559</v>
      </c>
      <c r="B3580" s="437" t="s">
        <v>1218</v>
      </c>
      <c r="C3580" s="70"/>
      <c r="D3580" s="68"/>
      <c r="E3580" s="68"/>
      <c r="F3580" s="68"/>
      <c r="G3580" s="68"/>
      <c r="H3580" s="929"/>
    </row>
    <row r="3581" spans="1:10" ht="18" customHeight="1">
      <c r="A3581" s="354" t="s">
        <v>1303</v>
      </c>
      <c r="B3581" s="63" t="s">
        <v>1200</v>
      </c>
      <c r="C3581" s="404">
        <v>153</v>
      </c>
      <c r="D3581" s="405">
        <v>1</v>
      </c>
      <c r="E3581" s="68"/>
      <c r="F3581" s="68"/>
      <c r="G3581" s="67">
        <f t="shared" ref="G3581" si="107">IF(C3581&lt;&gt;0,ROUND(PRODUCT(D3581:F3581)*C3581,2)," ")</f>
        <v>153</v>
      </c>
      <c r="H3581" s="929" t="s">
        <v>1303</v>
      </c>
      <c r="J3581" s="355"/>
    </row>
    <row r="3582" spans="1:10" ht="18" customHeight="1">
      <c r="A3582" s="354"/>
      <c r="B3582" s="409" t="s">
        <v>1210</v>
      </c>
      <c r="C3582" s="404">
        <v>1</v>
      </c>
      <c r="D3582" s="405">
        <v>1</v>
      </c>
      <c r="E3582" s="68"/>
      <c r="F3582" s="68"/>
      <c r="G3582" s="68">
        <f>+PRODUCT(C3582:F3582)</f>
        <v>1</v>
      </c>
      <c r="H3582" s="929" t="s">
        <v>1303</v>
      </c>
    </row>
    <row r="3583" spans="1:10" ht="18" customHeight="1">
      <c r="A3583" s="354"/>
      <c r="B3583" s="409" t="s">
        <v>1214</v>
      </c>
      <c r="C3583" s="404">
        <v>4</v>
      </c>
      <c r="D3583" s="405">
        <v>1</v>
      </c>
      <c r="E3583" s="68"/>
      <c r="F3583" s="68"/>
      <c r="G3583" s="68">
        <f>+PRODUCT(C3583:F3583)</f>
        <v>4</v>
      </c>
      <c r="H3583" s="929" t="s">
        <v>1303</v>
      </c>
    </row>
    <row r="3584" spans="1:10" ht="18" customHeight="1">
      <c r="A3584" s="354"/>
      <c r="B3584" s="409" t="s">
        <v>1215</v>
      </c>
      <c r="C3584" s="404">
        <v>6</v>
      </c>
      <c r="D3584" s="405">
        <v>1</v>
      </c>
      <c r="E3584" s="68"/>
      <c r="F3584" s="68"/>
      <c r="G3584" s="68">
        <f>+PRODUCT(C3584:F3584)</f>
        <v>6</v>
      </c>
      <c r="H3584" s="929" t="s">
        <v>1303</v>
      </c>
    </row>
    <row r="3585" spans="1:10" ht="18" customHeight="1">
      <c r="A3585" s="354"/>
      <c r="B3585" s="409" t="s">
        <v>1216</v>
      </c>
      <c r="C3585" s="404">
        <v>1</v>
      </c>
      <c r="D3585" s="405">
        <v>1</v>
      </c>
      <c r="E3585" s="68"/>
      <c r="F3585" s="68"/>
      <c r="G3585" s="68">
        <f>+PRODUCT(C3585:F3585)</f>
        <v>1</v>
      </c>
      <c r="H3585" s="929" t="s">
        <v>1303</v>
      </c>
    </row>
    <row r="3586" spans="1:10" s="355" customFormat="1" ht="18" customHeight="1">
      <c r="A3586" s="354"/>
      <c r="B3586" s="64"/>
      <c r="C3586" s="427"/>
      <c r="D3586" s="428"/>
      <c r="E3586" s="352"/>
      <c r="F3586" s="352"/>
      <c r="G3586" s="615"/>
      <c r="H3586" s="942"/>
      <c r="I3586" s="1239"/>
      <c r="J3586" s="65"/>
    </row>
    <row r="3587" spans="1:10" ht="18" customHeight="1">
      <c r="A3587" s="932"/>
      <c r="B3587" s="874" t="s">
        <v>2188</v>
      </c>
      <c r="C3587" s="875"/>
      <c r="D3587" s="874"/>
      <c r="E3587" s="874"/>
      <c r="F3587" s="874"/>
      <c r="G3587" s="842">
        <f>SUM(G3581:G3586)</f>
        <v>165</v>
      </c>
      <c r="H3587" s="945" t="s">
        <v>414</v>
      </c>
      <c r="I3587" s="1226" t="s">
        <v>559</v>
      </c>
      <c r="J3587" s="355"/>
    </row>
    <row r="3588" spans="1:10" s="355" customFormat="1" ht="18" customHeight="1">
      <c r="A3588" s="354"/>
      <c r="B3588" s="64"/>
      <c r="C3588" s="427"/>
      <c r="D3588" s="428"/>
      <c r="E3588" s="352"/>
      <c r="F3588" s="352"/>
      <c r="G3588" s="615"/>
      <c r="H3588" s="942"/>
      <c r="I3588" s="1239"/>
      <c r="J3588" s="65"/>
    </row>
    <row r="3589" spans="1:10" ht="18" customHeight="1">
      <c r="A3589" s="380" t="s">
        <v>567</v>
      </c>
      <c r="B3589" s="387" t="s">
        <v>1192</v>
      </c>
      <c r="C3589" s="70"/>
      <c r="D3589" s="68"/>
      <c r="E3589" s="68"/>
      <c r="F3589" s="68"/>
      <c r="G3589" s="68"/>
      <c r="H3589" s="929"/>
    </row>
    <row r="3590" spans="1:10" ht="18" customHeight="1">
      <c r="A3590" s="354" t="s">
        <v>1303</v>
      </c>
      <c r="B3590" s="409" t="s">
        <v>2097</v>
      </c>
      <c r="C3590" s="70">
        <v>158</v>
      </c>
      <c r="D3590" s="68">
        <v>1</v>
      </c>
      <c r="E3590" s="68">
        <v>1.8</v>
      </c>
      <c r="F3590" s="68"/>
      <c r="G3590" s="67">
        <f t="shared" ref="G3590:G3607" si="108">IF(C3590&lt;&gt;0,ROUND(PRODUCT(D3590:F3590)*C3590,2)," ")</f>
        <v>284.39999999999998</v>
      </c>
      <c r="H3590" s="929" t="s">
        <v>1303</v>
      </c>
    </row>
    <row r="3591" spans="1:10" ht="18" customHeight="1">
      <c r="A3591" s="354"/>
      <c r="B3591" s="409" t="s">
        <v>2098</v>
      </c>
      <c r="C3591" s="70">
        <v>21</v>
      </c>
      <c r="D3591" s="68">
        <v>1</v>
      </c>
      <c r="E3591" s="68">
        <v>1.8</v>
      </c>
      <c r="F3591" s="68"/>
      <c r="G3591" s="67">
        <f t="shared" si="108"/>
        <v>37.799999999999997</v>
      </c>
      <c r="H3591" s="929" t="s">
        <v>1303</v>
      </c>
    </row>
    <row r="3592" spans="1:10" ht="18" customHeight="1">
      <c r="A3592" s="354"/>
      <c r="B3592" s="409" t="s">
        <v>2099</v>
      </c>
      <c r="C3592" s="70">
        <v>6</v>
      </c>
      <c r="D3592" s="68">
        <v>2.4</v>
      </c>
      <c r="E3592" s="68">
        <v>1.2</v>
      </c>
      <c r="F3592" s="68"/>
      <c r="G3592" s="67">
        <f t="shared" si="108"/>
        <v>17.28</v>
      </c>
      <c r="H3592" s="929" t="s">
        <v>1303</v>
      </c>
    </row>
    <row r="3593" spans="1:10" ht="18" customHeight="1">
      <c r="A3593" s="354"/>
      <c r="B3593" s="409" t="s">
        <v>2100</v>
      </c>
      <c r="C3593" s="70">
        <v>1</v>
      </c>
      <c r="D3593" s="68">
        <v>2.5</v>
      </c>
      <c r="E3593" s="68">
        <v>1.8</v>
      </c>
      <c r="F3593" s="68"/>
      <c r="G3593" s="67">
        <f t="shared" si="108"/>
        <v>4.5</v>
      </c>
      <c r="H3593" s="929" t="s">
        <v>1303</v>
      </c>
    </row>
    <row r="3594" spans="1:10" ht="18" customHeight="1">
      <c r="A3594" s="354"/>
      <c r="B3594" s="409" t="s">
        <v>2101</v>
      </c>
      <c r="C3594" s="70">
        <v>8</v>
      </c>
      <c r="D3594" s="68">
        <v>1.7</v>
      </c>
      <c r="E3594" s="68">
        <v>2.4</v>
      </c>
      <c r="F3594" s="68"/>
      <c r="G3594" s="67">
        <f t="shared" si="108"/>
        <v>32.64</v>
      </c>
      <c r="H3594" s="929" t="s">
        <v>1303</v>
      </c>
    </row>
    <row r="3595" spans="1:10" ht="18" customHeight="1">
      <c r="A3595" s="354"/>
      <c r="B3595" s="409" t="s">
        <v>2102</v>
      </c>
      <c r="C3595" s="70">
        <v>1</v>
      </c>
      <c r="D3595" s="68">
        <v>1.9</v>
      </c>
      <c r="E3595" s="68">
        <v>1.8</v>
      </c>
      <c r="F3595" s="68"/>
      <c r="G3595" s="67">
        <f t="shared" si="108"/>
        <v>3.42</v>
      </c>
      <c r="H3595" s="929" t="s">
        <v>1303</v>
      </c>
    </row>
    <row r="3596" spans="1:10" ht="18" customHeight="1">
      <c r="A3596" s="354"/>
      <c r="B3596" s="409" t="s">
        <v>2103</v>
      </c>
      <c r="C3596" s="70">
        <v>2</v>
      </c>
      <c r="D3596" s="68">
        <v>3</v>
      </c>
      <c r="E3596" s="68">
        <v>1.8</v>
      </c>
      <c r="F3596" s="68"/>
      <c r="G3596" s="67">
        <f t="shared" si="108"/>
        <v>10.8</v>
      </c>
      <c r="H3596" s="929" t="s">
        <v>1303</v>
      </c>
    </row>
    <row r="3597" spans="1:10" ht="18" customHeight="1">
      <c r="A3597" s="354"/>
      <c r="B3597" s="409" t="s">
        <v>2104</v>
      </c>
      <c r="C3597" s="70">
        <v>8</v>
      </c>
      <c r="D3597" s="68">
        <v>1.5</v>
      </c>
      <c r="E3597" s="68">
        <v>1.1000000000000001</v>
      </c>
      <c r="F3597" s="68"/>
      <c r="G3597" s="67">
        <f t="shared" si="108"/>
        <v>13.2</v>
      </c>
      <c r="H3597" s="929" t="s">
        <v>1303</v>
      </c>
    </row>
    <row r="3598" spans="1:10" ht="18" customHeight="1">
      <c r="A3598" s="354"/>
      <c r="B3598" s="409" t="s">
        <v>2105</v>
      </c>
      <c r="C3598" s="70">
        <v>4</v>
      </c>
      <c r="D3598" s="68">
        <v>0.6</v>
      </c>
      <c r="E3598" s="68">
        <v>0.6</v>
      </c>
      <c r="F3598" s="68"/>
      <c r="G3598" s="67">
        <f t="shared" si="108"/>
        <v>1.44</v>
      </c>
      <c r="H3598" s="929" t="s">
        <v>1303</v>
      </c>
    </row>
    <row r="3599" spans="1:10" ht="18" customHeight="1">
      <c r="A3599" s="354"/>
      <c r="B3599" s="409" t="s">
        <v>2106</v>
      </c>
      <c r="C3599" s="70">
        <v>2</v>
      </c>
      <c r="D3599" s="68">
        <v>0.8</v>
      </c>
      <c r="E3599" s="68">
        <v>1.8</v>
      </c>
      <c r="F3599" s="68"/>
      <c r="G3599" s="67">
        <f t="shared" si="108"/>
        <v>2.88</v>
      </c>
      <c r="H3599" s="929" t="s">
        <v>1303</v>
      </c>
    </row>
    <row r="3600" spans="1:10" ht="18" customHeight="1">
      <c r="A3600" s="354"/>
      <c r="B3600" s="409" t="s">
        <v>1495</v>
      </c>
      <c r="C3600" s="70">
        <v>16</v>
      </c>
      <c r="D3600" s="68">
        <v>1</v>
      </c>
      <c r="E3600" s="68">
        <v>1.8</v>
      </c>
      <c r="F3600" s="68"/>
      <c r="G3600" s="67">
        <f t="shared" si="108"/>
        <v>28.8</v>
      </c>
      <c r="H3600" s="929" t="s">
        <v>1303</v>
      </c>
    </row>
    <row r="3601" spans="1:10" ht="18" customHeight="1">
      <c r="A3601" s="354"/>
      <c r="B3601" s="409"/>
      <c r="C3601" s="70"/>
      <c r="D3601" s="68"/>
      <c r="E3601" s="68"/>
      <c r="F3601" s="68"/>
      <c r="G3601" s="67" t="str">
        <f t="shared" si="108"/>
        <v xml:space="preserve"> </v>
      </c>
      <c r="H3601" s="929"/>
    </row>
    <row r="3602" spans="1:10" ht="18" customHeight="1">
      <c r="A3602" s="354" t="s">
        <v>1306</v>
      </c>
      <c r="B3602" s="409" t="s">
        <v>2107</v>
      </c>
      <c r="C3602" s="70">
        <v>1</v>
      </c>
      <c r="D3602" s="68">
        <v>1.8</v>
      </c>
      <c r="E3602" s="68">
        <v>2.7</v>
      </c>
      <c r="F3602" s="68"/>
      <c r="G3602" s="67">
        <f t="shared" si="108"/>
        <v>4.8600000000000003</v>
      </c>
      <c r="H3602" s="929" t="s">
        <v>1306</v>
      </c>
    </row>
    <row r="3603" spans="1:10" ht="18" customHeight="1">
      <c r="A3603" s="354"/>
      <c r="B3603" s="409" t="s">
        <v>2091</v>
      </c>
      <c r="C3603" s="70">
        <v>9</v>
      </c>
      <c r="D3603" s="68">
        <v>1.8</v>
      </c>
      <c r="E3603" s="68">
        <v>2.1</v>
      </c>
      <c r="F3603" s="68"/>
      <c r="G3603" s="67">
        <f t="shared" si="108"/>
        <v>34.020000000000003</v>
      </c>
      <c r="H3603" s="929" t="s">
        <v>1306</v>
      </c>
    </row>
    <row r="3604" spans="1:10" ht="18" customHeight="1">
      <c r="A3604" s="354"/>
      <c r="B3604" s="409" t="s">
        <v>2094</v>
      </c>
      <c r="C3604" s="70">
        <v>8</v>
      </c>
      <c r="D3604" s="68">
        <v>1</v>
      </c>
      <c r="E3604" s="68">
        <v>2.1</v>
      </c>
      <c r="F3604" s="68"/>
      <c r="G3604" s="67">
        <f t="shared" si="108"/>
        <v>16.8</v>
      </c>
      <c r="H3604" s="929" t="s">
        <v>1306</v>
      </c>
    </row>
    <row r="3605" spans="1:10" ht="18" customHeight="1">
      <c r="A3605" s="354"/>
      <c r="B3605" s="409" t="s">
        <v>2095</v>
      </c>
      <c r="C3605" s="70">
        <v>10</v>
      </c>
      <c r="D3605" s="68">
        <v>0.9</v>
      </c>
      <c r="E3605" s="68">
        <v>2</v>
      </c>
      <c r="F3605" s="68"/>
      <c r="G3605" s="67">
        <f t="shared" si="108"/>
        <v>18</v>
      </c>
      <c r="H3605" s="929" t="s">
        <v>1306</v>
      </c>
    </row>
    <row r="3606" spans="1:10" ht="18" customHeight="1">
      <c r="A3606" s="354"/>
      <c r="B3606" s="409" t="s">
        <v>2092</v>
      </c>
      <c r="C3606" s="70">
        <v>13</v>
      </c>
      <c r="D3606" s="68">
        <v>1.2</v>
      </c>
      <c r="E3606" s="68">
        <v>2.1</v>
      </c>
      <c r="F3606" s="68"/>
      <c r="G3606" s="67">
        <f t="shared" si="108"/>
        <v>32.76</v>
      </c>
      <c r="H3606" s="929" t="s">
        <v>1306</v>
      </c>
    </row>
    <row r="3607" spans="1:10" ht="18" customHeight="1">
      <c r="A3607" s="354" t="s">
        <v>1442</v>
      </c>
      <c r="B3607" s="409" t="s">
        <v>1464</v>
      </c>
      <c r="C3607" s="404">
        <v>2</v>
      </c>
      <c r="D3607" s="405">
        <v>1</v>
      </c>
      <c r="E3607" s="405">
        <v>2.1</v>
      </c>
      <c r="F3607" s="68"/>
      <c r="G3607" s="67">
        <f t="shared" si="108"/>
        <v>4.2</v>
      </c>
      <c r="H3607" s="929" t="s">
        <v>1442</v>
      </c>
    </row>
    <row r="3608" spans="1:10" ht="18" customHeight="1">
      <c r="A3608" s="354"/>
      <c r="B3608" s="409"/>
      <c r="C3608" s="404"/>
      <c r="D3608" s="405"/>
      <c r="E3608" s="405"/>
      <c r="F3608" s="68"/>
      <c r="G3608" s="68"/>
      <c r="H3608" s="929"/>
    </row>
    <row r="3609" spans="1:10" ht="18" customHeight="1">
      <c r="A3609" s="932"/>
      <c r="B3609" s="874" t="s">
        <v>2188</v>
      </c>
      <c r="C3609" s="875"/>
      <c r="D3609" s="874"/>
      <c r="E3609" s="874"/>
      <c r="F3609" s="874"/>
      <c r="G3609" s="842">
        <f>SUM(G3589:G3608)</f>
        <v>547.80000000000007</v>
      </c>
      <c r="H3609" s="945" t="s">
        <v>350</v>
      </c>
      <c r="I3609" s="1226" t="s">
        <v>567</v>
      </c>
      <c r="J3609" s="355"/>
    </row>
    <row r="3610" spans="1:10" s="79" customFormat="1" ht="18" customHeight="1">
      <c r="A3610" s="934"/>
      <c r="B3610" s="566"/>
      <c r="C3610" s="565"/>
      <c r="D3610" s="254"/>
      <c r="E3610" s="254"/>
      <c r="F3610" s="254"/>
      <c r="G3610" s="566"/>
      <c r="H3610" s="963"/>
      <c r="I3610" s="1231"/>
      <c r="J3610" s="695"/>
    </row>
    <row r="3611" spans="1:10" ht="18" customHeight="1">
      <c r="A3611" s="380" t="s">
        <v>571</v>
      </c>
      <c r="B3611" s="387" t="s">
        <v>1366</v>
      </c>
      <c r="C3611" s="70"/>
      <c r="D3611" s="68"/>
      <c r="E3611" s="68"/>
      <c r="F3611" s="68"/>
      <c r="G3611" s="68"/>
      <c r="H3611" s="929"/>
    </row>
    <row r="3612" spans="1:10" ht="18" customHeight="1">
      <c r="A3612" s="354" t="s">
        <v>1303</v>
      </c>
      <c r="B3612" s="411" t="s">
        <v>1203</v>
      </c>
      <c r="C3612" s="70"/>
      <c r="D3612" s="68"/>
      <c r="E3612" s="68"/>
      <c r="F3612" s="68"/>
      <c r="G3612" s="68">
        <f>+PRODUCT(C3612:F3612)</f>
        <v>0</v>
      </c>
      <c r="H3612" s="929"/>
    </row>
    <row r="3613" spans="1:10" ht="18" customHeight="1">
      <c r="A3613" s="354"/>
      <c r="B3613" s="720" t="s">
        <v>1765</v>
      </c>
      <c r="C3613" s="542">
        <v>158</v>
      </c>
      <c r="D3613" s="543">
        <v>1</v>
      </c>
      <c r="E3613" s="543">
        <v>1.2</v>
      </c>
      <c r="F3613" s="452"/>
      <c r="G3613" s="67">
        <f t="shared" ref="G3613:G3630" si="109">IF(C3613&lt;&gt;0,ROUND(PRODUCT(D3613:F3613)*C3613,2)," ")</f>
        <v>189.6</v>
      </c>
      <c r="H3613" s="940"/>
    </row>
    <row r="3614" spans="1:10" s="355" customFormat="1" ht="18" customHeight="1">
      <c r="A3614" s="354"/>
      <c r="B3614" s="720"/>
      <c r="C3614" s="542">
        <f>158*0</f>
        <v>0</v>
      </c>
      <c r="D3614" s="543">
        <v>1</v>
      </c>
      <c r="E3614" s="543">
        <v>1.2</v>
      </c>
      <c r="F3614" s="681"/>
      <c r="G3614" s="67" t="str">
        <f t="shared" si="109"/>
        <v xml:space="preserve"> </v>
      </c>
      <c r="H3614" s="940"/>
      <c r="I3614" s="1239"/>
    </row>
    <row r="3615" spans="1:10" ht="18" customHeight="1">
      <c r="A3615" s="354" t="s">
        <v>1306</v>
      </c>
      <c r="B3615" s="720" t="s">
        <v>2263</v>
      </c>
      <c r="C3615" s="542">
        <v>21</v>
      </c>
      <c r="D3615" s="543">
        <v>1</v>
      </c>
      <c r="E3615" s="543">
        <v>0.9</v>
      </c>
      <c r="F3615" s="452"/>
      <c r="G3615" s="67">
        <f t="shared" si="109"/>
        <v>18.899999999999999</v>
      </c>
      <c r="H3615" s="940"/>
    </row>
    <row r="3616" spans="1:10" ht="18" customHeight="1">
      <c r="A3616" s="624"/>
      <c r="B3616" s="720" t="s">
        <v>2264</v>
      </c>
      <c r="C3616" s="542">
        <v>6</v>
      </c>
      <c r="D3616" s="543">
        <v>2.4</v>
      </c>
      <c r="E3616" s="543">
        <v>1.2</v>
      </c>
      <c r="F3616" s="452"/>
      <c r="G3616" s="67">
        <f t="shared" si="109"/>
        <v>17.28</v>
      </c>
      <c r="H3616" s="940"/>
    </row>
    <row r="3617" spans="1:10" ht="18" customHeight="1">
      <c r="A3617" s="354"/>
      <c r="B3617" s="409" t="s">
        <v>2100</v>
      </c>
      <c r="C3617" s="404">
        <v>1</v>
      </c>
      <c r="D3617" s="405">
        <v>2.5</v>
      </c>
      <c r="E3617" s="405">
        <v>1.8</v>
      </c>
      <c r="F3617" s="68"/>
      <c r="G3617" s="67">
        <f t="shared" si="109"/>
        <v>4.5</v>
      </c>
      <c r="H3617" s="929"/>
    </row>
    <row r="3618" spans="1:10" ht="18" customHeight="1">
      <c r="A3618" s="354"/>
      <c r="B3618" s="409" t="s">
        <v>2101</v>
      </c>
      <c r="C3618" s="404">
        <v>8</v>
      </c>
      <c r="D3618" s="405">
        <v>1.7</v>
      </c>
      <c r="E3618" s="405">
        <v>2.1</v>
      </c>
      <c r="F3618" s="68"/>
      <c r="G3618" s="67">
        <f t="shared" si="109"/>
        <v>28.56</v>
      </c>
      <c r="H3618" s="929"/>
    </row>
    <row r="3619" spans="1:10" ht="18" customHeight="1">
      <c r="A3619" s="354"/>
      <c r="B3619" s="409" t="s">
        <v>2103</v>
      </c>
      <c r="C3619" s="404">
        <v>2</v>
      </c>
      <c r="D3619" s="405">
        <v>3</v>
      </c>
      <c r="E3619" s="405">
        <v>1.5</v>
      </c>
      <c r="F3619" s="68"/>
      <c r="G3619" s="67">
        <f t="shared" si="109"/>
        <v>9</v>
      </c>
      <c r="H3619" s="929"/>
    </row>
    <row r="3620" spans="1:10" ht="18" customHeight="1">
      <c r="A3620" s="354"/>
      <c r="B3620" s="720" t="s">
        <v>2104</v>
      </c>
      <c r="C3620" s="542">
        <f>8*0</f>
        <v>0</v>
      </c>
      <c r="D3620" s="543">
        <v>1.5</v>
      </c>
      <c r="E3620" s="543">
        <v>0.8</v>
      </c>
      <c r="F3620" s="452"/>
      <c r="G3620" s="67" t="str">
        <f t="shared" si="109"/>
        <v xml:space="preserve"> </v>
      </c>
      <c r="H3620" s="940"/>
    </row>
    <row r="3621" spans="1:10" ht="18" customHeight="1">
      <c r="A3621" s="354"/>
      <c r="B3621" s="409" t="s">
        <v>2106</v>
      </c>
      <c r="C3621" s="404">
        <v>2</v>
      </c>
      <c r="D3621" s="405">
        <v>0.8</v>
      </c>
      <c r="E3621" s="405">
        <v>1.2</v>
      </c>
      <c r="F3621" s="68"/>
      <c r="G3621" s="67">
        <f t="shared" si="109"/>
        <v>1.92</v>
      </c>
      <c r="H3621" s="929"/>
    </row>
    <row r="3622" spans="1:10" ht="18" customHeight="1">
      <c r="A3622" s="354"/>
      <c r="B3622" s="411" t="s">
        <v>1321</v>
      </c>
      <c r="C3622" s="404"/>
      <c r="D3622" s="405"/>
      <c r="E3622" s="405"/>
      <c r="F3622" s="68"/>
      <c r="G3622" s="67" t="str">
        <f t="shared" si="109"/>
        <v xml:space="preserve"> </v>
      </c>
      <c r="H3622" s="929"/>
    </row>
    <row r="3623" spans="1:10" ht="18" customHeight="1">
      <c r="A3623" s="354"/>
      <c r="B3623" s="409" t="s">
        <v>1322</v>
      </c>
      <c r="C3623" s="404">
        <f>1*0</f>
        <v>0</v>
      </c>
      <c r="D3623" s="405">
        <v>1.8</v>
      </c>
      <c r="E3623" s="405">
        <v>2.1</v>
      </c>
      <c r="F3623" s="68"/>
      <c r="G3623" s="67" t="str">
        <f t="shared" si="109"/>
        <v xml:space="preserve"> </v>
      </c>
      <c r="H3623" s="929"/>
    </row>
    <row r="3624" spans="1:10" ht="18" customHeight="1">
      <c r="A3624" s="354"/>
      <c r="B3624" s="409" t="s">
        <v>1323</v>
      </c>
      <c r="C3624" s="404">
        <f>9*0</f>
        <v>0</v>
      </c>
      <c r="D3624" s="405">
        <v>1.8</v>
      </c>
      <c r="E3624" s="405">
        <v>2.1</v>
      </c>
      <c r="F3624" s="68"/>
      <c r="G3624" s="67" t="str">
        <f t="shared" si="109"/>
        <v xml:space="preserve"> </v>
      </c>
      <c r="H3624" s="929"/>
    </row>
    <row r="3625" spans="1:10" ht="18" customHeight="1">
      <c r="A3625" s="354"/>
      <c r="B3625" s="409" t="s">
        <v>1324</v>
      </c>
      <c r="C3625" s="404">
        <f>8*0</f>
        <v>0</v>
      </c>
      <c r="D3625" s="405">
        <v>1</v>
      </c>
      <c r="E3625" s="405">
        <v>2.1</v>
      </c>
      <c r="F3625" s="68"/>
      <c r="G3625" s="67" t="str">
        <f t="shared" si="109"/>
        <v xml:space="preserve"> </v>
      </c>
      <c r="H3625" s="929"/>
    </row>
    <row r="3626" spans="1:10" ht="18" customHeight="1">
      <c r="A3626" s="354"/>
      <c r="B3626" s="409" t="s">
        <v>1325</v>
      </c>
      <c r="C3626" s="404">
        <f>10*0</f>
        <v>0</v>
      </c>
      <c r="D3626" s="405">
        <v>0.9</v>
      </c>
      <c r="E3626" s="405">
        <v>2</v>
      </c>
      <c r="F3626" s="68"/>
      <c r="G3626" s="67" t="str">
        <f t="shared" si="109"/>
        <v xml:space="preserve"> </v>
      </c>
      <c r="H3626" s="929"/>
    </row>
    <row r="3627" spans="1:10" ht="18" customHeight="1">
      <c r="A3627" s="354"/>
      <c r="B3627" s="409" t="s">
        <v>1326</v>
      </c>
      <c r="C3627" s="404">
        <f>11*0</f>
        <v>0</v>
      </c>
      <c r="D3627" s="405">
        <v>1.2</v>
      </c>
      <c r="E3627" s="405">
        <v>2.1</v>
      </c>
      <c r="F3627" s="68"/>
      <c r="G3627" s="67" t="str">
        <f t="shared" si="109"/>
        <v xml:space="preserve"> </v>
      </c>
      <c r="H3627" s="929"/>
    </row>
    <row r="3628" spans="1:10" ht="18" customHeight="1">
      <c r="A3628" s="354" t="s">
        <v>1442</v>
      </c>
      <c r="B3628" s="720" t="s">
        <v>1464</v>
      </c>
      <c r="C3628" s="542">
        <v>2</v>
      </c>
      <c r="D3628" s="543">
        <v>1</v>
      </c>
      <c r="E3628" s="543">
        <v>2.1</v>
      </c>
      <c r="F3628" s="452"/>
      <c r="G3628" s="67">
        <f t="shared" si="109"/>
        <v>4.2</v>
      </c>
      <c r="H3628" s="940"/>
    </row>
    <row r="3629" spans="1:10" s="488" customFormat="1" ht="18" customHeight="1">
      <c r="A3629" s="487"/>
      <c r="B3629" s="964" t="s">
        <v>1612</v>
      </c>
      <c r="C3629" s="542">
        <v>7</v>
      </c>
      <c r="D3629" s="543">
        <v>1.5</v>
      </c>
      <c r="E3629" s="543">
        <v>1.1000000000000001</v>
      </c>
      <c r="F3629" s="452"/>
      <c r="G3629" s="67">
        <f t="shared" si="109"/>
        <v>11.55</v>
      </c>
      <c r="H3629" s="940"/>
      <c r="I3629" s="1229"/>
      <c r="J3629" s="544"/>
    </row>
    <row r="3630" spans="1:10" s="488" customFormat="1" ht="18" customHeight="1">
      <c r="A3630" s="487"/>
      <c r="B3630" s="409" t="s">
        <v>1654</v>
      </c>
      <c r="C3630" s="404">
        <f>1*0</f>
        <v>0</v>
      </c>
      <c r="D3630" s="405">
        <v>2.1</v>
      </c>
      <c r="E3630" s="405">
        <v>0.6</v>
      </c>
      <c r="F3630" s="486"/>
      <c r="G3630" s="67" t="str">
        <f t="shared" si="109"/>
        <v xml:space="preserve"> </v>
      </c>
      <c r="H3630" s="939"/>
      <c r="I3630" s="1229"/>
    </row>
    <row r="3631" spans="1:10" s="355" customFormat="1" ht="18" customHeight="1">
      <c r="A3631" s="354"/>
      <c r="B3631" s="64"/>
      <c r="C3631" s="427"/>
      <c r="D3631" s="428"/>
      <c r="E3631" s="352"/>
      <c r="F3631" s="352"/>
      <c r="G3631" s="615"/>
      <c r="H3631" s="942"/>
      <c r="I3631" s="1239"/>
      <c r="J3631" s="65"/>
    </row>
    <row r="3632" spans="1:10" ht="18" customHeight="1">
      <c r="A3632" s="932"/>
      <c r="B3632" s="874" t="s">
        <v>2188</v>
      </c>
      <c r="C3632" s="875"/>
      <c r="D3632" s="874"/>
      <c r="E3632" s="874"/>
      <c r="F3632" s="874"/>
      <c r="G3632" s="842">
        <f>SUM(G3611:G3631)</f>
        <v>285.51</v>
      </c>
      <c r="H3632" s="945" t="s">
        <v>350</v>
      </c>
      <c r="I3632" s="1226" t="s">
        <v>571</v>
      </c>
      <c r="J3632" s="355"/>
    </row>
    <row r="3633" spans="1:10" s="79" customFormat="1" ht="18" customHeight="1">
      <c r="A3633" s="934"/>
      <c r="B3633" s="254"/>
      <c r="C3633" s="565"/>
      <c r="D3633" s="254"/>
      <c r="E3633" s="254"/>
      <c r="F3633" s="254"/>
      <c r="G3633" s="566"/>
      <c r="H3633" s="963"/>
      <c r="I3633" s="1231"/>
      <c r="J3633" s="688"/>
    </row>
    <row r="3634" spans="1:10" s="357" customFormat="1" ht="18" customHeight="1">
      <c r="A3634" s="388" t="s">
        <v>2243</v>
      </c>
      <c r="B3634" s="389" t="s">
        <v>1367</v>
      </c>
      <c r="C3634" s="383"/>
      <c r="D3634" s="386"/>
      <c r="E3634" s="386"/>
      <c r="F3634" s="386"/>
      <c r="G3634" s="386"/>
      <c r="H3634" s="936"/>
      <c r="I3634" s="1232"/>
    </row>
    <row r="3635" spans="1:10" s="357" customFormat="1" ht="18" customHeight="1">
      <c r="A3635" s="381" t="s">
        <v>1306</v>
      </c>
      <c r="B3635" s="382" t="s">
        <v>1364</v>
      </c>
      <c r="C3635" s="383"/>
      <c r="D3635" s="384"/>
      <c r="E3635" s="384"/>
      <c r="F3635" s="384"/>
      <c r="G3635" s="384">
        <f t="shared" ref="G3635" si="110">PRODUCT(C3635:F3635)</f>
        <v>0</v>
      </c>
      <c r="H3635" s="936"/>
      <c r="I3635" s="1249"/>
    </row>
    <row r="3636" spans="1:10" s="357" customFormat="1" ht="18" customHeight="1">
      <c r="A3636" s="501"/>
      <c r="B3636" s="390" t="s">
        <v>942</v>
      </c>
      <c r="C3636" s="597">
        <v>1</v>
      </c>
      <c r="D3636" s="405">
        <f>6.45+6.4+6.4+3.25-1.15-1.15</f>
        <v>20.200000000000003</v>
      </c>
      <c r="E3636" s="416">
        <v>2.6</v>
      </c>
      <c r="F3636" s="502"/>
      <c r="G3636" s="67">
        <f t="shared" ref="G3636:G3650" si="111">IF(C3636&lt;&gt;0,ROUND(PRODUCT(D3636:F3636)*C3636,2)," ")</f>
        <v>52.52</v>
      </c>
      <c r="H3636" s="936" t="s">
        <v>1306</v>
      </c>
      <c r="I3636" s="1249"/>
    </row>
    <row r="3637" spans="1:10" s="357" customFormat="1" ht="18" customHeight="1">
      <c r="A3637" s="501"/>
      <c r="B3637" s="390" t="s">
        <v>1086</v>
      </c>
      <c r="C3637" s="597">
        <v>1</v>
      </c>
      <c r="D3637" s="405">
        <f>6.45+6.4+6.4+3.25-1.15-1.15</f>
        <v>20.200000000000003</v>
      </c>
      <c r="E3637" s="416">
        <v>2.6</v>
      </c>
      <c r="F3637" s="502"/>
      <c r="G3637" s="67">
        <f t="shared" si="111"/>
        <v>52.52</v>
      </c>
      <c r="H3637" s="936" t="s">
        <v>1306</v>
      </c>
      <c r="I3637" s="1249"/>
    </row>
    <row r="3638" spans="1:10" s="357" customFormat="1" ht="18" customHeight="1">
      <c r="A3638" s="501"/>
      <c r="B3638" s="390" t="s">
        <v>1291</v>
      </c>
      <c r="C3638" s="597">
        <v>2</v>
      </c>
      <c r="D3638" s="405">
        <f>2.2+2</f>
        <v>4.2</v>
      </c>
      <c r="E3638" s="416">
        <v>2.6</v>
      </c>
      <c r="F3638" s="502"/>
      <c r="G3638" s="67">
        <f t="shared" si="111"/>
        <v>21.84</v>
      </c>
      <c r="H3638" s="936" t="s">
        <v>1306</v>
      </c>
      <c r="I3638" s="1249"/>
    </row>
    <row r="3639" spans="1:10" s="357" customFormat="1" ht="18" customHeight="1">
      <c r="A3639" s="501"/>
      <c r="B3639" s="390" t="s">
        <v>1292</v>
      </c>
      <c r="C3639" s="597">
        <v>2</v>
      </c>
      <c r="D3639" s="405">
        <f>2.2+2</f>
        <v>4.2</v>
      </c>
      <c r="E3639" s="416">
        <v>2.6</v>
      </c>
      <c r="F3639" s="502"/>
      <c r="G3639" s="67">
        <f t="shared" si="111"/>
        <v>21.84</v>
      </c>
      <c r="H3639" s="936" t="s">
        <v>1306</v>
      </c>
      <c r="I3639" s="1249"/>
    </row>
    <row r="3640" spans="1:10" s="357" customFormat="1" ht="18" customHeight="1">
      <c r="A3640" s="501"/>
      <c r="B3640" s="390" t="s">
        <v>1293</v>
      </c>
      <c r="C3640" s="597">
        <v>1</v>
      </c>
      <c r="D3640" s="567">
        <v>10.91</v>
      </c>
      <c r="E3640" s="416">
        <v>2.6</v>
      </c>
      <c r="F3640" s="502"/>
      <c r="G3640" s="67">
        <f t="shared" si="111"/>
        <v>28.37</v>
      </c>
      <c r="H3640" s="936" t="s">
        <v>1306</v>
      </c>
      <c r="I3640" s="1249"/>
    </row>
    <row r="3641" spans="1:10" s="357" customFormat="1" ht="18" customHeight="1">
      <c r="A3641" s="501"/>
      <c r="B3641" s="390" t="s">
        <v>1294</v>
      </c>
      <c r="C3641" s="597">
        <v>1</v>
      </c>
      <c r="D3641" s="567">
        <v>10.91</v>
      </c>
      <c r="E3641" s="416">
        <v>2.6</v>
      </c>
      <c r="F3641" s="502"/>
      <c r="G3641" s="67">
        <f t="shared" si="111"/>
        <v>28.37</v>
      </c>
      <c r="H3641" s="936" t="s">
        <v>1306</v>
      </c>
      <c r="I3641" s="1249"/>
    </row>
    <row r="3642" spans="1:10" s="357" customFormat="1" ht="18" customHeight="1">
      <c r="A3642" s="501"/>
      <c r="B3642" s="390" t="s">
        <v>1295</v>
      </c>
      <c r="C3642" s="597">
        <v>1</v>
      </c>
      <c r="D3642" s="567">
        <v>14.275</v>
      </c>
      <c r="E3642" s="416">
        <v>2.6</v>
      </c>
      <c r="F3642" s="502"/>
      <c r="G3642" s="67">
        <f t="shared" si="111"/>
        <v>37.119999999999997</v>
      </c>
      <c r="H3642" s="936" t="s">
        <v>1306</v>
      </c>
      <c r="I3642" s="1249"/>
    </row>
    <row r="3643" spans="1:10" s="357" customFormat="1" ht="18" customHeight="1">
      <c r="A3643" s="501"/>
      <c r="B3643" s="390" t="s">
        <v>1296</v>
      </c>
      <c r="C3643" s="597">
        <v>1</v>
      </c>
      <c r="D3643" s="567">
        <v>14.275</v>
      </c>
      <c r="E3643" s="416">
        <v>2.6</v>
      </c>
      <c r="F3643" s="502"/>
      <c r="G3643" s="67">
        <f t="shared" si="111"/>
        <v>37.119999999999997</v>
      </c>
      <c r="H3643" s="936" t="s">
        <v>1306</v>
      </c>
      <c r="I3643" s="1249"/>
    </row>
    <row r="3644" spans="1:10" s="357" customFormat="1" ht="18" customHeight="1">
      <c r="A3644" s="501"/>
      <c r="B3644" s="390" t="s">
        <v>1113</v>
      </c>
      <c r="C3644" s="597">
        <v>1</v>
      </c>
      <c r="D3644" s="405">
        <f>3.2+6.45+3.25-1.025-1.075</f>
        <v>10.8</v>
      </c>
      <c r="E3644" s="416">
        <v>2.6</v>
      </c>
      <c r="F3644" s="502"/>
      <c r="G3644" s="67">
        <f t="shared" si="111"/>
        <v>28.08</v>
      </c>
      <c r="H3644" s="936" t="s">
        <v>1306</v>
      </c>
      <c r="I3644" s="1249"/>
    </row>
    <row r="3645" spans="1:10" s="357" customFormat="1" ht="18" customHeight="1">
      <c r="A3645" s="501"/>
      <c r="B3645" s="390" t="s">
        <v>1297</v>
      </c>
      <c r="C3645" s="597">
        <v>1</v>
      </c>
      <c r="D3645" s="405">
        <f>3.2+6.45+3.25-1.025-1.075</f>
        <v>10.8</v>
      </c>
      <c r="E3645" s="416">
        <v>2.6</v>
      </c>
      <c r="F3645" s="502"/>
      <c r="G3645" s="67">
        <f t="shared" si="111"/>
        <v>28.08</v>
      </c>
      <c r="H3645" s="936" t="s">
        <v>1306</v>
      </c>
      <c r="I3645" s="1249"/>
    </row>
    <row r="3646" spans="1:10" s="357" customFormat="1" ht="18" customHeight="1">
      <c r="A3646" s="501"/>
      <c r="B3646" s="390" t="s">
        <v>1111</v>
      </c>
      <c r="C3646" s="597">
        <v>1</v>
      </c>
      <c r="D3646" s="405">
        <f>3.2+6.45+6.45-1.025-1.05</f>
        <v>14.025</v>
      </c>
      <c r="E3646" s="416">
        <v>2.6</v>
      </c>
      <c r="F3646" s="502"/>
      <c r="G3646" s="67">
        <f t="shared" si="111"/>
        <v>36.47</v>
      </c>
      <c r="H3646" s="936" t="s">
        <v>1306</v>
      </c>
      <c r="I3646" s="1249"/>
    </row>
    <row r="3647" spans="1:10" s="357" customFormat="1" ht="18" customHeight="1">
      <c r="A3647" s="501"/>
      <c r="B3647" s="390" t="s">
        <v>1112</v>
      </c>
      <c r="C3647" s="597">
        <v>1</v>
      </c>
      <c r="D3647" s="405">
        <f>3.2+6.45+6.45-1.025-1.05</f>
        <v>14.025</v>
      </c>
      <c r="E3647" s="416">
        <v>2.6</v>
      </c>
      <c r="F3647" s="502"/>
      <c r="G3647" s="67">
        <f t="shared" si="111"/>
        <v>36.47</v>
      </c>
      <c r="H3647" s="936" t="s">
        <v>1306</v>
      </c>
      <c r="I3647" s="1249"/>
    </row>
    <row r="3648" spans="1:10" s="357" customFormat="1" ht="18" customHeight="1">
      <c r="A3648" s="501"/>
      <c r="B3648" s="390" t="s">
        <v>1363</v>
      </c>
      <c r="C3648" s="597">
        <v>1</v>
      </c>
      <c r="D3648" s="405">
        <v>6.3</v>
      </c>
      <c r="E3648" s="575">
        <f>13.9-0.6-2.5+0.1</f>
        <v>10.9</v>
      </c>
      <c r="F3648" s="502"/>
      <c r="G3648" s="67">
        <f t="shared" si="111"/>
        <v>68.67</v>
      </c>
      <c r="H3648" s="936" t="s">
        <v>1306</v>
      </c>
      <c r="I3648" s="1249"/>
    </row>
    <row r="3649" spans="1:9" s="357" customFormat="1" ht="18" customHeight="1">
      <c r="A3649" s="501"/>
      <c r="B3649" s="390" t="s">
        <v>1365</v>
      </c>
      <c r="C3649" s="597">
        <v>2</v>
      </c>
      <c r="D3649" s="405">
        <v>3.1749999999999998</v>
      </c>
      <c r="E3649" s="577">
        <f>13.44-0.15</f>
        <v>13.29</v>
      </c>
      <c r="F3649" s="502"/>
      <c r="G3649" s="67">
        <f t="shared" si="111"/>
        <v>84.39</v>
      </c>
      <c r="H3649" s="936" t="s">
        <v>1306</v>
      </c>
      <c r="I3649" s="1249"/>
    </row>
    <row r="3650" spans="1:9" s="357" customFormat="1" ht="18" customHeight="1">
      <c r="A3650" s="381" t="s">
        <v>1442</v>
      </c>
      <c r="B3650" s="382" t="s">
        <v>1721</v>
      </c>
      <c r="C3650" s="415">
        <f>4</f>
        <v>4</v>
      </c>
      <c r="D3650" s="416">
        <v>3.85</v>
      </c>
      <c r="E3650" s="567">
        <v>3.45</v>
      </c>
      <c r="F3650" s="384"/>
      <c r="G3650" s="67">
        <f t="shared" si="111"/>
        <v>53.13</v>
      </c>
      <c r="H3650" s="936" t="s">
        <v>1442</v>
      </c>
      <c r="I3650" s="1232"/>
    </row>
    <row r="3651" spans="1:9" s="357" customFormat="1" ht="18" customHeight="1">
      <c r="A3651" s="965"/>
      <c r="B3651" s="874" t="s">
        <v>2188</v>
      </c>
      <c r="C3651" s="966"/>
      <c r="D3651" s="967"/>
      <c r="E3651" s="967"/>
      <c r="F3651" s="967"/>
      <c r="G3651" s="968">
        <f>SUM(G3634:G3650)</f>
        <v>614.99</v>
      </c>
      <c r="H3651" s="976" t="s">
        <v>10</v>
      </c>
      <c r="I3651" s="1226" t="s">
        <v>578</v>
      </c>
    </row>
    <row r="3652" spans="1:9" s="704" customFormat="1" ht="18" customHeight="1">
      <c r="A3652" s="969"/>
      <c r="B3652" s="707"/>
      <c r="C3652" s="970"/>
      <c r="D3652" s="971"/>
      <c r="E3652" s="971"/>
      <c r="F3652" s="971"/>
      <c r="G3652" s="707"/>
      <c r="H3652" s="972"/>
      <c r="I3652" s="1250"/>
    </row>
    <row r="3653" spans="1:9" ht="18" customHeight="1">
      <c r="A3653" s="380" t="s">
        <v>1465</v>
      </c>
      <c r="B3653" s="387" t="s">
        <v>1217</v>
      </c>
      <c r="C3653" s="70"/>
      <c r="D3653" s="68"/>
      <c r="E3653" s="68"/>
      <c r="F3653" s="68"/>
      <c r="G3653" s="68"/>
      <c r="H3653" s="929"/>
    </row>
    <row r="3654" spans="1:9" ht="18" customHeight="1">
      <c r="A3654" s="407"/>
      <c r="B3654" s="478" t="s">
        <v>1466</v>
      </c>
      <c r="C3654" s="404" t="s">
        <v>414</v>
      </c>
      <c r="D3654" s="405" t="s">
        <v>120</v>
      </c>
      <c r="E3654" s="405"/>
      <c r="F3654" s="405" t="s">
        <v>1467</v>
      </c>
      <c r="G3654" s="405"/>
      <c r="H3654" s="935"/>
    </row>
    <row r="3655" spans="1:9" ht="28.5">
      <c r="A3655" s="407"/>
      <c r="B3655" s="81" t="s">
        <v>2278</v>
      </c>
      <c r="C3655" s="404">
        <v>12</v>
      </c>
      <c r="D3655" s="405">
        <f>11.58/3.28</f>
        <v>3.530487804878049</v>
      </c>
      <c r="E3655" s="405"/>
      <c r="F3655" s="405">
        <v>5.25</v>
      </c>
      <c r="G3655" s="67">
        <f t="shared" ref="G3655:G3685" si="112">IF(C3655&lt;&gt;0,ROUND(PRODUCT(D3655:F3655)*C3655,2)," ")</f>
        <v>222.42</v>
      </c>
      <c r="H3655" s="935"/>
    </row>
    <row r="3656" spans="1:9" ht="18" customHeight="1">
      <c r="A3656" s="407"/>
      <c r="B3656" s="451" t="s">
        <v>1469</v>
      </c>
      <c r="C3656" s="404">
        <v>12</v>
      </c>
      <c r="D3656" s="567">
        <v>3.33</v>
      </c>
      <c r="E3656" s="405"/>
      <c r="F3656" s="405">
        <v>5.25</v>
      </c>
      <c r="G3656" s="67">
        <f t="shared" si="112"/>
        <v>209.79</v>
      </c>
      <c r="H3656" s="935"/>
    </row>
    <row r="3657" spans="1:9" ht="18" customHeight="1">
      <c r="A3657" s="407"/>
      <c r="B3657" s="451" t="s">
        <v>1470</v>
      </c>
      <c r="C3657" s="404">
        <f>4*2*6</f>
        <v>48</v>
      </c>
      <c r="D3657" s="405">
        <v>1.1000000000000001</v>
      </c>
      <c r="E3657" s="405"/>
      <c r="F3657" s="405">
        <v>5.25</v>
      </c>
      <c r="G3657" s="67">
        <f t="shared" si="112"/>
        <v>277.2</v>
      </c>
      <c r="H3657" s="935"/>
    </row>
    <row r="3658" spans="1:9" ht="18" customHeight="1">
      <c r="A3658" s="407"/>
      <c r="B3658" s="451" t="s">
        <v>1471</v>
      </c>
      <c r="C3658" s="569">
        <f>9*2*6+324*0</f>
        <v>108</v>
      </c>
      <c r="D3658" s="567">
        <v>0.84499999999999997</v>
      </c>
      <c r="E3658" s="405"/>
      <c r="F3658" s="405">
        <v>1.1299999999999999</v>
      </c>
      <c r="G3658" s="67">
        <f t="shared" si="112"/>
        <v>103.12</v>
      </c>
      <c r="H3658" s="935"/>
    </row>
    <row r="3659" spans="1:9" ht="18" customHeight="1">
      <c r="A3659" s="407"/>
      <c r="B3659" s="451" t="s">
        <v>1472</v>
      </c>
      <c r="C3659" s="568">
        <f>8*2*6*0+44</f>
        <v>44</v>
      </c>
      <c r="D3659" s="405">
        <v>7.4999999999999997E-2</v>
      </c>
      <c r="E3659" s="405">
        <v>7.4999999999999997E-2</v>
      </c>
      <c r="F3659" s="405">
        <v>78.5</v>
      </c>
      <c r="G3659" s="67">
        <f t="shared" si="112"/>
        <v>19.43</v>
      </c>
      <c r="H3659" s="935"/>
    </row>
    <row r="3660" spans="1:9" ht="18" customHeight="1">
      <c r="A3660" s="407"/>
      <c r="B3660" s="451" t="s">
        <v>1473</v>
      </c>
      <c r="C3660" s="568">
        <f>96*2*0+96</f>
        <v>96</v>
      </c>
      <c r="D3660" s="405">
        <v>0.15</v>
      </c>
      <c r="E3660" s="405"/>
      <c r="F3660" s="405">
        <v>0.88</v>
      </c>
      <c r="G3660" s="67">
        <f t="shared" si="112"/>
        <v>12.67</v>
      </c>
      <c r="H3660" s="935"/>
    </row>
    <row r="3661" spans="1:9" ht="18" customHeight="1">
      <c r="A3661" s="407"/>
      <c r="B3661" s="478" t="s">
        <v>1474</v>
      </c>
      <c r="C3661" s="404"/>
      <c r="D3661" s="405"/>
      <c r="E3661" s="405"/>
      <c r="F3661" s="405"/>
      <c r="G3661" s="67" t="str">
        <f t="shared" si="112"/>
        <v xml:space="preserve"> </v>
      </c>
      <c r="H3661" s="935"/>
    </row>
    <row r="3662" spans="1:9" ht="18" customHeight="1">
      <c r="A3662" s="407"/>
      <c r="B3662" s="451" t="s">
        <v>1468</v>
      </c>
      <c r="C3662" s="404">
        <v>1</v>
      </c>
      <c r="D3662" s="567">
        <v>5.51</v>
      </c>
      <c r="E3662" s="405"/>
      <c r="F3662" s="405">
        <v>5.25</v>
      </c>
      <c r="G3662" s="67">
        <f t="shared" si="112"/>
        <v>28.93</v>
      </c>
      <c r="H3662" s="935"/>
    </row>
    <row r="3663" spans="1:9" ht="18" customHeight="1">
      <c r="A3663" s="407"/>
      <c r="B3663" s="451" t="s">
        <v>1469</v>
      </c>
      <c r="C3663" s="404">
        <v>1</v>
      </c>
      <c r="D3663" s="567">
        <v>5.42</v>
      </c>
      <c r="E3663" s="405"/>
      <c r="F3663" s="405">
        <v>5.25</v>
      </c>
      <c r="G3663" s="67">
        <f t="shared" si="112"/>
        <v>28.46</v>
      </c>
      <c r="H3663" s="935"/>
    </row>
    <row r="3664" spans="1:9" ht="18" customHeight="1">
      <c r="A3664" s="407"/>
      <c r="B3664" s="451" t="s">
        <v>1475</v>
      </c>
      <c r="C3664" s="568">
        <v>5</v>
      </c>
      <c r="D3664" s="405">
        <v>1.1000000000000001</v>
      </c>
      <c r="E3664" s="405"/>
      <c r="F3664" s="405">
        <v>5.25</v>
      </c>
      <c r="G3664" s="67">
        <f t="shared" si="112"/>
        <v>28.88</v>
      </c>
      <c r="H3664" s="935"/>
    </row>
    <row r="3665" spans="1:8" ht="18" customHeight="1">
      <c r="A3665" s="407"/>
      <c r="B3665" s="451" t="s">
        <v>1476</v>
      </c>
      <c r="C3665" s="568">
        <f>44</f>
        <v>44</v>
      </c>
      <c r="D3665" s="567">
        <v>0.84499999999999997</v>
      </c>
      <c r="E3665" s="405"/>
      <c r="F3665" s="405">
        <v>1.1299999999999999</v>
      </c>
      <c r="G3665" s="67">
        <f t="shared" si="112"/>
        <v>42.01</v>
      </c>
      <c r="H3665" s="935"/>
    </row>
    <row r="3666" spans="1:8" ht="18" customHeight="1">
      <c r="A3666" s="407"/>
      <c r="B3666" s="451" t="s">
        <v>1477</v>
      </c>
      <c r="C3666" s="568">
        <v>9</v>
      </c>
      <c r="D3666" s="405">
        <v>7.4999999999999997E-2</v>
      </c>
      <c r="E3666" s="405">
        <v>7.4999999999999997E-2</v>
      </c>
      <c r="F3666" s="405">
        <v>78.5</v>
      </c>
      <c r="G3666" s="67">
        <f t="shared" si="112"/>
        <v>3.97</v>
      </c>
      <c r="H3666" s="935"/>
    </row>
    <row r="3667" spans="1:8" ht="18" customHeight="1">
      <c r="A3667" s="407"/>
      <c r="B3667" s="451" t="s">
        <v>1473</v>
      </c>
      <c r="C3667" s="568">
        <v>10</v>
      </c>
      <c r="D3667" s="405">
        <v>0.15</v>
      </c>
      <c r="E3667" s="405"/>
      <c r="F3667" s="405">
        <v>0.88</v>
      </c>
      <c r="G3667" s="67">
        <f t="shared" si="112"/>
        <v>1.32</v>
      </c>
      <c r="H3667" s="935"/>
    </row>
    <row r="3668" spans="1:8" ht="18" customHeight="1">
      <c r="A3668" s="407"/>
      <c r="B3668" s="478" t="s">
        <v>1478</v>
      </c>
      <c r="C3668" s="404"/>
      <c r="D3668" s="405"/>
      <c r="E3668" s="405"/>
      <c r="F3668" s="405"/>
      <c r="G3668" s="67" t="str">
        <f t="shared" si="112"/>
        <v xml:space="preserve"> </v>
      </c>
      <c r="H3668" s="935"/>
    </row>
    <row r="3669" spans="1:8" ht="18" customHeight="1">
      <c r="A3669" s="407"/>
      <c r="B3669" s="451" t="s">
        <v>1468</v>
      </c>
      <c r="C3669" s="404">
        <v>1</v>
      </c>
      <c r="D3669" s="567">
        <v>6</v>
      </c>
      <c r="E3669" s="405"/>
      <c r="F3669" s="405">
        <v>5.25</v>
      </c>
      <c r="G3669" s="67">
        <f t="shared" si="112"/>
        <v>31.5</v>
      </c>
      <c r="H3669" s="935"/>
    </row>
    <row r="3670" spans="1:8" ht="18" customHeight="1">
      <c r="A3670" s="407"/>
      <c r="B3670" s="451" t="s">
        <v>1469</v>
      </c>
      <c r="C3670" s="404">
        <v>1</v>
      </c>
      <c r="D3670" s="567">
        <v>5.8</v>
      </c>
      <c r="E3670" s="405"/>
      <c r="F3670" s="405">
        <v>5.25</v>
      </c>
      <c r="G3670" s="67">
        <f t="shared" si="112"/>
        <v>30.45</v>
      </c>
      <c r="H3670" s="935"/>
    </row>
    <row r="3671" spans="1:8" ht="18" customHeight="1">
      <c r="A3671" s="407"/>
      <c r="B3671" s="451" t="s">
        <v>1475</v>
      </c>
      <c r="C3671" s="568">
        <v>5</v>
      </c>
      <c r="D3671" s="405">
        <v>1.1000000000000001</v>
      </c>
      <c r="E3671" s="405"/>
      <c r="F3671" s="405">
        <v>5.25</v>
      </c>
      <c r="G3671" s="67">
        <f t="shared" si="112"/>
        <v>28.88</v>
      </c>
      <c r="H3671" s="935"/>
    </row>
    <row r="3672" spans="1:8" ht="18" customHeight="1">
      <c r="A3672" s="407"/>
      <c r="B3672" s="451" t="s">
        <v>1476</v>
      </c>
      <c r="C3672" s="568">
        <v>48</v>
      </c>
      <c r="D3672" s="567">
        <v>0.84499999999999997</v>
      </c>
      <c r="E3672" s="405"/>
      <c r="F3672" s="405">
        <v>1.1299999999999999</v>
      </c>
      <c r="G3672" s="67">
        <f t="shared" si="112"/>
        <v>45.83</v>
      </c>
      <c r="H3672" s="935"/>
    </row>
    <row r="3673" spans="1:8" ht="18" customHeight="1">
      <c r="A3673" s="407"/>
      <c r="B3673" s="451" t="s">
        <v>1477</v>
      </c>
      <c r="C3673" s="404">
        <v>12</v>
      </c>
      <c r="D3673" s="405">
        <v>7.4999999999999997E-2</v>
      </c>
      <c r="E3673" s="405">
        <v>7.4999999999999997E-2</v>
      </c>
      <c r="F3673" s="405">
        <v>78.5</v>
      </c>
      <c r="G3673" s="67">
        <f t="shared" si="112"/>
        <v>5.3</v>
      </c>
      <c r="H3673" s="935"/>
    </row>
    <row r="3674" spans="1:8" ht="18" customHeight="1">
      <c r="A3674" s="407"/>
      <c r="B3674" s="451" t="s">
        <v>1473</v>
      </c>
      <c r="C3674" s="404">
        <f>12*2</f>
        <v>24</v>
      </c>
      <c r="D3674" s="405">
        <v>0.15</v>
      </c>
      <c r="E3674" s="405"/>
      <c r="F3674" s="405">
        <v>0.88</v>
      </c>
      <c r="G3674" s="67">
        <f t="shared" si="112"/>
        <v>3.17</v>
      </c>
      <c r="H3674" s="935"/>
    </row>
    <row r="3675" spans="1:8" ht="18" customHeight="1">
      <c r="A3675" s="407"/>
      <c r="B3675" s="478" t="s">
        <v>1479</v>
      </c>
      <c r="C3675" s="404"/>
      <c r="D3675" s="405"/>
      <c r="E3675" s="405"/>
      <c r="F3675" s="405"/>
      <c r="G3675" s="67" t="str">
        <f t="shared" si="112"/>
        <v xml:space="preserve"> </v>
      </c>
      <c r="H3675" s="935"/>
    </row>
    <row r="3676" spans="1:8" ht="18" customHeight="1">
      <c r="A3676" s="407"/>
      <c r="B3676" s="451" t="s">
        <v>1468</v>
      </c>
      <c r="C3676" s="404">
        <v>2</v>
      </c>
      <c r="D3676" s="405">
        <v>3.65</v>
      </c>
      <c r="E3676" s="405"/>
      <c r="F3676" s="405">
        <v>5.25</v>
      </c>
      <c r="G3676" s="67">
        <f t="shared" si="112"/>
        <v>38.33</v>
      </c>
      <c r="H3676" s="935"/>
    </row>
    <row r="3677" spans="1:8" ht="18" customHeight="1">
      <c r="A3677" s="407"/>
      <c r="B3677" s="451" t="s">
        <v>1469</v>
      </c>
      <c r="C3677" s="404">
        <v>2</v>
      </c>
      <c r="D3677" s="567">
        <v>3.45</v>
      </c>
      <c r="E3677" s="405"/>
      <c r="F3677" s="405">
        <v>5.25</v>
      </c>
      <c r="G3677" s="67">
        <f t="shared" si="112"/>
        <v>36.229999999999997</v>
      </c>
      <c r="H3677" s="935"/>
    </row>
    <row r="3678" spans="1:8" ht="18" customHeight="1">
      <c r="A3678" s="407"/>
      <c r="B3678" s="451" t="s">
        <v>1475</v>
      </c>
      <c r="C3678" s="568">
        <v>8</v>
      </c>
      <c r="D3678" s="405">
        <v>1.1000000000000001</v>
      </c>
      <c r="E3678" s="405"/>
      <c r="F3678" s="405">
        <v>5.25</v>
      </c>
      <c r="G3678" s="67">
        <f t="shared" si="112"/>
        <v>46.2</v>
      </c>
      <c r="H3678" s="935"/>
    </row>
    <row r="3679" spans="1:8" ht="18" customHeight="1">
      <c r="A3679" s="407"/>
      <c r="B3679" s="451" t="s">
        <v>1476</v>
      </c>
      <c r="C3679" s="568">
        <v>50</v>
      </c>
      <c r="D3679" s="567">
        <v>0.84499999999999997</v>
      </c>
      <c r="E3679" s="405"/>
      <c r="F3679" s="405">
        <v>1.1299999999999999</v>
      </c>
      <c r="G3679" s="67">
        <f t="shared" si="112"/>
        <v>47.74</v>
      </c>
      <c r="H3679" s="935"/>
    </row>
    <row r="3680" spans="1:8" ht="18" customHeight="1">
      <c r="A3680" s="407"/>
      <c r="B3680" s="451" t="s">
        <v>1477</v>
      </c>
      <c r="C3680" s="568">
        <v>24</v>
      </c>
      <c r="D3680" s="405">
        <v>7.4999999999999997E-2</v>
      </c>
      <c r="E3680" s="405">
        <v>7.4999999999999997E-2</v>
      </c>
      <c r="F3680" s="405">
        <v>78.5</v>
      </c>
      <c r="G3680" s="67">
        <f t="shared" si="112"/>
        <v>10.6</v>
      </c>
      <c r="H3680" s="935"/>
    </row>
    <row r="3681" spans="1:9" ht="18" customHeight="1">
      <c r="A3681" s="407"/>
      <c r="B3681" s="451" t="s">
        <v>1473</v>
      </c>
      <c r="C3681" s="568">
        <v>48</v>
      </c>
      <c r="D3681" s="405">
        <v>0.15</v>
      </c>
      <c r="E3681" s="405"/>
      <c r="F3681" s="405">
        <v>0.88</v>
      </c>
      <c r="G3681" s="67">
        <f t="shared" si="112"/>
        <v>6.34</v>
      </c>
      <c r="H3681" s="935"/>
    </row>
    <row r="3682" spans="1:9" ht="18" customHeight="1">
      <c r="A3682" s="407"/>
      <c r="B3682" s="478" t="s">
        <v>1480</v>
      </c>
      <c r="C3682" s="404"/>
      <c r="D3682" s="405"/>
      <c r="E3682" s="405"/>
      <c r="F3682" s="405"/>
      <c r="G3682" s="67" t="str">
        <f t="shared" si="112"/>
        <v xml:space="preserve"> </v>
      </c>
      <c r="H3682" s="935"/>
    </row>
    <row r="3683" spans="1:9" ht="18" customHeight="1">
      <c r="A3683" s="407"/>
      <c r="B3683" s="451" t="s">
        <v>1481</v>
      </c>
      <c r="C3683" s="404">
        <v>6</v>
      </c>
      <c r="D3683" s="405">
        <v>4.8</v>
      </c>
      <c r="E3683" s="405"/>
      <c r="F3683" s="405">
        <f>0.15*0.006*7850</f>
        <v>7.0649999999999995</v>
      </c>
      <c r="G3683" s="67">
        <f t="shared" si="112"/>
        <v>203.47</v>
      </c>
      <c r="H3683" s="935"/>
    </row>
    <row r="3684" spans="1:9" ht="18" customHeight="1">
      <c r="A3684" s="407"/>
      <c r="B3684" s="451" t="s">
        <v>1482</v>
      </c>
      <c r="C3684" s="404"/>
      <c r="D3684" s="405"/>
      <c r="E3684" s="405"/>
      <c r="F3684" s="405"/>
      <c r="G3684" s="67" t="str">
        <f t="shared" si="112"/>
        <v xml:space="preserve"> </v>
      </c>
      <c r="H3684" s="935"/>
    </row>
    <row r="3685" spans="1:9" ht="18" customHeight="1">
      <c r="A3685" s="407"/>
      <c r="B3685" s="451" t="s">
        <v>1483</v>
      </c>
      <c r="C3685" s="404">
        <v>6</v>
      </c>
      <c r="D3685" s="405">
        <v>4.8</v>
      </c>
      <c r="E3685" s="405"/>
      <c r="F3685" s="405">
        <v>10</v>
      </c>
      <c r="G3685" s="67">
        <f t="shared" si="112"/>
        <v>288</v>
      </c>
      <c r="H3685" s="935"/>
    </row>
    <row r="3686" spans="1:9" ht="18" customHeight="1">
      <c r="A3686" s="407"/>
      <c r="B3686" s="451" t="s">
        <v>1484</v>
      </c>
      <c r="C3686" s="404"/>
      <c r="D3686" s="405"/>
      <c r="E3686" s="405"/>
      <c r="F3686" s="405"/>
      <c r="G3686" s="567">
        <v>223</v>
      </c>
      <c r="H3686" s="935"/>
    </row>
    <row r="3687" spans="1:9" s="355" customFormat="1" ht="18" customHeight="1">
      <c r="A3687" s="407"/>
      <c r="B3687" s="478"/>
      <c r="C3687" s="446"/>
      <c r="D3687" s="414"/>
      <c r="E3687" s="414"/>
      <c r="F3687" s="414"/>
      <c r="G3687" s="414"/>
      <c r="H3687" s="963"/>
      <c r="I3687" s="1239"/>
    </row>
    <row r="3688" spans="1:9" ht="18" customHeight="1">
      <c r="A3688" s="965"/>
      <c r="B3688" s="874" t="s">
        <v>2188</v>
      </c>
      <c r="C3688" s="966"/>
      <c r="D3688" s="967"/>
      <c r="E3688" s="967"/>
      <c r="F3688" s="967"/>
      <c r="G3688" s="968">
        <f>SUM(G3653:G3687)</f>
        <v>2023.2399999999998</v>
      </c>
      <c r="H3688" s="976" t="s">
        <v>405</v>
      </c>
      <c r="I3688" s="1226" t="s">
        <v>1465</v>
      </c>
    </row>
    <row r="3689" spans="1:9" ht="18" customHeight="1">
      <c r="A3689" s="1001"/>
      <c r="B3689" s="246"/>
      <c r="C3689" s="246"/>
      <c r="D3689" s="246"/>
      <c r="E3689" s="246"/>
      <c r="F3689" s="246"/>
      <c r="G3689" s="414"/>
      <c r="H3689" s="935"/>
    </row>
    <row r="3690" spans="1:9" s="628" customFormat="1" ht="28.5">
      <c r="A3690" s="914" t="s">
        <v>588</v>
      </c>
      <c r="B3690" s="915" t="s">
        <v>587</v>
      </c>
      <c r="C3690" s="632"/>
      <c r="D3690" s="585"/>
      <c r="E3690" s="585"/>
      <c r="F3690" s="585"/>
      <c r="G3690" s="585"/>
      <c r="H3690" s="939"/>
      <c r="I3690" s="1235"/>
    </row>
    <row r="3691" spans="1:9" s="628" customFormat="1" ht="21" customHeight="1">
      <c r="A3691" s="1002" t="s">
        <v>2045</v>
      </c>
      <c r="B3691" s="1003" t="s">
        <v>939</v>
      </c>
      <c r="C3691" s="580">
        <v>43</v>
      </c>
      <c r="D3691" s="581">
        <v>3.1</v>
      </c>
      <c r="E3691" s="581">
        <v>4.8</v>
      </c>
      <c r="F3691" s="581"/>
      <c r="G3691" s="742">
        <f t="shared" ref="G3691:G3739" si="113">IF(C3691&lt;&gt;0,ROUND(PRODUCT(D3691:F3691)*C3691,2),)</f>
        <v>639.84</v>
      </c>
      <c r="H3691" s="1004"/>
      <c r="I3691" s="1251" t="s">
        <v>2242</v>
      </c>
    </row>
    <row r="3692" spans="1:9" s="628" customFormat="1" ht="18" customHeight="1">
      <c r="A3692" s="1002" t="s">
        <v>2045</v>
      </c>
      <c r="B3692" s="1003" t="s">
        <v>937</v>
      </c>
      <c r="C3692" s="580">
        <v>53</v>
      </c>
      <c r="D3692" s="581">
        <v>3.1</v>
      </c>
      <c r="E3692" s="581">
        <v>4.8</v>
      </c>
      <c r="F3692" s="581"/>
      <c r="G3692" s="742">
        <f t="shared" si="113"/>
        <v>788.64</v>
      </c>
      <c r="H3692" s="1004"/>
      <c r="I3692" s="1235"/>
    </row>
    <row r="3693" spans="1:9" ht="18" customHeight="1">
      <c r="A3693" s="407"/>
      <c r="B3693" s="451" t="s">
        <v>938</v>
      </c>
      <c r="C3693" s="404">
        <v>54</v>
      </c>
      <c r="D3693" s="405">
        <v>3.1</v>
      </c>
      <c r="E3693" s="405">
        <v>4.8</v>
      </c>
      <c r="F3693" s="405"/>
      <c r="G3693" s="742">
        <f t="shared" si="113"/>
        <v>803.52</v>
      </c>
      <c r="H3693" s="935"/>
    </row>
    <row r="3694" spans="1:9" s="689" customFormat="1" ht="18" customHeight="1">
      <c r="A3694" s="407"/>
      <c r="B3694" s="478" t="s">
        <v>2071</v>
      </c>
      <c r="C3694" s="404"/>
      <c r="D3694" s="405"/>
      <c r="E3694" s="405"/>
      <c r="F3694" s="405"/>
      <c r="G3694" s="742">
        <f t="shared" si="113"/>
        <v>0</v>
      </c>
      <c r="H3694" s="935"/>
      <c r="I3694" s="1252"/>
    </row>
    <row r="3695" spans="1:9" s="689" customFormat="1" ht="18" customHeight="1">
      <c r="A3695" s="407"/>
      <c r="B3695" s="478" t="s">
        <v>2206</v>
      </c>
      <c r="C3695" s="404"/>
      <c r="D3695" s="405"/>
      <c r="E3695" s="405"/>
      <c r="F3695" s="405"/>
      <c r="G3695" s="742">
        <f t="shared" si="113"/>
        <v>0</v>
      </c>
      <c r="H3695" s="935"/>
      <c r="I3695" s="1252"/>
    </row>
    <row r="3696" spans="1:9" s="689" customFormat="1" ht="18" customHeight="1">
      <c r="A3696" s="407"/>
      <c r="B3696" s="81" t="s">
        <v>2072</v>
      </c>
      <c r="C3696" s="404">
        <v>1</v>
      </c>
      <c r="D3696" s="405">
        <f>6.45+6.4+6.4+3.25</f>
        <v>22.5</v>
      </c>
      <c r="E3696" s="405">
        <v>1.8</v>
      </c>
      <c r="F3696" s="405"/>
      <c r="G3696" s="742">
        <f t="shared" si="113"/>
        <v>40.5</v>
      </c>
      <c r="H3696" s="935"/>
      <c r="I3696" s="1252"/>
    </row>
    <row r="3697" spans="1:9" s="689" customFormat="1" ht="18" customHeight="1">
      <c r="A3697" s="407"/>
      <c r="B3697" s="81" t="s">
        <v>2074</v>
      </c>
      <c r="C3697" s="404">
        <v>1</v>
      </c>
      <c r="D3697" s="405">
        <f>6.45+3.25</f>
        <v>9.6999999999999993</v>
      </c>
      <c r="E3697" s="405">
        <v>1.8</v>
      </c>
      <c r="F3697" s="405"/>
      <c r="G3697" s="742">
        <f t="shared" si="113"/>
        <v>17.46</v>
      </c>
      <c r="H3697" s="935"/>
      <c r="I3697" s="1252"/>
    </row>
    <row r="3698" spans="1:9" s="689" customFormat="1" ht="18" customHeight="1">
      <c r="A3698" s="407"/>
      <c r="B3698" s="81" t="s">
        <v>2076</v>
      </c>
      <c r="C3698" s="404">
        <v>1</v>
      </c>
      <c r="D3698" s="405">
        <f>3.25+6.45+3.2</f>
        <v>12.899999999999999</v>
      </c>
      <c r="E3698" s="405">
        <v>1.8</v>
      </c>
      <c r="F3698" s="405"/>
      <c r="G3698" s="742">
        <f t="shared" si="113"/>
        <v>23.22</v>
      </c>
      <c r="H3698" s="935"/>
      <c r="I3698" s="1252"/>
    </row>
    <row r="3699" spans="1:9" s="689" customFormat="1" ht="18" customHeight="1">
      <c r="A3699" s="407"/>
      <c r="B3699" s="81" t="s">
        <v>2078</v>
      </c>
      <c r="C3699" s="404">
        <v>1</v>
      </c>
      <c r="D3699" s="405">
        <f>6.45+6.4+6.4+3.25</f>
        <v>22.5</v>
      </c>
      <c r="E3699" s="405">
        <v>1.8</v>
      </c>
      <c r="F3699" s="405"/>
      <c r="G3699" s="742">
        <f t="shared" si="113"/>
        <v>40.5</v>
      </c>
      <c r="H3699" s="935"/>
      <c r="I3699" s="1252"/>
    </row>
    <row r="3700" spans="1:9" s="689" customFormat="1" ht="18" customHeight="1">
      <c r="A3700" s="407"/>
      <c r="B3700" s="81" t="s">
        <v>2080</v>
      </c>
      <c r="C3700" s="404">
        <v>1</v>
      </c>
      <c r="D3700" s="405">
        <v>32.4</v>
      </c>
      <c r="E3700" s="405">
        <v>1.8</v>
      </c>
      <c r="F3700" s="405"/>
      <c r="G3700" s="742">
        <f t="shared" si="113"/>
        <v>58.32</v>
      </c>
      <c r="H3700" s="935"/>
      <c r="I3700" s="1252"/>
    </row>
    <row r="3701" spans="1:9" ht="18" customHeight="1">
      <c r="A3701" s="407"/>
      <c r="B3701" s="81" t="s">
        <v>2082</v>
      </c>
      <c r="C3701" s="404">
        <v>1</v>
      </c>
      <c r="D3701" s="405">
        <v>1.5249999999999999</v>
      </c>
      <c r="E3701" s="405">
        <v>2.0249999999999999</v>
      </c>
      <c r="F3701" s="405"/>
      <c r="G3701" s="742">
        <f t="shared" si="113"/>
        <v>3.09</v>
      </c>
      <c r="H3701" s="935"/>
    </row>
    <row r="3702" spans="1:9" ht="18" customHeight="1">
      <c r="A3702" s="407"/>
      <c r="B3702" s="548" t="s">
        <v>937</v>
      </c>
      <c r="C3702" s="404"/>
      <c r="D3702" s="405"/>
      <c r="E3702" s="405"/>
      <c r="F3702" s="405"/>
      <c r="G3702" s="742">
        <f t="shared" si="113"/>
        <v>0</v>
      </c>
      <c r="H3702" s="935"/>
    </row>
    <row r="3703" spans="1:9" ht="18" customHeight="1">
      <c r="A3703" s="407"/>
      <c r="B3703" s="81" t="s">
        <v>2072</v>
      </c>
      <c r="C3703" s="404">
        <v>1</v>
      </c>
      <c r="D3703" s="405">
        <f>6.45+6.4+6.4+3.25</f>
        <v>22.5</v>
      </c>
      <c r="E3703" s="405">
        <v>1.8</v>
      </c>
      <c r="F3703" s="405"/>
      <c r="G3703" s="742">
        <f t="shared" si="113"/>
        <v>40.5</v>
      </c>
      <c r="H3703" s="935"/>
    </row>
    <row r="3704" spans="1:9" ht="18" customHeight="1">
      <c r="A3704" s="407"/>
      <c r="B3704" s="81" t="s">
        <v>2074</v>
      </c>
      <c r="C3704" s="404">
        <v>1</v>
      </c>
      <c r="D3704" s="405">
        <f>6.45+3.25</f>
        <v>9.6999999999999993</v>
      </c>
      <c r="E3704" s="405">
        <v>1.8</v>
      </c>
      <c r="F3704" s="405"/>
      <c r="G3704" s="742">
        <f t="shared" si="113"/>
        <v>17.46</v>
      </c>
      <c r="H3704" s="935"/>
    </row>
    <row r="3705" spans="1:9" ht="18" customHeight="1">
      <c r="A3705" s="407"/>
      <c r="B3705" s="81" t="s">
        <v>2076</v>
      </c>
      <c r="C3705" s="404">
        <v>1</v>
      </c>
      <c r="D3705" s="405">
        <f>3.25+6.45+3.2</f>
        <v>12.899999999999999</v>
      </c>
      <c r="E3705" s="405">
        <v>1.8</v>
      </c>
      <c r="F3705" s="405"/>
      <c r="G3705" s="742">
        <f t="shared" si="113"/>
        <v>23.22</v>
      </c>
      <c r="H3705" s="935"/>
    </row>
    <row r="3706" spans="1:9" ht="18" customHeight="1">
      <c r="A3706" s="407"/>
      <c r="B3706" s="81" t="s">
        <v>2078</v>
      </c>
      <c r="C3706" s="404">
        <v>1</v>
      </c>
      <c r="D3706" s="405">
        <f>6.45+6.4+6.4+3.25</f>
        <v>22.5</v>
      </c>
      <c r="E3706" s="405">
        <v>1.8</v>
      </c>
      <c r="F3706" s="405"/>
      <c r="G3706" s="742">
        <f t="shared" si="113"/>
        <v>40.5</v>
      </c>
      <c r="H3706" s="935"/>
    </row>
    <row r="3707" spans="1:9" ht="18" customHeight="1">
      <c r="A3707" s="407"/>
      <c r="B3707" s="81" t="s">
        <v>2080</v>
      </c>
      <c r="C3707" s="404">
        <v>1</v>
      </c>
      <c r="D3707" s="405">
        <v>32.4</v>
      </c>
      <c r="E3707" s="405">
        <v>1.8</v>
      </c>
      <c r="F3707" s="405"/>
      <c r="G3707" s="742">
        <f t="shared" si="113"/>
        <v>58.32</v>
      </c>
      <c r="H3707" s="935"/>
    </row>
    <row r="3708" spans="1:9" ht="18" customHeight="1">
      <c r="A3708" s="407"/>
      <c r="B3708" s="81" t="s">
        <v>2082</v>
      </c>
      <c r="C3708" s="404">
        <v>1</v>
      </c>
      <c r="D3708" s="405">
        <v>1.5249999999999999</v>
      </c>
      <c r="E3708" s="405">
        <v>2.0249999999999999</v>
      </c>
      <c r="F3708" s="405"/>
      <c r="G3708" s="742">
        <f t="shared" si="113"/>
        <v>3.09</v>
      </c>
      <c r="H3708" s="935"/>
    </row>
    <row r="3709" spans="1:9" ht="18" customHeight="1">
      <c r="A3709" s="407"/>
      <c r="B3709" s="548" t="s">
        <v>938</v>
      </c>
      <c r="C3709" s="404"/>
      <c r="D3709" s="405"/>
      <c r="E3709" s="405"/>
      <c r="F3709" s="405"/>
      <c r="G3709" s="742">
        <f t="shared" si="113"/>
        <v>0</v>
      </c>
      <c r="H3709" s="935"/>
    </row>
    <row r="3710" spans="1:9" ht="18" customHeight="1">
      <c r="A3710" s="407"/>
      <c r="B3710" s="81" t="s">
        <v>2072</v>
      </c>
      <c r="C3710" s="404">
        <v>1</v>
      </c>
      <c r="D3710" s="405">
        <f>6.45+6.4+6.4+3.25</f>
        <v>22.5</v>
      </c>
      <c r="E3710" s="405">
        <v>1.8</v>
      </c>
      <c r="F3710" s="405"/>
      <c r="G3710" s="742">
        <f t="shared" si="113"/>
        <v>40.5</v>
      </c>
      <c r="H3710" s="935"/>
    </row>
    <row r="3711" spans="1:9" ht="18" customHeight="1">
      <c r="A3711" s="407"/>
      <c r="B3711" s="81" t="s">
        <v>2074</v>
      </c>
      <c r="C3711" s="404">
        <v>1</v>
      </c>
      <c r="D3711" s="405">
        <f>6.45+3.25</f>
        <v>9.6999999999999993</v>
      </c>
      <c r="E3711" s="405">
        <v>1.8</v>
      </c>
      <c r="F3711" s="405"/>
      <c r="G3711" s="742">
        <f t="shared" si="113"/>
        <v>17.46</v>
      </c>
      <c r="H3711" s="935"/>
    </row>
    <row r="3712" spans="1:9" ht="18" customHeight="1">
      <c r="A3712" s="407"/>
      <c r="B3712" s="81" t="s">
        <v>2076</v>
      </c>
      <c r="C3712" s="404">
        <v>1</v>
      </c>
      <c r="D3712" s="405">
        <f>3.25+6.45+3.2</f>
        <v>12.899999999999999</v>
      </c>
      <c r="E3712" s="405">
        <v>1.8</v>
      </c>
      <c r="F3712" s="405"/>
      <c r="G3712" s="742">
        <f t="shared" si="113"/>
        <v>23.22</v>
      </c>
      <c r="H3712" s="935"/>
    </row>
    <row r="3713" spans="1:10" ht="18" customHeight="1">
      <c r="A3713" s="407"/>
      <c r="B3713" s="81" t="s">
        <v>2078</v>
      </c>
      <c r="C3713" s="404">
        <v>1</v>
      </c>
      <c r="D3713" s="405">
        <f>6.45+6.4+6.4+3.25</f>
        <v>22.5</v>
      </c>
      <c r="E3713" s="405">
        <v>1.8</v>
      </c>
      <c r="F3713" s="405"/>
      <c r="G3713" s="742">
        <f t="shared" si="113"/>
        <v>40.5</v>
      </c>
      <c r="H3713" s="935"/>
    </row>
    <row r="3714" spans="1:10" ht="18" customHeight="1">
      <c r="A3714" s="407"/>
      <c r="B3714" s="81" t="s">
        <v>2080</v>
      </c>
      <c r="C3714" s="404">
        <v>1</v>
      </c>
      <c r="D3714" s="405">
        <v>32.4</v>
      </c>
      <c r="E3714" s="405">
        <v>1.8</v>
      </c>
      <c r="F3714" s="405"/>
      <c r="G3714" s="742">
        <f t="shared" si="113"/>
        <v>58.32</v>
      </c>
      <c r="H3714" s="935"/>
    </row>
    <row r="3715" spans="1:10" ht="18" customHeight="1">
      <c r="A3715" s="407"/>
      <c r="B3715" s="81" t="s">
        <v>2082</v>
      </c>
      <c r="C3715" s="404">
        <v>1</v>
      </c>
      <c r="D3715" s="405">
        <v>1.5249999999999999</v>
      </c>
      <c r="E3715" s="405">
        <v>2.0249999999999999</v>
      </c>
      <c r="F3715" s="405"/>
      <c r="G3715" s="742">
        <f t="shared" si="113"/>
        <v>3.09</v>
      </c>
      <c r="H3715" s="935"/>
    </row>
    <row r="3716" spans="1:10" s="79" customFormat="1" ht="18" customHeight="1">
      <c r="A3716" s="407" t="s">
        <v>1306</v>
      </c>
      <c r="B3716" s="478" t="s">
        <v>1132</v>
      </c>
      <c r="C3716" s="404"/>
      <c r="D3716" s="405"/>
      <c r="E3716" s="405"/>
      <c r="F3716" s="405"/>
      <c r="G3716" s="742">
        <f t="shared" si="113"/>
        <v>0</v>
      </c>
      <c r="H3716" s="935"/>
      <c r="I3716" s="1231"/>
    </row>
    <row r="3717" spans="1:10" s="79" customFormat="1" ht="18" customHeight="1">
      <c r="A3717" s="407"/>
      <c r="B3717" s="451" t="s">
        <v>2199</v>
      </c>
      <c r="C3717" s="404">
        <v>1</v>
      </c>
      <c r="D3717" s="405">
        <f>3.2+6.3+3.2-0.2</f>
        <v>12.5</v>
      </c>
      <c r="E3717" s="405">
        <f>5.234-0.2</f>
        <v>5.0339999999999998</v>
      </c>
      <c r="F3717" s="405"/>
      <c r="G3717" s="742">
        <f t="shared" si="113"/>
        <v>62.93</v>
      </c>
      <c r="H3717" s="935" t="s">
        <v>1306</v>
      </c>
      <c r="I3717" s="1231"/>
    </row>
    <row r="3718" spans="1:10" s="79" customFormat="1" ht="18" customHeight="1">
      <c r="A3718" s="407"/>
      <c r="B3718" s="451" t="s">
        <v>2200</v>
      </c>
      <c r="C3718" s="404">
        <v>1</v>
      </c>
      <c r="D3718" s="405">
        <v>3.9729999999999999</v>
      </c>
      <c r="E3718" s="405">
        <v>4.57</v>
      </c>
      <c r="F3718" s="405"/>
      <c r="G3718" s="742">
        <f t="shared" si="113"/>
        <v>18.16</v>
      </c>
      <c r="H3718" s="935" t="s">
        <v>1306</v>
      </c>
      <c r="I3718" s="1231"/>
    </row>
    <row r="3719" spans="1:10" s="79" customFormat="1" ht="18" customHeight="1">
      <c r="A3719" s="407"/>
      <c r="B3719" s="451" t="s">
        <v>2201</v>
      </c>
      <c r="C3719" s="404">
        <v>1</v>
      </c>
      <c r="D3719" s="405">
        <f>2.4-0.2</f>
        <v>2.1999999999999997</v>
      </c>
      <c r="E3719" s="405">
        <f>6.3-0.2</f>
        <v>6.1</v>
      </c>
      <c r="F3719" s="405"/>
      <c r="G3719" s="742">
        <f t="shared" si="113"/>
        <v>13.42</v>
      </c>
      <c r="H3719" s="935" t="s">
        <v>1306</v>
      </c>
      <c r="I3719" s="1231"/>
    </row>
    <row r="3720" spans="1:10" s="79" customFormat="1" ht="18" customHeight="1">
      <c r="A3720" s="407"/>
      <c r="B3720" s="478" t="s">
        <v>2202</v>
      </c>
      <c r="C3720" s="404"/>
      <c r="D3720" s="405"/>
      <c r="E3720" s="405"/>
      <c r="F3720" s="405"/>
      <c r="G3720" s="742">
        <f t="shared" si="113"/>
        <v>0</v>
      </c>
      <c r="H3720" s="935" t="s">
        <v>1306</v>
      </c>
      <c r="I3720" s="1231"/>
    </row>
    <row r="3721" spans="1:10" s="79" customFormat="1" ht="18" customHeight="1">
      <c r="A3721" s="407"/>
      <c r="B3721" s="451" t="s">
        <v>1360</v>
      </c>
      <c r="C3721" s="404">
        <v>6</v>
      </c>
      <c r="D3721" s="405">
        <f>4.125-0.2</f>
        <v>3.9249999999999998</v>
      </c>
      <c r="E3721" s="405">
        <f>2.298+3.6-0.1</f>
        <v>5.798</v>
      </c>
      <c r="F3721" s="405"/>
      <c r="G3721" s="742">
        <f t="shared" si="113"/>
        <v>136.54</v>
      </c>
      <c r="H3721" s="935" t="s">
        <v>1306</v>
      </c>
      <c r="I3721" s="1231"/>
    </row>
    <row r="3722" spans="1:10" s="79" customFormat="1" ht="18" customHeight="1">
      <c r="A3722" s="407"/>
      <c r="B3722" s="451" t="s">
        <v>1361</v>
      </c>
      <c r="C3722" s="404">
        <v>6</v>
      </c>
      <c r="D3722" s="405">
        <f>1.875-0.1</f>
        <v>1.7749999999999999</v>
      </c>
      <c r="E3722" s="405">
        <f>1+3.825-0.1</f>
        <v>4.7250000000000005</v>
      </c>
      <c r="F3722" s="405"/>
      <c r="G3722" s="742">
        <f t="shared" si="113"/>
        <v>50.32</v>
      </c>
      <c r="H3722" s="935" t="s">
        <v>1306</v>
      </c>
      <c r="I3722" s="1231"/>
    </row>
    <row r="3723" spans="1:10" s="79" customFormat="1" ht="18" customHeight="1">
      <c r="A3723" s="407"/>
      <c r="B3723" s="451" t="s">
        <v>1362</v>
      </c>
      <c r="C3723" s="404">
        <v>6</v>
      </c>
      <c r="D3723" s="405">
        <v>1.925</v>
      </c>
      <c r="E3723" s="405">
        <v>1.35</v>
      </c>
      <c r="F3723" s="405"/>
      <c r="G3723" s="742">
        <f t="shared" si="113"/>
        <v>15.59</v>
      </c>
      <c r="H3723" s="935" t="s">
        <v>1306</v>
      </c>
      <c r="I3723" s="1231"/>
    </row>
    <row r="3724" spans="1:10" s="79" customFormat="1" ht="18" customHeight="1">
      <c r="A3724" s="407"/>
      <c r="B3724" s="478" t="s">
        <v>2203</v>
      </c>
      <c r="C3724" s="404"/>
      <c r="D3724" s="405"/>
      <c r="E3724" s="405"/>
      <c r="F3724" s="405"/>
      <c r="G3724" s="742">
        <f t="shared" si="113"/>
        <v>0</v>
      </c>
      <c r="H3724" s="935" t="s">
        <v>1306</v>
      </c>
      <c r="I3724" s="1231"/>
    </row>
    <row r="3725" spans="1:10" s="79" customFormat="1" ht="18" customHeight="1">
      <c r="A3725" s="407"/>
      <c r="B3725" s="451" t="s">
        <v>2204</v>
      </c>
      <c r="C3725" s="404">
        <v>6</v>
      </c>
      <c r="D3725" s="405">
        <f>5.187-0.2</f>
        <v>4.9870000000000001</v>
      </c>
      <c r="E3725" s="581">
        <v>4.5</v>
      </c>
      <c r="F3725" s="405"/>
      <c r="G3725" s="742">
        <f t="shared" si="113"/>
        <v>134.65</v>
      </c>
      <c r="H3725" s="935" t="s">
        <v>1306</v>
      </c>
      <c r="I3725" s="1231"/>
    </row>
    <row r="3726" spans="1:10" s="79" customFormat="1" ht="18" customHeight="1">
      <c r="A3726" s="407"/>
      <c r="B3726" s="451" t="s">
        <v>2205</v>
      </c>
      <c r="C3726" s="404">
        <v>6</v>
      </c>
      <c r="D3726" s="405">
        <f>5.187-0.2</f>
        <v>4.9870000000000001</v>
      </c>
      <c r="E3726" s="581">
        <v>4.5</v>
      </c>
      <c r="F3726" s="405"/>
      <c r="G3726" s="742">
        <f t="shared" si="113"/>
        <v>134.65</v>
      </c>
      <c r="H3726" s="935" t="s">
        <v>1306</v>
      </c>
      <c r="I3726" s="1231"/>
      <c r="J3726" s="690"/>
    </row>
    <row r="3727" spans="1:10" s="79" customFormat="1" ht="18" customHeight="1">
      <c r="A3727" s="407"/>
      <c r="B3727" s="1005" t="s">
        <v>2251</v>
      </c>
      <c r="C3727" s="542">
        <v>4</v>
      </c>
      <c r="D3727" s="543">
        <v>3.1</v>
      </c>
      <c r="E3727" s="543">
        <v>3.1</v>
      </c>
      <c r="F3727" s="543"/>
      <c r="G3727" s="1006">
        <f t="shared" si="113"/>
        <v>38.44</v>
      </c>
      <c r="H3727" s="1007"/>
      <c r="I3727" s="1231"/>
      <c r="J3727" s="690"/>
    </row>
    <row r="3728" spans="1:10" s="79" customFormat="1" ht="18" customHeight="1">
      <c r="A3728" s="407"/>
      <c r="B3728" s="1008" t="s">
        <v>2252</v>
      </c>
      <c r="C3728" s="542">
        <v>4</v>
      </c>
      <c r="D3728" s="543">
        <v>3</v>
      </c>
      <c r="E3728" s="543">
        <v>4.7</v>
      </c>
      <c r="F3728" s="543"/>
      <c r="G3728" s="1006">
        <f t="shared" si="113"/>
        <v>56.4</v>
      </c>
      <c r="H3728" s="1007"/>
      <c r="I3728" s="1231"/>
      <c r="J3728" s="690"/>
    </row>
    <row r="3729" spans="1:10" s="79" customFormat="1" ht="18" customHeight="1">
      <c r="A3729" s="407"/>
      <c r="B3729" s="1008" t="s">
        <v>2253</v>
      </c>
      <c r="C3729" s="542">
        <v>1</v>
      </c>
      <c r="D3729" s="543">
        <v>4.7</v>
      </c>
      <c r="E3729" s="543">
        <v>3.1</v>
      </c>
      <c r="F3729" s="543"/>
      <c r="G3729" s="1006">
        <f t="shared" si="113"/>
        <v>14.57</v>
      </c>
      <c r="H3729" s="1007"/>
      <c r="I3729" s="1231"/>
      <c r="J3729" s="690"/>
    </row>
    <row r="3730" spans="1:10" s="79" customFormat="1" ht="18" customHeight="1">
      <c r="A3730" s="407"/>
      <c r="B3730" s="1008" t="s">
        <v>2254</v>
      </c>
      <c r="C3730" s="542">
        <v>6</v>
      </c>
      <c r="D3730" s="543">
        <v>8</v>
      </c>
      <c r="E3730" s="543">
        <v>4.8</v>
      </c>
      <c r="F3730" s="543"/>
      <c r="G3730" s="1006">
        <f t="shared" si="113"/>
        <v>230.4</v>
      </c>
      <c r="H3730" s="1007"/>
      <c r="I3730" s="1231"/>
      <c r="J3730" s="690"/>
    </row>
    <row r="3731" spans="1:10" s="79" customFormat="1" ht="18" customHeight="1">
      <c r="A3731" s="407"/>
      <c r="B3731" s="1008" t="s">
        <v>2255</v>
      </c>
      <c r="C3731" s="542">
        <v>1</v>
      </c>
      <c r="D3731" s="543">
        <v>4.8</v>
      </c>
      <c r="E3731" s="543">
        <v>6.3</v>
      </c>
      <c r="F3731" s="543"/>
      <c r="G3731" s="1006">
        <f t="shared" si="113"/>
        <v>30.24</v>
      </c>
      <c r="H3731" s="1007"/>
      <c r="I3731" s="1231"/>
      <c r="J3731" s="690"/>
    </row>
    <row r="3732" spans="1:10" s="79" customFormat="1" ht="18" customHeight="1">
      <c r="A3732" s="407"/>
      <c r="B3732" s="1008" t="s">
        <v>2256</v>
      </c>
      <c r="C3732" s="542">
        <v>2</v>
      </c>
      <c r="D3732" s="543">
        <v>3.15</v>
      </c>
      <c r="E3732" s="543">
        <v>4.8</v>
      </c>
      <c r="F3732" s="543"/>
      <c r="G3732" s="1006">
        <f t="shared" si="113"/>
        <v>30.24</v>
      </c>
      <c r="H3732" s="1007"/>
      <c r="I3732" s="1231"/>
      <c r="J3732" s="690"/>
    </row>
    <row r="3733" spans="1:10" s="79" customFormat="1" ht="18" customHeight="1">
      <c r="A3733" s="407"/>
      <c r="B3733" s="1008" t="s">
        <v>2257</v>
      </c>
      <c r="C3733" s="542">
        <v>-1</v>
      </c>
      <c r="D3733" s="543">
        <v>0.94199999999999995</v>
      </c>
      <c r="E3733" s="543"/>
      <c r="F3733" s="543"/>
      <c r="G3733" s="1006">
        <f t="shared" si="113"/>
        <v>-0.94</v>
      </c>
      <c r="H3733" s="1007"/>
      <c r="I3733" s="1231"/>
      <c r="J3733" s="690"/>
    </row>
    <row r="3734" spans="1:10" s="79" customFormat="1" ht="18" customHeight="1">
      <c r="A3734" s="407"/>
      <c r="B3734" s="1008" t="s">
        <v>2258</v>
      </c>
      <c r="C3734" s="542">
        <v>3</v>
      </c>
      <c r="D3734" s="543">
        <v>2.4</v>
      </c>
      <c r="E3734" s="543">
        <v>4</v>
      </c>
      <c r="F3734" s="543"/>
      <c r="G3734" s="1006">
        <f t="shared" si="113"/>
        <v>28.8</v>
      </c>
      <c r="H3734" s="1007"/>
      <c r="I3734" s="1231"/>
      <c r="J3734" s="690"/>
    </row>
    <row r="3735" spans="1:10" s="79" customFormat="1" ht="18" customHeight="1">
      <c r="A3735" s="407"/>
      <c r="B3735" s="1008" t="s">
        <v>2259</v>
      </c>
      <c r="C3735" s="542">
        <v>1</v>
      </c>
      <c r="D3735" s="543">
        <v>6.25</v>
      </c>
      <c r="E3735" s="543">
        <v>4.8</v>
      </c>
      <c r="F3735" s="543"/>
      <c r="G3735" s="1006">
        <f t="shared" si="113"/>
        <v>30</v>
      </c>
      <c r="H3735" s="1007"/>
      <c r="I3735" s="1231"/>
      <c r="J3735" s="690"/>
    </row>
    <row r="3736" spans="1:10" s="79" customFormat="1" ht="18" customHeight="1">
      <c r="A3736" s="407"/>
      <c r="B3736" s="1008" t="s">
        <v>2257</v>
      </c>
      <c r="C3736" s="542">
        <v>-1</v>
      </c>
      <c r="D3736" s="543">
        <v>0.93899999999999995</v>
      </c>
      <c r="E3736" s="543"/>
      <c r="F3736" s="543"/>
      <c r="G3736" s="1006">
        <f t="shared" si="113"/>
        <v>-0.94</v>
      </c>
      <c r="H3736" s="1007"/>
      <c r="I3736" s="1231"/>
      <c r="J3736" s="690"/>
    </row>
    <row r="3737" spans="1:10" s="79" customFormat="1" ht="18" customHeight="1">
      <c r="A3737" s="407"/>
      <c r="B3737" s="1008" t="s">
        <v>2260</v>
      </c>
      <c r="C3737" s="542">
        <v>2</v>
      </c>
      <c r="D3737" s="543">
        <v>5.8230000000000004</v>
      </c>
      <c r="E3737" s="543">
        <v>2.9750000000000001</v>
      </c>
      <c r="F3737" s="543"/>
      <c r="G3737" s="1006">
        <f t="shared" si="113"/>
        <v>34.65</v>
      </c>
      <c r="H3737" s="1007"/>
      <c r="I3737" s="1231"/>
      <c r="J3737" s="690"/>
    </row>
    <row r="3738" spans="1:10" s="79" customFormat="1" ht="18" customHeight="1">
      <c r="A3738" s="407"/>
      <c r="B3738" s="1008" t="s">
        <v>2261</v>
      </c>
      <c r="C3738" s="542">
        <v>1</v>
      </c>
      <c r="D3738" s="543">
        <v>6.0720000000000001</v>
      </c>
      <c r="E3738" s="543">
        <v>6.2750000000000004</v>
      </c>
      <c r="F3738" s="543"/>
      <c r="G3738" s="1006">
        <f t="shared" si="113"/>
        <v>38.1</v>
      </c>
      <c r="H3738" s="1007"/>
      <c r="I3738" s="1231"/>
      <c r="J3738" s="690"/>
    </row>
    <row r="3739" spans="1:10" s="79" customFormat="1" ht="18" customHeight="1">
      <c r="A3739" s="407"/>
      <c r="B3739" s="1008" t="s">
        <v>2262</v>
      </c>
      <c r="C3739" s="542">
        <v>1</v>
      </c>
      <c r="D3739" s="543">
        <v>9.5</v>
      </c>
      <c r="E3739" s="543">
        <v>8.2490000000000006</v>
      </c>
      <c r="F3739" s="543"/>
      <c r="G3739" s="1006">
        <f t="shared" si="113"/>
        <v>78.37</v>
      </c>
      <c r="H3739" s="1007"/>
      <c r="I3739" s="1231"/>
      <c r="J3739" s="690"/>
    </row>
    <row r="3740" spans="1:10" s="79" customFormat="1" ht="18" customHeight="1">
      <c r="A3740" s="407"/>
      <c r="B3740" s="451"/>
      <c r="C3740" s="404"/>
      <c r="D3740" s="405"/>
      <c r="E3740" s="581"/>
      <c r="F3740" s="405"/>
      <c r="G3740" s="742"/>
      <c r="H3740" s="935"/>
      <c r="I3740" s="1231"/>
      <c r="J3740" s="690"/>
    </row>
    <row r="3741" spans="1:10" s="688" customFormat="1" ht="18" customHeight="1">
      <c r="A3741" s="965"/>
      <c r="B3741" s="874" t="s">
        <v>2188</v>
      </c>
      <c r="C3741" s="966"/>
      <c r="D3741" s="967"/>
      <c r="E3741" s="967"/>
      <c r="F3741" s="967"/>
      <c r="G3741" s="968">
        <f>SUM(G3690:G3740)</f>
        <v>3955.8600000000006</v>
      </c>
      <c r="H3741" s="976" t="s">
        <v>350</v>
      </c>
      <c r="I3741" s="1253" t="s">
        <v>588</v>
      </c>
    </row>
    <row r="3742" spans="1:10" s="79" customFormat="1" ht="18" customHeight="1">
      <c r="A3742" s="407"/>
      <c r="B3742" s="451"/>
      <c r="C3742" s="404"/>
      <c r="D3742" s="405"/>
      <c r="E3742" s="581"/>
      <c r="F3742" s="405"/>
      <c r="G3742" s="742"/>
      <c r="H3742" s="935"/>
      <c r="I3742" s="1231"/>
      <c r="J3742" s="690"/>
    </row>
    <row r="3743" spans="1:10" ht="18" customHeight="1">
      <c r="A3743" s="380" t="s">
        <v>1485</v>
      </c>
      <c r="B3743" s="387" t="s">
        <v>1486</v>
      </c>
      <c r="C3743" s="70"/>
      <c r="D3743" s="68"/>
      <c r="E3743" s="68"/>
      <c r="F3743" s="68"/>
      <c r="G3743" s="68"/>
      <c r="H3743" s="929"/>
    </row>
    <row r="3744" spans="1:10" ht="18" customHeight="1">
      <c r="A3744" s="407" t="s">
        <v>1442</v>
      </c>
      <c r="B3744" s="478" t="s">
        <v>1487</v>
      </c>
      <c r="C3744" s="70"/>
      <c r="D3744" s="68"/>
      <c r="E3744" s="68"/>
      <c r="F3744" s="68"/>
      <c r="G3744" s="68">
        <f t="shared" ref="G3744" si="114">+PRODUCT(C3744:F3744)</f>
        <v>0</v>
      </c>
      <c r="H3744" s="929"/>
    </row>
    <row r="3745" spans="1:9" s="553" customFormat="1" ht="18" customHeight="1">
      <c r="A3745" s="551"/>
      <c r="B3745" s="451" t="s">
        <v>1488</v>
      </c>
      <c r="C3745" s="404">
        <v>2</v>
      </c>
      <c r="D3745" s="405">
        <v>0.55000000000000004</v>
      </c>
      <c r="E3745" s="405">
        <v>0.55000000000000004</v>
      </c>
      <c r="F3745" s="552"/>
      <c r="G3745" s="742">
        <f t="shared" ref="G3745:G3748" si="115">IF(C3745&lt;&gt;0,ROUND(PRODUCT(D3745:F3745)*C3745,2),)</f>
        <v>0.61</v>
      </c>
      <c r="H3745" s="929" t="s">
        <v>1442</v>
      </c>
      <c r="I3745" s="1236"/>
    </row>
    <row r="3746" spans="1:9" s="553" customFormat="1" ht="18" customHeight="1">
      <c r="A3746" s="551"/>
      <c r="B3746" s="451" t="s">
        <v>1489</v>
      </c>
      <c r="C3746" s="404">
        <v>2</v>
      </c>
      <c r="D3746" s="405">
        <v>0.35</v>
      </c>
      <c r="E3746" s="405">
        <v>0.45</v>
      </c>
      <c r="F3746" s="552"/>
      <c r="G3746" s="742">
        <f t="shared" si="115"/>
        <v>0.32</v>
      </c>
      <c r="H3746" s="929" t="s">
        <v>1442</v>
      </c>
      <c r="I3746" s="1236"/>
    </row>
    <row r="3747" spans="1:9" s="553" customFormat="1" ht="18" customHeight="1">
      <c r="A3747" s="551"/>
      <c r="B3747" s="451" t="s">
        <v>1490</v>
      </c>
      <c r="C3747" s="404">
        <v>2</v>
      </c>
      <c r="D3747" s="405">
        <v>0.55000000000000004</v>
      </c>
      <c r="E3747" s="405">
        <v>0.55000000000000004</v>
      </c>
      <c r="F3747" s="552"/>
      <c r="G3747" s="742">
        <f t="shared" si="115"/>
        <v>0.61</v>
      </c>
      <c r="H3747" s="929" t="s">
        <v>1442</v>
      </c>
      <c r="I3747" s="1236"/>
    </row>
    <row r="3748" spans="1:9" s="553" customFormat="1" ht="18" customHeight="1">
      <c r="A3748" s="551"/>
      <c r="B3748" s="451" t="s">
        <v>1491</v>
      </c>
      <c r="C3748" s="404">
        <v>6</v>
      </c>
      <c r="D3748" s="405">
        <v>1.05</v>
      </c>
      <c r="E3748" s="405">
        <v>2.2000000000000002</v>
      </c>
      <c r="F3748" s="552"/>
      <c r="G3748" s="742">
        <f t="shared" si="115"/>
        <v>13.86</v>
      </c>
      <c r="H3748" s="929" t="s">
        <v>1442</v>
      </c>
      <c r="I3748" s="1236"/>
    </row>
    <row r="3749" spans="1:9" ht="18" customHeight="1">
      <c r="A3749" s="965"/>
      <c r="B3749" s="874" t="s">
        <v>2188</v>
      </c>
      <c r="C3749" s="966"/>
      <c r="D3749" s="967"/>
      <c r="E3749" s="967"/>
      <c r="F3749" s="967"/>
      <c r="G3749" s="968">
        <f>SUM(G3743:G3748)</f>
        <v>15.399999999999999</v>
      </c>
      <c r="H3749" s="976" t="s">
        <v>350</v>
      </c>
      <c r="I3749" s="1226" t="s">
        <v>1485</v>
      </c>
    </row>
    <row r="3750" spans="1:9" ht="18" customHeight="1">
      <c r="A3750" s="657"/>
      <c r="B3750" s="642"/>
      <c r="C3750" s="844"/>
      <c r="D3750" s="642"/>
      <c r="E3750" s="642"/>
      <c r="F3750" s="642"/>
      <c r="G3750" s="352"/>
      <c r="H3750" s="929"/>
    </row>
    <row r="3751" spans="1:9" s="357" customFormat="1" ht="18" customHeight="1">
      <c r="A3751" s="1372" t="s">
        <v>1152</v>
      </c>
      <c r="B3751" s="1373"/>
      <c r="C3751" s="1373"/>
      <c r="D3751" s="1373"/>
      <c r="E3751" s="1373"/>
      <c r="F3751" s="1373"/>
      <c r="G3751" s="1373"/>
      <c r="H3751" s="1374"/>
      <c r="I3751" s="1232"/>
    </row>
    <row r="3752" spans="1:9" s="357" customFormat="1" ht="18" customHeight="1">
      <c r="A3752" s="388" t="s">
        <v>2302</v>
      </c>
      <c r="B3752" s="389" t="s">
        <v>1304</v>
      </c>
      <c r="C3752" s="383"/>
      <c r="D3752" s="386"/>
      <c r="E3752" s="386"/>
      <c r="F3752" s="386"/>
      <c r="G3752" s="386"/>
      <c r="H3752" s="936"/>
      <c r="I3752" s="1232"/>
    </row>
    <row r="3753" spans="1:9" s="357" customFormat="1" ht="18" customHeight="1">
      <c r="A3753" s="381" t="s">
        <v>1282</v>
      </c>
      <c r="B3753" s="382" t="s">
        <v>1492</v>
      </c>
      <c r="C3753" s="383"/>
      <c r="D3753" s="384"/>
      <c r="E3753" s="384"/>
      <c r="F3753" s="384"/>
      <c r="G3753" s="384"/>
      <c r="H3753" s="936"/>
      <c r="I3753" s="1232"/>
    </row>
    <row r="3754" spans="1:9" s="357" customFormat="1" ht="18" customHeight="1">
      <c r="A3754" s="381"/>
      <c r="B3754" s="390" t="s">
        <v>1228</v>
      </c>
      <c r="C3754" s="383">
        <v>1</v>
      </c>
      <c r="D3754" s="384">
        <f>3.2+0.7+4.9+0.7+3.2+0.2+0.2-0.4-0.4-0.4-0.4</f>
        <v>11.499999999999996</v>
      </c>
      <c r="E3754" s="384">
        <v>0.23</v>
      </c>
      <c r="F3754" s="384">
        <v>0.375</v>
      </c>
      <c r="G3754" s="742">
        <f t="shared" ref="G3754:G3817" si="116">IF(C3754&lt;&gt;0,ROUND(PRODUCT(D3754:F3754)*C3754,2),)</f>
        <v>0.99</v>
      </c>
      <c r="H3754" s="936" t="s">
        <v>1282</v>
      </c>
      <c r="I3754" s="1232"/>
    </row>
    <row r="3755" spans="1:9" s="391" customFormat="1" ht="18" customHeight="1">
      <c r="A3755" s="401"/>
      <c r="B3755" s="431" t="s">
        <v>1229</v>
      </c>
      <c r="C3755" s="392">
        <v>2</v>
      </c>
      <c r="D3755" s="393">
        <f>2.298+3.6+1+2.25+1.575+0.275+0.275-0.55-0.55-0.55</f>
        <v>9.6229999999999976</v>
      </c>
      <c r="E3755" s="384">
        <v>0.23</v>
      </c>
      <c r="F3755" s="384">
        <v>0.375</v>
      </c>
      <c r="G3755" s="742">
        <f t="shared" si="116"/>
        <v>1.66</v>
      </c>
      <c r="H3755" s="936" t="s">
        <v>1282</v>
      </c>
      <c r="I3755" s="1254"/>
    </row>
    <row r="3756" spans="1:9" s="357" customFormat="1" ht="18" customHeight="1">
      <c r="A3756" s="381"/>
      <c r="B3756" s="390" t="s">
        <v>1230</v>
      </c>
      <c r="C3756" s="383">
        <v>1</v>
      </c>
      <c r="D3756" s="384">
        <v>35.095999999999997</v>
      </c>
      <c r="E3756" s="384">
        <v>0.23</v>
      </c>
      <c r="F3756" s="384">
        <v>0.375</v>
      </c>
      <c r="G3756" s="742">
        <f t="shared" si="116"/>
        <v>3.03</v>
      </c>
      <c r="H3756" s="936" t="s">
        <v>1282</v>
      </c>
      <c r="I3756" s="1232"/>
    </row>
    <row r="3757" spans="1:9" s="391" customFormat="1" ht="18" customHeight="1">
      <c r="A3757" s="401"/>
      <c r="B3757" s="431" t="s">
        <v>1231</v>
      </c>
      <c r="C3757" s="392">
        <v>2</v>
      </c>
      <c r="D3757" s="393">
        <v>10.457000000000001</v>
      </c>
      <c r="E3757" s="384">
        <v>0.23</v>
      </c>
      <c r="F3757" s="384">
        <v>0.375</v>
      </c>
      <c r="G3757" s="742">
        <f t="shared" si="116"/>
        <v>1.8</v>
      </c>
      <c r="H3757" s="936" t="s">
        <v>1282</v>
      </c>
      <c r="I3757" s="1254"/>
    </row>
    <row r="3758" spans="1:9" s="391" customFormat="1" ht="18" customHeight="1">
      <c r="A3758" s="401"/>
      <c r="B3758" s="431" t="s">
        <v>1232</v>
      </c>
      <c r="C3758" s="392">
        <v>1</v>
      </c>
      <c r="D3758" s="393">
        <v>54.281999999999996</v>
      </c>
      <c r="E3758" s="384">
        <v>0.23</v>
      </c>
      <c r="F3758" s="384">
        <v>0.375</v>
      </c>
      <c r="G3758" s="742">
        <f t="shared" si="116"/>
        <v>4.68</v>
      </c>
      <c r="H3758" s="936" t="s">
        <v>1282</v>
      </c>
      <c r="I3758" s="1254"/>
    </row>
    <row r="3759" spans="1:9" s="391" customFormat="1" ht="18" customHeight="1">
      <c r="A3759" s="401"/>
      <c r="B3759" s="431" t="s">
        <v>1233</v>
      </c>
      <c r="C3759" s="392">
        <v>2</v>
      </c>
      <c r="D3759" s="393">
        <f>2.298+3.6+1+0.2+0.275-0.55-0.4</f>
        <v>6.423</v>
      </c>
      <c r="E3759" s="384">
        <v>0.23</v>
      </c>
      <c r="F3759" s="384">
        <v>0.375</v>
      </c>
      <c r="G3759" s="742">
        <f t="shared" si="116"/>
        <v>1.1100000000000001</v>
      </c>
      <c r="H3759" s="936" t="s">
        <v>1282</v>
      </c>
      <c r="I3759" s="1254"/>
    </row>
    <row r="3760" spans="1:9" s="391" customFormat="1" ht="18" customHeight="1">
      <c r="A3760" s="401"/>
      <c r="B3760" s="431" t="s">
        <v>1234</v>
      </c>
      <c r="C3760" s="392">
        <v>2</v>
      </c>
      <c r="D3760" s="393">
        <f>2.25+1.575-0.55</f>
        <v>3.2750000000000004</v>
      </c>
      <c r="E3760" s="384">
        <v>0.23</v>
      </c>
      <c r="F3760" s="384">
        <v>0.375</v>
      </c>
      <c r="G3760" s="742">
        <f t="shared" si="116"/>
        <v>0.56000000000000005</v>
      </c>
      <c r="H3760" s="936" t="s">
        <v>1282</v>
      </c>
      <c r="I3760" s="1254"/>
    </row>
    <row r="3761" spans="1:9" s="391" customFormat="1" ht="18" customHeight="1">
      <c r="A3761" s="401"/>
      <c r="B3761" s="431" t="s">
        <v>1235</v>
      </c>
      <c r="C3761" s="392">
        <v>1</v>
      </c>
      <c r="D3761" s="384">
        <v>34.75</v>
      </c>
      <c r="E3761" s="384">
        <v>0.23</v>
      </c>
      <c r="F3761" s="384">
        <v>0.375</v>
      </c>
      <c r="G3761" s="742">
        <f t="shared" si="116"/>
        <v>3</v>
      </c>
      <c r="H3761" s="936" t="s">
        <v>1282</v>
      </c>
      <c r="I3761" s="1254"/>
    </row>
    <row r="3762" spans="1:9" s="391" customFormat="1" ht="18" customHeight="1">
      <c r="A3762" s="401"/>
      <c r="B3762" s="431" t="s">
        <v>1236</v>
      </c>
      <c r="C3762" s="392">
        <v>2</v>
      </c>
      <c r="D3762" s="393">
        <v>4.37</v>
      </c>
      <c r="E3762" s="384">
        <v>0.23</v>
      </c>
      <c r="F3762" s="384">
        <v>0.375</v>
      </c>
      <c r="G3762" s="742">
        <f t="shared" si="116"/>
        <v>0.75</v>
      </c>
      <c r="H3762" s="936" t="s">
        <v>1282</v>
      </c>
      <c r="I3762" s="1254"/>
    </row>
    <row r="3763" spans="1:9" s="391" customFormat="1" ht="18" customHeight="1">
      <c r="A3763" s="401"/>
      <c r="B3763" s="431" t="s">
        <v>1237</v>
      </c>
      <c r="C3763" s="392">
        <v>2</v>
      </c>
      <c r="D3763" s="393">
        <f>2.298+3.6+1-0.275-0.2</f>
        <v>6.4229999999999992</v>
      </c>
      <c r="E3763" s="384">
        <v>0.23</v>
      </c>
      <c r="F3763" s="384">
        <v>0.375</v>
      </c>
      <c r="G3763" s="742">
        <f t="shared" si="116"/>
        <v>1.1100000000000001</v>
      </c>
      <c r="H3763" s="936" t="s">
        <v>1282</v>
      </c>
      <c r="I3763" s="1254"/>
    </row>
    <row r="3764" spans="1:9" s="391" customFormat="1" ht="18" customHeight="1">
      <c r="A3764" s="401"/>
      <c r="B3764" s="431" t="s">
        <v>1238</v>
      </c>
      <c r="C3764" s="392">
        <v>2</v>
      </c>
      <c r="D3764" s="393">
        <v>6.0720000000000001</v>
      </c>
      <c r="E3764" s="384">
        <v>0.23</v>
      </c>
      <c r="F3764" s="384">
        <v>0.375</v>
      </c>
      <c r="G3764" s="742">
        <f t="shared" si="116"/>
        <v>1.05</v>
      </c>
      <c r="H3764" s="936" t="s">
        <v>1282</v>
      </c>
      <c r="I3764" s="1254"/>
    </row>
    <row r="3765" spans="1:9" s="391" customFormat="1" ht="18" customHeight="1">
      <c r="A3765" s="401"/>
      <c r="B3765" s="390" t="s">
        <v>1239</v>
      </c>
      <c r="C3765" s="383">
        <v>1</v>
      </c>
      <c r="D3765" s="384">
        <v>29.4</v>
      </c>
      <c r="E3765" s="384">
        <v>0.23</v>
      </c>
      <c r="F3765" s="384">
        <v>0.375</v>
      </c>
      <c r="G3765" s="742">
        <f t="shared" si="116"/>
        <v>2.54</v>
      </c>
      <c r="H3765" s="936" t="s">
        <v>1282</v>
      </c>
      <c r="I3765" s="1254"/>
    </row>
    <row r="3766" spans="1:9" s="391" customFormat="1" ht="18" customHeight="1">
      <c r="A3766" s="401"/>
      <c r="B3766" s="431" t="s">
        <v>1240</v>
      </c>
      <c r="C3766" s="392">
        <v>2</v>
      </c>
      <c r="D3766" s="393">
        <v>9.8000000000000007</v>
      </c>
      <c r="E3766" s="384">
        <v>0.23</v>
      </c>
      <c r="F3766" s="384">
        <v>0.375</v>
      </c>
      <c r="G3766" s="742">
        <f t="shared" si="116"/>
        <v>1.69</v>
      </c>
      <c r="H3766" s="936" t="s">
        <v>1282</v>
      </c>
      <c r="I3766" s="1254"/>
    </row>
    <row r="3767" spans="1:9" s="391" customFormat="1" ht="18" customHeight="1">
      <c r="A3767" s="401"/>
      <c r="B3767" s="390" t="s">
        <v>1241</v>
      </c>
      <c r="C3767" s="383">
        <v>1</v>
      </c>
      <c r="D3767" s="384">
        <f>4.9-0.4</f>
        <v>4.5</v>
      </c>
      <c r="E3767" s="384">
        <v>0.23</v>
      </c>
      <c r="F3767" s="384">
        <v>0.375</v>
      </c>
      <c r="G3767" s="742">
        <f t="shared" si="116"/>
        <v>0.39</v>
      </c>
      <c r="H3767" s="936" t="s">
        <v>1282</v>
      </c>
      <c r="I3767" s="1254"/>
    </row>
    <row r="3768" spans="1:9" s="391" customFormat="1" ht="18" customHeight="1">
      <c r="A3768" s="401"/>
      <c r="B3768" s="431" t="s">
        <v>1242</v>
      </c>
      <c r="C3768" s="392">
        <v>4</v>
      </c>
      <c r="D3768" s="393">
        <v>9.8000000000000007</v>
      </c>
      <c r="E3768" s="384">
        <v>0.23</v>
      </c>
      <c r="F3768" s="384">
        <v>0.375</v>
      </c>
      <c r="G3768" s="742">
        <f t="shared" si="116"/>
        <v>3.38</v>
      </c>
      <c r="H3768" s="936" t="s">
        <v>1282</v>
      </c>
      <c r="I3768" s="1254"/>
    </row>
    <row r="3769" spans="1:9" s="391" customFormat="1" ht="18" customHeight="1">
      <c r="A3769" s="401"/>
      <c r="B3769" s="480" t="s">
        <v>1243</v>
      </c>
      <c r="C3769" s="392">
        <v>2</v>
      </c>
      <c r="D3769" s="393">
        <f>1.575+3.025+0.175-0.4</f>
        <v>4.3749999999999991</v>
      </c>
      <c r="E3769" s="384">
        <v>0.23</v>
      </c>
      <c r="F3769" s="384">
        <v>0.375</v>
      </c>
      <c r="G3769" s="742">
        <f t="shared" si="116"/>
        <v>0.75</v>
      </c>
      <c r="H3769" s="936" t="s">
        <v>1282</v>
      </c>
      <c r="I3769" s="1254"/>
    </row>
    <row r="3770" spans="1:9" s="391" customFormat="1" ht="18" customHeight="1">
      <c r="A3770" s="401"/>
      <c r="B3770" s="431" t="s">
        <v>1244</v>
      </c>
      <c r="C3770" s="392">
        <v>1</v>
      </c>
      <c r="D3770" s="393">
        <v>12.2</v>
      </c>
      <c r="E3770" s="384">
        <v>0.23</v>
      </c>
      <c r="F3770" s="384">
        <v>0.375</v>
      </c>
      <c r="G3770" s="742">
        <f t="shared" si="116"/>
        <v>1.05</v>
      </c>
      <c r="H3770" s="936" t="s">
        <v>1282</v>
      </c>
      <c r="I3770" s="1254"/>
    </row>
    <row r="3771" spans="1:9" s="391" customFormat="1" ht="18" customHeight="1">
      <c r="A3771" s="401"/>
      <c r="B3771" s="431" t="s">
        <v>1245</v>
      </c>
      <c r="C3771" s="392">
        <v>1</v>
      </c>
      <c r="D3771" s="393">
        <f>4.9+0.7+0.7-0.4</f>
        <v>5.9</v>
      </c>
      <c r="E3771" s="384">
        <v>0.23</v>
      </c>
      <c r="F3771" s="384">
        <v>0.375</v>
      </c>
      <c r="G3771" s="742">
        <f t="shared" si="116"/>
        <v>0.51</v>
      </c>
      <c r="H3771" s="936" t="s">
        <v>1282</v>
      </c>
      <c r="I3771" s="1254"/>
    </row>
    <row r="3772" spans="1:9" s="391" customFormat="1" ht="18" customHeight="1">
      <c r="A3772" s="401"/>
      <c r="B3772" s="431" t="s">
        <v>1246</v>
      </c>
      <c r="C3772" s="392">
        <v>1</v>
      </c>
      <c r="D3772" s="393">
        <v>12.2</v>
      </c>
      <c r="E3772" s="384">
        <v>0.23</v>
      </c>
      <c r="F3772" s="384">
        <v>0.375</v>
      </c>
      <c r="G3772" s="742">
        <f t="shared" si="116"/>
        <v>1.05</v>
      </c>
      <c r="H3772" s="936" t="s">
        <v>1282</v>
      </c>
      <c r="I3772" s="1254"/>
    </row>
    <row r="3773" spans="1:9" s="391" customFormat="1" ht="18" customHeight="1">
      <c r="A3773" s="401"/>
      <c r="B3773" s="390" t="s">
        <v>1247</v>
      </c>
      <c r="C3773" s="383">
        <v>2</v>
      </c>
      <c r="D3773" s="384">
        <f>3.6+1-0.55</f>
        <v>4.05</v>
      </c>
      <c r="E3773" s="384">
        <v>0.23</v>
      </c>
      <c r="F3773" s="384">
        <v>0.375</v>
      </c>
      <c r="G3773" s="742">
        <f t="shared" si="116"/>
        <v>0.7</v>
      </c>
      <c r="H3773" s="936" t="s">
        <v>1282</v>
      </c>
      <c r="I3773" s="1254"/>
    </row>
    <row r="3774" spans="1:9" s="391" customFormat="1" ht="18" customHeight="1">
      <c r="A3774" s="401"/>
      <c r="B3774" s="390" t="s">
        <v>1248</v>
      </c>
      <c r="C3774" s="383">
        <v>1</v>
      </c>
      <c r="D3774" s="384">
        <v>6.2329999999999997</v>
      </c>
      <c r="E3774" s="384">
        <v>0.23</v>
      </c>
      <c r="F3774" s="384">
        <v>0.375</v>
      </c>
      <c r="G3774" s="742">
        <f t="shared" si="116"/>
        <v>0.54</v>
      </c>
      <c r="H3774" s="936" t="s">
        <v>1282</v>
      </c>
      <c r="I3774" s="1254"/>
    </row>
    <row r="3775" spans="1:9" s="391" customFormat="1" ht="18" customHeight="1">
      <c r="A3775" s="401"/>
      <c r="B3775" s="390" t="s">
        <v>1249</v>
      </c>
      <c r="C3775" s="383">
        <v>1</v>
      </c>
      <c r="D3775" s="384">
        <f>(1.575+3.025+0.175+6.45+3.25+3.2+0.7+4.9+0.7+3.2+3.25+6.45+0.175+3.025+1.575-0.2-0.2-6*0.4)</f>
        <v>38.849999999999994</v>
      </c>
      <c r="E3775" s="384">
        <v>0.23</v>
      </c>
      <c r="F3775" s="384">
        <v>0.375</v>
      </c>
      <c r="G3775" s="742">
        <f t="shared" si="116"/>
        <v>3.35</v>
      </c>
      <c r="H3775" s="936" t="s">
        <v>1282</v>
      </c>
      <c r="I3775" s="1254"/>
    </row>
    <row r="3776" spans="1:9" s="391" customFormat="1" ht="18" customHeight="1">
      <c r="A3776" s="401"/>
      <c r="B3776" s="390" t="s">
        <v>1250</v>
      </c>
      <c r="C3776" s="383">
        <v>1</v>
      </c>
      <c r="D3776" s="384">
        <v>2.9849999999999999</v>
      </c>
      <c r="E3776" s="384">
        <v>0.23</v>
      </c>
      <c r="F3776" s="384">
        <v>0.375</v>
      </c>
      <c r="G3776" s="742">
        <f t="shared" si="116"/>
        <v>0.26</v>
      </c>
      <c r="H3776" s="936" t="s">
        <v>1282</v>
      </c>
      <c r="I3776" s="1254"/>
    </row>
    <row r="3777" spans="1:9" s="391" customFormat="1" ht="18" customHeight="1">
      <c r="A3777" s="401"/>
      <c r="B3777" s="390" t="s">
        <v>1251</v>
      </c>
      <c r="C3777" s="383">
        <v>1</v>
      </c>
      <c r="D3777" s="384">
        <v>0.47</v>
      </c>
      <c r="E3777" s="384">
        <v>0.23</v>
      </c>
      <c r="F3777" s="384">
        <v>0.375</v>
      </c>
      <c r="G3777" s="742">
        <f t="shared" si="116"/>
        <v>0.04</v>
      </c>
      <c r="H3777" s="936" t="s">
        <v>1282</v>
      </c>
      <c r="I3777" s="1254"/>
    </row>
    <row r="3778" spans="1:9" s="391" customFormat="1" ht="18" customHeight="1">
      <c r="A3778" s="401"/>
      <c r="B3778" s="390" t="s">
        <v>1252</v>
      </c>
      <c r="C3778" s="383">
        <v>1</v>
      </c>
      <c r="D3778" s="384">
        <v>1.67</v>
      </c>
      <c r="E3778" s="384">
        <v>0.23</v>
      </c>
      <c r="F3778" s="384">
        <v>0.375</v>
      </c>
      <c r="G3778" s="742">
        <f t="shared" si="116"/>
        <v>0.14000000000000001</v>
      </c>
      <c r="H3778" s="936" t="s">
        <v>1282</v>
      </c>
      <c r="I3778" s="1254"/>
    </row>
    <row r="3779" spans="1:9" s="391" customFormat="1" ht="18" customHeight="1">
      <c r="A3779" s="401"/>
      <c r="B3779" s="390" t="s">
        <v>1253</v>
      </c>
      <c r="C3779" s="383">
        <v>1</v>
      </c>
      <c r="D3779" s="384">
        <f>2.25+1.575+3.025+0.175+6.45+3.25+3.2+0.7+4.9+0.7+3.2+3.25+6.45+0.175+3.025+1.575+2.25-0.275-0.275-2*0.55-6*0.4</f>
        <v>42.1</v>
      </c>
      <c r="E3779" s="384">
        <v>0.23</v>
      </c>
      <c r="F3779" s="384">
        <v>0.375</v>
      </c>
      <c r="G3779" s="742">
        <f t="shared" si="116"/>
        <v>3.63</v>
      </c>
      <c r="H3779" s="936" t="s">
        <v>1282</v>
      </c>
      <c r="I3779" s="1254"/>
    </row>
    <row r="3780" spans="1:9" s="391" customFormat="1" ht="18" customHeight="1">
      <c r="A3780" s="401"/>
      <c r="B3780" s="390" t="s">
        <v>1254</v>
      </c>
      <c r="C3780" s="392">
        <v>1</v>
      </c>
      <c r="D3780" s="384">
        <f>3.025+0.175+6.45+3.25+3.2+0.7+4.9+0.7+3.2+3.25+6.45+0.175+3.025+0.2+0.2-8*0.4</f>
        <v>35.700000000000003</v>
      </c>
      <c r="E3780" s="384">
        <v>0.23</v>
      </c>
      <c r="F3780" s="384">
        <v>0.375</v>
      </c>
      <c r="G3780" s="742">
        <f t="shared" si="116"/>
        <v>3.08</v>
      </c>
      <c r="H3780" s="936" t="s">
        <v>1282</v>
      </c>
      <c r="I3780" s="1254"/>
    </row>
    <row r="3781" spans="1:9" s="391" customFormat="1" ht="18" customHeight="1">
      <c r="A3781" s="401"/>
      <c r="B3781" s="390" t="s">
        <v>1255</v>
      </c>
      <c r="C3781" s="383">
        <v>1</v>
      </c>
      <c r="D3781" s="384">
        <f>0.7+4.9+0.7-0.4</f>
        <v>5.9</v>
      </c>
      <c r="E3781" s="384">
        <v>0.23</v>
      </c>
      <c r="F3781" s="384">
        <v>0.375</v>
      </c>
      <c r="G3781" s="742">
        <f t="shared" si="116"/>
        <v>0.51</v>
      </c>
      <c r="H3781" s="936" t="s">
        <v>1282</v>
      </c>
      <c r="I3781" s="1254"/>
    </row>
    <row r="3782" spans="1:9" s="391" customFormat="1" ht="18" customHeight="1">
      <c r="A3782" s="401"/>
      <c r="B3782" s="390" t="s">
        <v>1256</v>
      </c>
      <c r="C3782" s="383">
        <v>1</v>
      </c>
      <c r="D3782" s="384">
        <f>0.7+4.9+0.7-0.4</f>
        <v>5.9</v>
      </c>
      <c r="E3782" s="384">
        <v>0.23</v>
      </c>
      <c r="F3782" s="384">
        <v>0.375</v>
      </c>
      <c r="G3782" s="742">
        <f t="shared" si="116"/>
        <v>0.51</v>
      </c>
      <c r="H3782" s="936" t="s">
        <v>1282</v>
      </c>
      <c r="I3782" s="1254"/>
    </row>
    <row r="3783" spans="1:9" s="391" customFormat="1" ht="18" customHeight="1">
      <c r="A3783" s="401"/>
      <c r="B3783" s="481" t="s">
        <v>1257</v>
      </c>
      <c r="C3783" s="392">
        <v>2</v>
      </c>
      <c r="D3783" s="393">
        <v>10.913</v>
      </c>
      <c r="E3783" s="384">
        <v>0.23</v>
      </c>
      <c r="F3783" s="384">
        <v>0.375</v>
      </c>
      <c r="G3783" s="742">
        <f t="shared" si="116"/>
        <v>1.88</v>
      </c>
      <c r="H3783" s="936" t="s">
        <v>1282</v>
      </c>
      <c r="I3783" s="1254"/>
    </row>
    <row r="3784" spans="1:9" s="391" customFormat="1" ht="18" customHeight="1">
      <c r="A3784" s="401"/>
      <c r="B3784" s="431" t="s">
        <v>1258</v>
      </c>
      <c r="C3784" s="392">
        <v>2</v>
      </c>
      <c r="D3784" s="393">
        <f>3.075+1.6+1.775+6.4+4.925+1.475+1.825+1.425-0.1-0.2-0.4-0.4-0.4</f>
        <v>21.000000000000007</v>
      </c>
      <c r="E3784" s="384">
        <v>0.23</v>
      </c>
      <c r="F3784" s="384">
        <v>0.375</v>
      </c>
      <c r="G3784" s="742">
        <f t="shared" si="116"/>
        <v>3.62</v>
      </c>
      <c r="H3784" s="936" t="s">
        <v>1282</v>
      </c>
      <c r="I3784" s="1254"/>
    </row>
    <row r="3785" spans="1:9" s="391" customFormat="1" ht="18" customHeight="1">
      <c r="A3785" s="401"/>
      <c r="B3785" s="431" t="s">
        <v>1259</v>
      </c>
      <c r="C3785" s="392">
        <v>2</v>
      </c>
      <c r="D3785" s="393">
        <f>2.725+2.462-0.115-0.13</f>
        <v>4.9420000000000002</v>
      </c>
      <c r="E3785" s="384">
        <v>0.23</v>
      </c>
      <c r="F3785" s="384">
        <v>0.375</v>
      </c>
      <c r="G3785" s="742">
        <f t="shared" si="116"/>
        <v>0.85</v>
      </c>
      <c r="H3785" s="936" t="s">
        <v>1282</v>
      </c>
      <c r="I3785" s="1254"/>
    </row>
    <row r="3786" spans="1:9" s="391" customFormat="1" ht="18" customHeight="1">
      <c r="A3786" s="401"/>
      <c r="B3786" s="482" t="s">
        <v>2287</v>
      </c>
      <c r="C3786" s="392">
        <v>2</v>
      </c>
      <c r="D3786" s="393">
        <f>2.25+1.875+2.725+2.462+0.2-0.115-0.4-0.4-0.23</f>
        <v>8.3669999999999973</v>
      </c>
      <c r="E3786" s="384">
        <v>0.23</v>
      </c>
      <c r="F3786" s="384">
        <v>0.375</v>
      </c>
      <c r="G3786" s="742">
        <f t="shared" si="116"/>
        <v>1.44</v>
      </c>
      <c r="H3786" s="936" t="s">
        <v>1282</v>
      </c>
      <c r="I3786" s="1254"/>
    </row>
    <row r="3787" spans="1:9" s="391" customFormat="1" ht="18" customHeight="1">
      <c r="A3787" s="401"/>
      <c r="B3787" s="390" t="s">
        <v>2288</v>
      </c>
      <c r="C3787" s="383">
        <v>2</v>
      </c>
      <c r="D3787" s="384">
        <v>2.93</v>
      </c>
      <c r="E3787" s="384">
        <v>0.23</v>
      </c>
      <c r="F3787" s="384">
        <v>0.375</v>
      </c>
      <c r="G3787" s="742">
        <f t="shared" si="116"/>
        <v>0.51</v>
      </c>
      <c r="H3787" s="936" t="s">
        <v>1282</v>
      </c>
      <c r="I3787" s="1254"/>
    </row>
    <row r="3788" spans="1:9" s="391" customFormat="1" ht="18" customHeight="1">
      <c r="A3788" s="401"/>
      <c r="B3788" s="390" t="s">
        <v>2289</v>
      </c>
      <c r="C3788" s="383">
        <v>2</v>
      </c>
      <c r="D3788" s="384">
        <v>3.22</v>
      </c>
      <c r="E3788" s="384">
        <v>0.23</v>
      </c>
      <c r="F3788" s="384">
        <v>0.375</v>
      </c>
      <c r="G3788" s="742">
        <f t="shared" si="116"/>
        <v>0.56000000000000005</v>
      </c>
      <c r="H3788" s="936" t="s">
        <v>1282</v>
      </c>
      <c r="I3788" s="1254"/>
    </row>
    <row r="3789" spans="1:9" s="391" customFormat="1" ht="18" customHeight="1">
      <c r="A3789" s="401"/>
      <c r="B3789" s="390" t="s">
        <v>1263</v>
      </c>
      <c r="C3789" s="383">
        <v>2</v>
      </c>
      <c r="D3789" s="384">
        <f>2.25+1.525-0.4</f>
        <v>3.375</v>
      </c>
      <c r="E3789" s="384">
        <v>0.23</v>
      </c>
      <c r="F3789" s="384">
        <v>0.375</v>
      </c>
      <c r="G3789" s="742">
        <f t="shared" si="116"/>
        <v>0.57999999999999996</v>
      </c>
      <c r="H3789" s="936" t="s">
        <v>1282</v>
      </c>
      <c r="I3789" s="1254"/>
    </row>
    <row r="3790" spans="1:9" s="391" customFormat="1" ht="18" customHeight="1">
      <c r="A3790" s="401"/>
      <c r="B3790" s="390" t="s">
        <v>1264</v>
      </c>
      <c r="C3790" s="383">
        <v>2</v>
      </c>
      <c r="D3790" s="483">
        <v>21.5</v>
      </c>
      <c r="E3790" s="384">
        <v>0.23</v>
      </c>
      <c r="F3790" s="384">
        <v>0.375</v>
      </c>
      <c r="G3790" s="742">
        <f t="shared" si="116"/>
        <v>3.71</v>
      </c>
      <c r="H3790" s="936" t="s">
        <v>1282</v>
      </c>
      <c r="I3790" s="1254"/>
    </row>
    <row r="3791" spans="1:9" s="391" customFormat="1" ht="18" customHeight="1">
      <c r="A3791" s="401"/>
      <c r="B3791" s="390" t="s">
        <v>1265</v>
      </c>
      <c r="C3791" s="383">
        <v>2</v>
      </c>
      <c r="D3791" s="384">
        <f>2.25+1.525+3.075+1.6+1.775-0.2-0.55-0.55-0.13</f>
        <v>8.7949999999999982</v>
      </c>
      <c r="E3791" s="384">
        <v>0.23</v>
      </c>
      <c r="F3791" s="384">
        <v>0.375</v>
      </c>
      <c r="G3791" s="742">
        <f t="shared" si="116"/>
        <v>1.52</v>
      </c>
      <c r="H3791" s="936" t="s">
        <v>1282</v>
      </c>
      <c r="I3791" s="1254"/>
    </row>
    <row r="3792" spans="1:9" s="391" customFormat="1" ht="18" customHeight="1">
      <c r="A3792" s="401"/>
      <c r="B3792" s="390" t="s">
        <v>1266</v>
      </c>
      <c r="C3792" s="383">
        <v>2</v>
      </c>
      <c r="D3792" s="384">
        <f>6.4+4.925+1.475-0.2-0.2-0.4</f>
        <v>12</v>
      </c>
      <c r="E3792" s="384">
        <v>0.23</v>
      </c>
      <c r="F3792" s="384">
        <v>0.375</v>
      </c>
      <c r="G3792" s="742">
        <f t="shared" si="116"/>
        <v>2.0699999999999998</v>
      </c>
      <c r="H3792" s="936" t="s">
        <v>1282</v>
      </c>
      <c r="I3792" s="1254"/>
    </row>
    <row r="3793" spans="1:9" s="391" customFormat="1" ht="18" customHeight="1">
      <c r="A3793" s="401"/>
      <c r="B3793" s="390" t="s">
        <v>1267</v>
      </c>
      <c r="C3793" s="383">
        <v>2</v>
      </c>
      <c r="D3793" s="384">
        <v>2.94</v>
      </c>
      <c r="E3793" s="384">
        <v>0.23</v>
      </c>
      <c r="F3793" s="384">
        <v>0.375</v>
      </c>
      <c r="G3793" s="742">
        <f t="shared" si="116"/>
        <v>0.51</v>
      </c>
      <c r="H3793" s="936" t="s">
        <v>1282</v>
      </c>
      <c r="I3793" s="1254"/>
    </row>
    <row r="3794" spans="1:9" s="391" customFormat="1" ht="18" customHeight="1">
      <c r="A3794" s="401"/>
      <c r="B3794" s="390" t="s">
        <v>2290</v>
      </c>
      <c r="C3794" s="383">
        <v>2</v>
      </c>
      <c r="D3794" s="384">
        <f>4.6-0.275-0.2</f>
        <v>4.1249999999999991</v>
      </c>
      <c r="E3794" s="384">
        <v>0.23</v>
      </c>
      <c r="F3794" s="384">
        <v>0.375</v>
      </c>
      <c r="G3794" s="742">
        <f t="shared" si="116"/>
        <v>0.71</v>
      </c>
      <c r="H3794" s="936" t="s">
        <v>1282</v>
      </c>
      <c r="I3794" s="1254"/>
    </row>
    <row r="3795" spans="1:9" s="391" customFormat="1" ht="18" customHeight="1">
      <c r="A3795" s="401"/>
      <c r="B3795" s="390" t="s">
        <v>2291</v>
      </c>
      <c r="C3795" s="383">
        <v>2</v>
      </c>
      <c r="D3795" s="384">
        <v>5.71</v>
      </c>
      <c r="E3795" s="384">
        <v>0.23</v>
      </c>
      <c r="F3795" s="384">
        <v>0.375</v>
      </c>
      <c r="G3795" s="742">
        <f t="shared" si="116"/>
        <v>0.98</v>
      </c>
      <c r="H3795" s="936" t="s">
        <v>1282</v>
      </c>
      <c r="I3795" s="1254"/>
    </row>
    <row r="3796" spans="1:9" s="391" customFormat="1" ht="18" customHeight="1">
      <c r="A3796" s="401"/>
      <c r="B3796" s="390" t="s">
        <v>1270</v>
      </c>
      <c r="C3796" s="383">
        <v>2</v>
      </c>
      <c r="D3796" s="384">
        <f>2.25-0.4</f>
        <v>1.85</v>
      </c>
      <c r="E3796" s="384">
        <v>0.23</v>
      </c>
      <c r="F3796" s="384">
        <v>0.375</v>
      </c>
      <c r="G3796" s="742">
        <f t="shared" si="116"/>
        <v>0.32</v>
      </c>
      <c r="H3796" s="936" t="s">
        <v>1282</v>
      </c>
      <c r="I3796" s="1254"/>
    </row>
    <row r="3797" spans="1:9" s="391" customFormat="1" ht="18" customHeight="1">
      <c r="A3797" s="401"/>
      <c r="B3797" s="390" t="s">
        <v>2292</v>
      </c>
      <c r="C3797" s="383">
        <v>2</v>
      </c>
      <c r="D3797" s="384">
        <v>6.6619999999999999</v>
      </c>
      <c r="E3797" s="384">
        <v>0.23</v>
      </c>
      <c r="F3797" s="384">
        <v>0.375</v>
      </c>
      <c r="G3797" s="742">
        <f t="shared" si="116"/>
        <v>1.1499999999999999</v>
      </c>
      <c r="H3797" s="936" t="s">
        <v>1282</v>
      </c>
      <c r="I3797" s="1254"/>
    </row>
    <row r="3798" spans="1:9" s="391" customFormat="1" ht="18" customHeight="1">
      <c r="A3798" s="401"/>
      <c r="B3798" s="413" t="s">
        <v>2293</v>
      </c>
      <c r="C3798" s="383">
        <v>2</v>
      </c>
      <c r="D3798" s="384">
        <v>35.844999999999999</v>
      </c>
      <c r="E3798" s="384">
        <v>0.23</v>
      </c>
      <c r="F3798" s="384">
        <v>0.375</v>
      </c>
      <c r="G3798" s="742">
        <f t="shared" si="116"/>
        <v>6.18</v>
      </c>
      <c r="H3798" s="936" t="s">
        <v>1282</v>
      </c>
      <c r="I3798" s="1254"/>
    </row>
    <row r="3799" spans="1:9" s="391" customFormat="1" ht="18" customHeight="1">
      <c r="A3799" s="401"/>
      <c r="B3799" s="359" t="s">
        <v>2294</v>
      </c>
      <c r="C3799" s="383">
        <v>4</v>
      </c>
      <c r="D3799" s="384">
        <f>4.6+2.25+1.525+3.075-0.275-0.275-0.55-0.55</f>
        <v>9.7999999999999972</v>
      </c>
      <c r="E3799" s="384">
        <v>0.23</v>
      </c>
      <c r="F3799" s="384">
        <v>0.375</v>
      </c>
      <c r="G3799" s="742">
        <f t="shared" si="116"/>
        <v>3.38</v>
      </c>
      <c r="H3799" s="936" t="s">
        <v>1282</v>
      </c>
      <c r="I3799" s="1254"/>
    </row>
    <row r="3800" spans="1:9" s="391" customFormat="1" ht="18" customHeight="1">
      <c r="A3800" s="401"/>
      <c r="B3800" s="390" t="s">
        <v>1274</v>
      </c>
      <c r="C3800" s="383">
        <v>1</v>
      </c>
      <c r="D3800" s="384">
        <v>4.6550000000000002</v>
      </c>
      <c r="E3800" s="384">
        <v>0.23</v>
      </c>
      <c r="F3800" s="384">
        <v>0.375</v>
      </c>
      <c r="G3800" s="742">
        <f t="shared" si="116"/>
        <v>0.4</v>
      </c>
      <c r="H3800" s="936" t="s">
        <v>1282</v>
      </c>
      <c r="I3800" s="1254"/>
    </row>
    <row r="3801" spans="1:9" s="391" customFormat="1" ht="18" customHeight="1">
      <c r="A3801" s="401"/>
      <c r="B3801" s="413" t="s">
        <v>2295</v>
      </c>
      <c r="C3801" s="383">
        <v>2</v>
      </c>
      <c r="D3801" s="384">
        <v>17.783999999999999</v>
      </c>
      <c r="E3801" s="384">
        <v>0.23</v>
      </c>
      <c r="F3801" s="384">
        <v>0.375</v>
      </c>
      <c r="G3801" s="742">
        <f t="shared" si="116"/>
        <v>3.07</v>
      </c>
      <c r="H3801" s="936" t="s">
        <v>1282</v>
      </c>
      <c r="I3801" s="1254"/>
    </row>
    <row r="3802" spans="1:9" s="391" customFormat="1" ht="18" customHeight="1">
      <c r="A3802" s="401"/>
      <c r="B3802" s="390" t="s">
        <v>2296</v>
      </c>
      <c r="C3802" s="383">
        <v>2</v>
      </c>
      <c r="D3802" s="384">
        <v>14.734</v>
      </c>
      <c r="E3802" s="384">
        <v>0.23</v>
      </c>
      <c r="F3802" s="384">
        <v>0.375</v>
      </c>
      <c r="G3802" s="742">
        <f t="shared" si="116"/>
        <v>2.54</v>
      </c>
      <c r="H3802" s="936" t="s">
        <v>1282</v>
      </c>
      <c r="I3802" s="1254"/>
    </row>
    <row r="3803" spans="1:9" s="391" customFormat="1" ht="18" customHeight="1">
      <c r="A3803" s="401"/>
      <c r="B3803" s="484" t="s">
        <v>2297</v>
      </c>
      <c r="C3803" s="383">
        <v>2</v>
      </c>
      <c r="D3803" s="384">
        <v>7.984</v>
      </c>
      <c r="E3803" s="384">
        <v>0.23</v>
      </c>
      <c r="F3803" s="384">
        <v>0.375</v>
      </c>
      <c r="G3803" s="742">
        <f t="shared" si="116"/>
        <v>1.38</v>
      </c>
      <c r="H3803" s="936" t="s">
        <v>1282</v>
      </c>
      <c r="I3803" s="1254"/>
    </row>
    <row r="3804" spans="1:9" s="391" customFormat="1" ht="18" customHeight="1">
      <c r="A3804" s="401"/>
      <c r="B3804" s="390" t="s">
        <v>2298</v>
      </c>
      <c r="C3804" s="383">
        <v>2</v>
      </c>
      <c r="D3804" s="384">
        <f>1.475+1.825+1.425+3.175+2.25+1.875+2.725+0.275+0.275-0.55*4-0.23</f>
        <v>12.869999999999997</v>
      </c>
      <c r="E3804" s="384">
        <v>0.23</v>
      </c>
      <c r="F3804" s="384">
        <v>0.375</v>
      </c>
      <c r="G3804" s="742">
        <f t="shared" si="116"/>
        <v>2.2200000000000002</v>
      </c>
      <c r="H3804" s="936" t="s">
        <v>1282</v>
      </c>
      <c r="I3804" s="1254"/>
    </row>
    <row r="3805" spans="1:9" s="391" customFormat="1" ht="18" customHeight="1">
      <c r="A3805" s="401"/>
      <c r="B3805" s="390" t="s">
        <v>2299</v>
      </c>
      <c r="C3805" s="383">
        <v>2</v>
      </c>
      <c r="D3805" s="384">
        <v>4.6550000000000002</v>
      </c>
      <c r="E3805" s="384">
        <v>0.23</v>
      </c>
      <c r="F3805" s="384">
        <v>0.375</v>
      </c>
      <c r="G3805" s="742">
        <f t="shared" si="116"/>
        <v>0.8</v>
      </c>
      <c r="H3805" s="936" t="s">
        <v>1282</v>
      </c>
      <c r="I3805" s="1254"/>
    </row>
    <row r="3806" spans="1:9" s="391" customFormat="1" ht="18" customHeight="1">
      <c r="A3806" s="381" t="s">
        <v>1282</v>
      </c>
      <c r="B3806" s="382" t="s">
        <v>958</v>
      </c>
      <c r="C3806" s="383"/>
      <c r="D3806" s="384"/>
      <c r="E3806" s="384"/>
      <c r="F3806" s="384"/>
      <c r="G3806" s="742">
        <f t="shared" si="116"/>
        <v>0</v>
      </c>
      <c r="H3806" s="936"/>
      <c r="I3806" s="1254"/>
    </row>
    <row r="3807" spans="1:9" s="391" customFormat="1" ht="18" customHeight="1">
      <c r="A3807" s="401"/>
      <c r="B3807" s="382" t="s">
        <v>959</v>
      </c>
      <c r="C3807" s="383"/>
      <c r="D3807" s="384"/>
      <c r="E3807" s="384"/>
      <c r="F3807" s="384"/>
      <c r="G3807" s="742">
        <f t="shared" si="116"/>
        <v>0</v>
      </c>
      <c r="H3807" s="936"/>
      <c r="I3807" s="1254"/>
    </row>
    <row r="3808" spans="1:9" s="391" customFormat="1" ht="18" customHeight="1">
      <c r="A3808" s="401"/>
      <c r="B3808" s="390" t="s">
        <v>960</v>
      </c>
      <c r="C3808" s="383">
        <v>1</v>
      </c>
      <c r="D3808" s="384">
        <v>6.5659999999999998</v>
      </c>
      <c r="E3808" s="384">
        <v>0.23</v>
      </c>
      <c r="F3808" s="384">
        <v>2.9750000000000001</v>
      </c>
      <c r="G3808" s="742">
        <f t="shared" si="116"/>
        <v>4.49</v>
      </c>
      <c r="H3808" s="936" t="s">
        <v>1282</v>
      </c>
      <c r="I3808" s="1254"/>
    </row>
    <row r="3809" spans="1:9" s="391" customFormat="1" ht="18" customHeight="1">
      <c r="A3809" s="401"/>
      <c r="B3809" s="390" t="s">
        <v>961</v>
      </c>
      <c r="C3809" s="383">
        <v>1</v>
      </c>
      <c r="D3809" s="457">
        <v>5.25</v>
      </c>
      <c r="E3809" s="384">
        <v>0.23</v>
      </c>
      <c r="F3809" s="384">
        <v>2.9750000000000001</v>
      </c>
      <c r="G3809" s="742">
        <f t="shared" si="116"/>
        <v>3.59</v>
      </c>
      <c r="H3809" s="936" t="s">
        <v>1282</v>
      </c>
      <c r="I3809" s="1254"/>
    </row>
    <row r="3810" spans="1:9" s="391" customFormat="1" ht="18" customHeight="1">
      <c r="A3810" s="401"/>
      <c r="B3810" s="390" t="s">
        <v>962</v>
      </c>
      <c r="C3810" s="383">
        <v>1</v>
      </c>
      <c r="D3810" s="457">
        <v>10.62</v>
      </c>
      <c r="E3810" s="384">
        <v>0.23</v>
      </c>
      <c r="F3810" s="384">
        <v>2.9750000000000001</v>
      </c>
      <c r="G3810" s="742">
        <f t="shared" si="116"/>
        <v>7.27</v>
      </c>
      <c r="H3810" s="936" t="s">
        <v>1282</v>
      </c>
      <c r="I3810" s="1254"/>
    </row>
    <row r="3811" spans="1:9" s="391" customFormat="1" ht="18" customHeight="1">
      <c r="A3811" s="401"/>
      <c r="B3811" s="390" t="s">
        <v>963</v>
      </c>
      <c r="C3811" s="383">
        <v>-1</v>
      </c>
      <c r="D3811" s="384">
        <v>0.8</v>
      </c>
      <c r="E3811" s="384">
        <v>0.23</v>
      </c>
      <c r="F3811" s="384">
        <v>2</v>
      </c>
      <c r="G3811" s="742">
        <f t="shared" si="116"/>
        <v>-0.37</v>
      </c>
      <c r="H3811" s="936" t="s">
        <v>1282</v>
      </c>
      <c r="I3811" s="1254"/>
    </row>
    <row r="3812" spans="1:9" s="391" customFormat="1" ht="18" customHeight="1">
      <c r="A3812" s="401"/>
      <c r="B3812" s="390" t="s">
        <v>964</v>
      </c>
      <c r="C3812" s="383">
        <v>-2</v>
      </c>
      <c r="D3812" s="384">
        <v>1.2</v>
      </c>
      <c r="E3812" s="384">
        <v>0.23</v>
      </c>
      <c r="F3812" s="384">
        <v>1.2</v>
      </c>
      <c r="G3812" s="742">
        <f t="shared" si="116"/>
        <v>-0.66</v>
      </c>
      <c r="H3812" s="936" t="s">
        <v>1282</v>
      </c>
      <c r="I3812" s="1254"/>
    </row>
    <row r="3813" spans="1:9" s="391" customFormat="1" ht="18" customHeight="1">
      <c r="A3813" s="401"/>
      <c r="B3813" s="390" t="s">
        <v>965</v>
      </c>
      <c r="C3813" s="383">
        <v>1</v>
      </c>
      <c r="D3813" s="384">
        <f>2.298+4.6+3.825+0.1-0.1</f>
        <v>10.722999999999999</v>
      </c>
      <c r="E3813" s="384">
        <v>0.23</v>
      </c>
      <c r="F3813" s="384">
        <v>2.9750000000000001</v>
      </c>
      <c r="G3813" s="742">
        <f t="shared" si="116"/>
        <v>7.34</v>
      </c>
      <c r="H3813" s="936" t="s">
        <v>1282</v>
      </c>
      <c r="I3813" s="1254"/>
    </row>
    <row r="3814" spans="1:9" s="391" customFormat="1" ht="18" customHeight="1">
      <c r="A3814" s="401"/>
      <c r="B3814" s="390" t="s">
        <v>966</v>
      </c>
      <c r="C3814" s="383">
        <v>-2</v>
      </c>
      <c r="D3814" s="384">
        <v>1</v>
      </c>
      <c r="E3814" s="384">
        <v>0.23</v>
      </c>
      <c r="F3814" s="384">
        <v>1.8</v>
      </c>
      <c r="G3814" s="742">
        <f t="shared" si="116"/>
        <v>-0.83</v>
      </c>
      <c r="H3814" s="936" t="s">
        <v>1282</v>
      </c>
      <c r="I3814" s="1254"/>
    </row>
    <row r="3815" spans="1:9" s="391" customFormat="1" ht="18" customHeight="1">
      <c r="A3815" s="401"/>
      <c r="B3815" s="390" t="s">
        <v>967</v>
      </c>
      <c r="C3815" s="383">
        <v>1</v>
      </c>
      <c r="D3815" s="457">
        <v>9.0220000000000002</v>
      </c>
      <c r="E3815" s="384">
        <v>0.23</v>
      </c>
      <c r="F3815" s="384">
        <v>2.9750000000000001</v>
      </c>
      <c r="G3815" s="742">
        <f t="shared" si="116"/>
        <v>6.17</v>
      </c>
      <c r="H3815" s="936" t="s">
        <v>1282</v>
      </c>
      <c r="I3815" s="1254"/>
    </row>
    <row r="3816" spans="1:9" s="391" customFormat="1" ht="18" customHeight="1">
      <c r="A3816" s="401"/>
      <c r="B3816" s="390" t="s">
        <v>968</v>
      </c>
      <c r="C3816" s="383">
        <v>1</v>
      </c>
      <c r="D3816" s="457">
        <v>4.9880000000000004</v>
      </c>
      <c r="E3816" s="384">
        <v>0.23</v>
      </c>
      <c r="F3816" s="384">
        <v>2.9750000000000001</v>
      </c>
      <c r="G3816" s="742">
        <f t="shared" si="116"/>
        <v>3.41</v>
      </c>
      <c r="H3816" s="936" t="s">
        <v>1282</v>
      </c>
      <c r="I3816" s="1254"/>
    </row>
    <row r="3817" spans="1:9" s="391" customFormat="1" ht="18" customHeight="1">
      <c r="A3817" s="401"/>
      <c r="B3817" s="390" t="s">
        <v>970</v>
      </c>
      <c r="C3817" s="383">
        <v>1</v>
      </c>
      <c r="D3817" s="457">
        <v>4.9880000000000004</v>
      </c>
      <c r="E3817" s="384">
        <v>0.23</v>
      </c>
      <c r="F3817" s="384">
        <v>2.9750000000000001</v>
      </c>
      <c r="G3817" s="742">
        <f t="shared" si="116"/>
        <v>3.41</v>
      </c>
      <c r="H3817" s="936" t="s">
        <v>1282</v>
      </c>
      <c r="I3817" s="1254"/>
    </row>
    <row r="3818" spans="1:9" s="391" customFormat="1" ht="18" customHeight="1">
      <c r="A3818" s="401"/>
      <c r="B3818" s="390" t="s">
        <v>969</v>
      </c>
      <c r="C3818" s="383">
        <v>1</v>
      </c>
      <c r="D3818" s="457">
        <v>7.056</v>
      </c>
      <c r="E3818" s="384">
        <v>0.23</v>
      </c>
      <c r="F3818" s="384">
        <v>2.9750000000000001</v>
      </c>
      <c r="G3818" s="742">
        <f t="shared" ref="G3818:G3881" si="117">IF(C3818&lt;&gt;0,ROUND(PRODUCT(D3818:F3818)*C3818,2),)</f>
        <v>4.83</v>
      </c>
      <c r="H3818" s="936" t="s">
        <v>1282</v>
      </c>
      <c r="I3818" s="1254"/>
    </row>
    <row r="3819" spans="1:9" s="391" customFormat="1" ht="18" customHeight="1">
      <c r="A3819" s="401" t="s">
        <v>1280</v>
      </c>
      <c r="B3819" s="382" t="s">
        <v>958</v>
      </c>
      <c r="C3819" s="383"/>
      <c r="D3819" s="384"/>
      <c r="E3819" s="384"/>
      <c r="F3819" s="384"/>
      <c r="G3819" s="742">
        <f t="shared" si="117"/>
        <v>0</v>
      </c>
      <c r="H3819" s="973"/>
      <c r="I3819" s="1254"/>
    </row>
    <row r="3820" spans="1:9" s="391" customFormat="1" ht="18" customHeight="1">
      <c r="A3820" s="401"/>
      <c r="B3820" s="382" t="s">
        <v>1114</v>
      </c>
      <c r="C3820" s="383"/>
      <c r="D3820" s="384"/>
      <c r="E3820" s="384"/>
      <c r="F3820" s="384"/>
      <c r="G3820" s="742">
        <f t="shared" si="117"/>
        <v>0</v>
      </c>
      <c r="H3820" s="973"/>
      <c r="I3820" s="1254"/>
    </row>
    <row r="3821" spans="1:9" s="391" customFormat="1" ht="18" customHeight="1">
      <c r="A3821" s="401"/>
      <c r="B3821" s="390" t="s">
        <v>960</v>
      </c>
      <c r="C3821" s="383">
        <v>1</v>
      </c>
      <c r="D3821" s="384">
        <v>6.5659999999999998</v>
      </c>
      <c r="E3821" s="384">
        <v>0.23</v>
      </c>
      <c r="F3821" s="384">
        <v>2.9750000000000001</v>
      </c>
      <c r="G3821" s="742">
        <f t="shared" si="117"/>
        <v>4.49</v>
      </c>
      <c r="H3821" s="973" t="s">
        <v>1280</v>
      </c>
      <c r="I3821" s="1254"/>
    </row>
    <row r="3822" spans="1:9" s="391" customFormat="1" ht="18" customHeight="1">
      <c r="A3822" s="401"/>
      <c r="B3822" s="390" t="s">
        <v>961</v>
      </c>
      <c r="C3822" s="383">
        <v>1</v>
      </c>
      <c r="D3822" s="457">
        <v>5.25</v>
      </c>
      <c r="E3822" s="384">
        <v>0.23</v>
      </c>
      <c r="F3822" s="384">
        <v>2.9750000000000001</v>
      </c>
      <c r="G3822" s="742">
        <f t="shared" si="117"/>
        <v>3.59</v>
      </c>
      <c r="H3822" s="973" t="s">
        <v>1280</v>
      </c>
      <c r="I3822" s="1254"/>
    </row>
    <row r="3823" spans="1:9" s="391" customFormat="1" ht="18" customHeight="1">
      <c r="A3823" s="401"/>
      <c r="B3823" s="390" t="s">
        <v>962</v>
      </c>
      <c r="C3823" s="383">
        <v>1</v>
      </c>
      <c r="D3823" s="457">
        <v>10.62</v>
      </c>
      <c r="E3823" s="384">
        <v>0.23</v>
      </c>
      <c r="F3823" s="384">
        <v>2.9750000000000001</v>
      </c>
      <c r="G3823" s="742">
        <f t="shared" si="117"/>
        <v>7.27</v>
      </c>
      <c r="H3823" s="973" t="s">
        <v>1280</v>
      </c>
      <c r="I3823" s="1254"/>
    </row>
    <row r="3824" spans="1:9" s="391" customFormat="1" ht="18" customHeight="1">
      <c r="A3824" s="401"/>
      <c r="B3824" s="390" t="s">
        <v>963</v>
      </c>
      <c r="C3824" s="383">
        <v>-1</v>
      </c>
      <c r="D3824" s="384">
        <v>0.8</v>
      </c>
      <c r="E3824" s="384">
        <v>0.23</v>
      </c>
      <c r="F3824" s="384">
        <v>2</v>
      </c>
      <c r="G3824" s="742">
        <f t="shared" si="117"/>
        <v>-0.37</v>
      </c>
      <c r="H3824" s="973" t="s">
        <v>1280</v>
      </c>
      <c r="I3824" s="1254"/>
    </row>
    <row r="3825" spans="1:9" s="391" customFormat="1" ht="18" customHeight="1">
      <c r="A3825" s="401"/>
      <c r="B3825" s="390" t="s">
        <v>964</v>
      </c>
      <c r="C3825" s="383">
        <v>-2</v>
      </c>
      <c r="D3825" s="384">
        <v>1.2</v>
      </c>
      <c r="E3825" s="384">
        <v>0.23</v>
      </c>
      <c r="F3825" s="384">
        <v>1.2</v>
      </c>
      <c r="G3825" s="742">
        <f t="shared" si="117"/>
        <v>-0.66</v>
      </c>
      <c r="H3825" s="973" t="s">
        <v>1280</v>
      </c>
      <c r="I3825" s="1254"/>
    </row>
    <row r="3826" spans="1:9" s="391" customFormat="1" ht="18" customHeight="1">
      <c r="A3826" s="401"/>
      <c r="B3826" s="390" t="s">
        <v>965</v>
      </c>
      <c r="C3826" s="383">
        <v>1</v>
      </c>
      <c r="D3826" s="384">
        <f>2.298+4.6+3.825+0.1-0.1</f>
        <v>10.722999999999999</v>
      </c>
      <c r="E3826" s="384">
        <v>0.23</v>
      </c>
      <c r="F3826" s="384">
        <v>2.9750000000000001</v>
      </c>
      <c r="G3826" s="742">
        <f t="shared" si="117"/>
        <v>7.34</v>
      </c>
      <c r="H3826" s="973" t="s">
        <v>1280</v>
      </c>
      <c r="I3826" s="1254"/>
    </row>
    <row r="3827" spans="1:9" s="391" customFormat="1" ht="18" customHeight="1">
      <c r="A3827" s="401"/>
      <c r="B3827" s="390" t="s">
        <v>966</v>
      </c>
      <c r="C3827" s="383">
        <v>-2</v>
      </c>
      <c r="D3827" s="384">
        <v>1</v>
      </c>
      <c r="E3827" s="384">
        <v>0.23</v>
      </c>
      <c r="F3827" s="384">
        <v>1.8</v>
      </c>
      <c r="G3827" s="742">
        <f t="shared" si="117"/>
        <v>-0.83</v>
      </c>
      <c r="H3827" s="973" t="s">
        <v>1280</v>
      </c>
      <c r="I3827" s="1254"/>
    </row>
    <row r="3828" spans="1:9" s="391" customFormat="1" ht="18" customHeight="1">
      <c r="A3828" s="401"/>
      <c r="B3828" s="390" t="s">
        <v>967</v>
      </c>
      <c r="C3828" s="383">
        <v>1</v>
      </c>
      <c r="D3828" s="457">
        <v>9.0220000000000002</v>
      </c>
      <c r="E3828" s="384">
        <v>0.23</v>
      </c>
      <c r="F3828" s="384">
        <v>2.9750000000000001</v>
      </c>
      <c r="G3828" s="742">
        <f t="shared" si="117"/>
        <v>6.17</v>
      </c>
      <c r="H3828" s="973" t="s">
        <v>1280</v>
      </c>
      <c r="I3828" s="1254"/>
    </row>
    <row r="3829" spans="1:9" s="391" customFormat="1" ht="18" customHeight="1">
      <c r="A3829" s="401"/>
      <c r="B3829" s="390" t="s">
        <v>968</v>
      </c>
      <c r="C3829" s="383">
        <v>1</v>
      </c>
      <c r="D3829" s="457">
        <v>4.9880000000000004</v>
      </c>
      <c r="E3829" s="384">
        <v>0.23</v>
      </c>
      <c r="F3829" s="384">
        <v>2.9750000000000001</v>
      </c>
      <c r="G3829" s="742">
        <f t="shared" si="117"/>
        <v>3.41</v>
      </c>
      <c r="H3829" s="973" t="s">
        <v>1280</v>
      </c>
      <c r="I3829" s="1254"/>
    </row>
    <row r="3830" spans="1:9" s="391" customFormat="1" ht="18" customHeight="1">
      <c r="A3830" s="401"/>
      <c r="B3830" s="390" t="s">
        <v>970</v>
      </c>
      <c r="C3830" s="383">
        <v>1</v>
      </c>
      <c r="D3830" s="457">
        <v>4.9880000000000004</v>
      </c>
      <c r="E3830" s="384">
        <v>0.23</v>
      </c>
      <c r="F3830" s="384">
        <v>2.9750000000000001</v>
      </c>
      <c r="G3830" s="742">
        <f t="shared" si="117"/>
        <v>3.41</v>
      </c>
      <c r="H3830" s="973" t="s">
        <v>1280</v>
      </c>
      <c r="I3830" s="1254"/>
    </row>
    <row r="3831" spans="1:9" s="391" customFormat="1" ht="18" customHeight="1">
      <c r="A3831" s="401"/>
      <c r="B3831" s="390" t="s">
        <v>969</v>
      </c>
      <c r="C3831" s="383">
        <v>1</v>
      </c>
      <c r="D3831" s="384">
        <v>7.0620000000000003</v>
      </c>
      <c r="E3831" s="384">
        <v>0.23</v>
      </c>
      <c r="F3831" s="384">
        <v>2.9750000000000001</v>
      </c>
      <c r="G3831" s="742">
        <f t="shared" si="117"/>
        <v>4.83</v>
      </c>
      <c r="H3831" s="973" t="s">
        <v>1280</v>
      </c>
      <c r="I3831" s="1254"/>
    </row>
    <row r="3832" spans="1:9" s="391" customFormat="1" ht="18" customHeight="1">
      <c r="A3832" s="401"/>
      <c r="B3832" s="382" t="s">
        <v>1115</v>
      </c>
      <c r="C3832" s="383"/>
      <c r="D3832" s="384"/>
      <c r="E3832" s="384"/>
      <c r="F3832" s="384"/>
      <c r="G3832" s="742">
        <f t="shared" si="117"/>
        <v>0</v>
      </c>
      <c r="H3832" s="973" t="s">
        <v>1280</v>
      </c>
      <c r="I3832" s="1254"/>
    </row>
    <row r="3833" spans="1:9" s="391" customFormat="1" ht="18" customHeight="1">
      <c r="A3833" s="401"/>
      <c r="B3833" s="390" t="s">
        <v>1116</v>
      </c>
      <c r="C3833" s="383">
        <v>1</v>
      </c>
      <c r="D3833" s="384">
        <v>6.44</v>
      </c>
      <c r="E3833" s="384">
        <v>0.23</v>
      </c>
      <c r="F3833" s="384">
        <v>2.9750000000000001</v>
      </c>
      <c r="G3833" s="742">
        <f t="shared" si="117"/>
        <v>4.41</v>
      </c>
      <c r="H3833" s="973" t="s">
        <v>1280</v>
      </c>
      <c r="I3833" s="1254"/>
    </row>
    <row r="3834" spans="1:9" s="391" customFormat="1" ht="18" customHeight="1">
      <c r="A3834" s="401"/>
      <c r="B3834" s="390" t="s">
        <v>1096</v>
      </c>
      <c r="C3834" s="383">
        <v>1</v>
      </c>
      <c r="D3834" s="457">
        <v>12.9</v>
      </c>
      <c r="E3834" s="384">
        <v>0.23</v>
      </c>
      <c r="F3834" s="384">
        <v>2.9750000000000001</v>
      </c>
      <c r="G3834" s="742">
        <f t="shared" si="117"/>
        <v>8.83</v>
      </c>
      <c r="H3834" s="973" t="s">
        <v>1280</v>
      </c>
      <c r="I3834" s="1254"/>
    </row>
    <row r="3835" spans="1:9" s="391" customFormat="1" ht="18" customHeight="1">
      <c r="A3835" s="401"/>
      <c r="B3835" s="390" t="s">
        <v>1118</v>
      </c>
      <c r="C3835" s="383">
        <v>-3</v>
      </c>
      <c r="D3835" s="384">
        <v>1.5</v>
      </c>
      <c r="E3835" s="384">
        <v>0.23</v>
      </c>
      <c r="F3835" s="384">
        <v>1.1000000000000001</v>
      </c>
      <c r="G3835" s="742">
        <f t="shared" si="117"/>
        <v>-1.1399999999999999</v>
      </c>
      <c r="H3835" s="973" t="s">
        <v>1280</v>
      </c>
      <c r="I3835" s="1254"/>
    </row>
    <row r="3836" spans="1:9" s="391" customFormat="1" ht="18" customHeight="1">
      <c r="A3836" s="401"/>
      <c r="B3836" s="390" t="s">
        <v>1119</v>
      </c>
      <c r="C3836" s="383">
        <v>-1</v>
      </c>
      <c r="D3836" s="384">
        <v>0.6</v>
      </c>
      <c r="E3836" s="384">
        <v>0.23</v>
      </c>
      <c r="F3836" s="384">
        <v>0.6</v>
      </c>
      <c r="G3836" s="742">
        <f t="shared" si="117"/>
        <v>-0.08</v>
      </c>
      <c r="H3836" s="973" t="s">
        <v>1280</v>
      </c>
      <c r="I3836" s="1254"/>
    </row>
    <row r="3837" spans="1:9" s="391" customFormat="1" ht="18" customHeight="1">
      <c r="A3837" s="401"/>
      <c r="B3837" s="390" t="s">
        <v>1120</v>
      </c>
      <c r="C3837" s="383">
        <v>-1</v>
      </c>
      <c r="D3837" s="384">
        <v>1.2</v>
      </c>
      <c r="E3837" s="384">
        <v>0.23</v>
      </c>
      <c r="F3837" s="384">
        <v>2.1</v>
      </c>
      <c r="G3837" s="742">
        <f t="shared" si="117"/>
        <v>-0.57999999999999996</v>
      </c>
      <c r="H3837" s="973" t="s">
        <v>1280</v>
      </c>
      <c r="I3837" s="1254"/>
    </row>
    <row r="3838" spans="1:9" s="391" customFormat="1" ht="18" customHeight="1">
      <c r="A3838" s="401"/>
      <c r="B3838" s="390" t="s">
        <v>1121</v>
      </c>
      <c r="C3838" s="383">
        <v>-1</v>
      </c>
      <c r="D3838" s="384">
        <v>1</v>
      </c>
      <c r="E3838" s="384">
        <v>0.23</v>
      </c>
      <c r="F3838" s="384">
        <v>2.1</v>
      </c>
      <c r="G3838" s="742">
        <f t="shared" si="117"/>
        <v>-0.48</v>
      </c>
      <c r="H3838" s="973" t="s">
        <v>1280</v>
      </c>
      <c r="I3838" s="1254"/>
    </row>
    <row r="3839" spans="1:9" s="391" customFormat="1" ht="18" customHeight="1">
      <c r="A3839" s="401"/>
      <c r="B3839" s="477" t="s">
        <v>1144</v>
      </c>
      <c r="C3839" s="383">
        <v>1</v>
      </c>
      <c r="D3839" s="384">
        <v>9.0839999999999996</v>
      </c>
      <c r="E3839" s="384">
        <v>0.23</v>
      </c>
      <c r="F3839" s="384">
        <v>2.9750000000000001</v>
      </c>
      <c r="G3839" s="742">
        <f t="shared" si="117"/>
        <v>6.22</v>
      </c>
      <c r="H3839" s="973" t="s">
        <v>1280</v>
      </c>
      <c r="I3839" s="1254"/>
    </row>
    <row r="3840" spans="1:9" s="391" customFormat="1" ht="18" customHeight="1">
      <c r="A3840" s="401"/>
      <c r="B3840" s="390" t="s">
        <v>1123</v>
      </c>
      <c r="C3840" s="383">
        <v>-2</v>
      </c>
      <c r="D3840" s="384">
        <v>1.5</v>
      </c>
      <c r="E3840" s="384">
        <v>0.23</v>
      </c>
      <c r="F3840" s="384">
        <v>1.1000000000000001</v>
      </c>
      <c r="G3840" s="742">
        <f t="shared" si="117"/>
        <v>-0.76</v>
      </c>
      <c r="H3840" s="973" t="s">
        <v>1280</v>
      </c>
      <c r="I3840" s="1254"/>
    </row>
    <row r="3841" spans="1:9" s="391" customFormat="1" ht="18" customHeight="1">
      <c r="A3841" s="401"/>
      <c r="B3841" s="390" t="s">
        <v>1120</v>
      </c>
      <c r="C3841" s="383">
        <v>-1</v>
      </c>
      <c r="D3841" s="384">
        <v>1.2</v>
      </c>
      <c r="E3841" s="384">
        <v>0.23</v>
      </c>
      <c r="F3841" s="384">
        <v>2.1</v>
      </c>
      <c r="G3841" s="742">
        <f t="shared" si="117"/>
        <v>-0.57999999999999996</v>
      </c>
      <c r="H3841" s="973" t="s">
        <v>1280</v>
      </c>
      <c r="I3841" s="1254"/>
    </row>
    <row r="3842" spans="1:9" s="391" customFormat="1" ht="18" customHeight="1">
      <c r="A3842" s="401"/>
      <c r="B3842" s="477" t="s">
        <v>1286</v>
      </c>
      <c r="C3842" s="383">
        <v>1</v>
      </c>
      <c r="D3842" s="384">
        <v>9.0839999999999996</v>
      </c>
      <c r="E3842" s="384">
        <v>0.23</v>
      </c>
      <c r="F3842" s="384">
        <v>2.9750000000000001</v>
      </c>
      <c r="G3842" s="742">
        <f t="shared" si="117"/>
        <v>6.22</v>
      </c>
      <c r="H3842" s="973" t="s">
        <v>1280</v>
      </c>
      <c r="I3842" s="1254"/>
    </row>
    <row r="3843" spans="1:9" s="391" customFormat="1" ht="18" customHeight="1">
      <c r="A3843" s="401"/>
      <c r="B3843" s="390" t="s">
        <v>1123</v>
      </c>
      <c r="C3843" s="383">
        <v>-2</v>
      </c>
      <c r="D3843" s="384">
        <v>1.5</v>
      </c>
      <c r="E3843" s="384">
        <v>0.23</v>
      </c>
      <c r="F3843" s="384">
        <v>1.1000000000000001</v>
      </c>
      <c r="G3843" s="742">
        <f t="shared" si="117"/>
        <v>-0.76</v>
      </c>
      <c r="H3843" s="973" t="s">
        <v>1280</v>
      </c>
      <c r="I3843" s="1254"/>
    </row>
    <row r="3844" spans="1:9" s="391" customFormat="1" ht="18" customHeight="1">
      <c r="A3844" s="401"/>
      <c r="B3844" s="390" t="s">
        <v>1120</v>
      </c>
      <c r="C3844" s="383">
        <v>-1</v>
      </c>
      <c r="D3844" s="384">
        <v>1.2</v>
      </c>
      <c r="E3844" s="384">
        <v>0.23</v>
      </c>
      <c r="F3844" s="384">
        <v>2.1</v>
      </c>
      <c r="G3844" s="742">
        <f t="shared" si="117"/>
        <v>-0.57999999999999996</v>
      </c>
      <c r="H3844" s="973" t="s">
        <v>1280</v>
      </c>
      <c r="I3844" s="1254"/>
    </row>
    <row r="3845" spans="1:9" s="391" customFormat="1" ht="18" customHeight="1">
      <c r="A3845" s="401"/>
      <c r="B3845" s="382" t="s">
        <v>1124</v>
      </c>
      <c r="C3845" s="383">
        <v>1</v>
      </c>
      <c r="D3845" s="384">
        <v>3.7</v>
      </c>
      <c r="E3845" s="384">
        <v>0.23</v>
      </c>
      <c r="F3845" s="384">
        <v>2.9750000000000001</v>
      </c>
      <c r="G3845" s="742">
        <f t="shared" si="117"/>
        <v>2.5299999999999998</v>
      </c>
      <c r="H3845" s="973" t="s">
        <v>1280</v>
      </c>
      <c r="I3845" s="1254"/>
    </row>
    <row r="3846" spans="1:9" s="391" customFormat="1" ht="18" customHeight="1">
      <c r="A3846" s="401"/>
      <c r="B3846" s="382" t="s">
        <v>1125</v>
      </c>
      <c r="C3846" s="383"/>
      <c r="D3846" s="384"/>
      <c r="E3846" s="384"/>
      <c r="F3846" s="384"/>
      <c r="G3846" s="742">
        <f t="shared" si="117"/>
        <v>0</v>
      </c>
      <c r="H3846" s="973" t="s">
        <v>1280</v>
      </c>
      <c r="I3846" s="1254"/>
    </row>
    <row r="3847" spans="1:9" s="391" customFormat="1" ht="18" customHeight="1">
      <c r="A3847" s="401"/>
      <c r="B3847" s="390" t="s">
        <v>1126</v>
      </c>
      <c r="C3847" s="383">
        <v>1</v>
      </c>
      <c r="D3847" s="384">
        <v>4.9000000000000004</v>
      </c>
      <c r="E3847" s="384">
        <v>0.23</v>
      </c>
      <c r="F3847" s="384">
        <v>2.9750000000000001</v>
      </c>
      <c r="G3847" s="742">
        <f t="shared" si="117"/>
        <v>3.35</v>
      </c>
      <c r="H3847" s="973" t="s">
        <v>1280</v>
      </c>
      <c r="I3847" s="1254"/>
    </row>
    <row r="3848" spans="1:9" s="391" customFormat="1" ht="18" customHeight="1">
      <c r="A3848" s="401"/>
      <c r="B3848" s="390" t="s">
        <v>1127</v>
      </c>
      <c r="C3848" s="383">
        <v>1</v>
      </c>
      <c r="D3848" s="384">
        <f>2.7+0.23</f>
        <v>2.93</v>
      </c>
      <c r="E3848" s="384">
        <v>0.23</v>
      </c>
      <c r="F3848" s="384">
        <v>2.9750000000000001</v>
      </c>
      <c r="G3848" s="742">
        <f t="shared" si="117"/>
        <v>2</v>
      </c>
      <c r="H3848" s="973" t="s">
        <v>1280</v>
      </c>
      <c r="I3848" s="1254"/>
    </row>
    <row r="3849" spans="1:9" s="391" customFormat="1" ht="18" customHeight="1">
      <c r="A3849" s="401"/>
      <c r="B3849" s="390" t="s">
        <v>1128</v>
      </c>
      <c r="C3849" s="383">
        <v>1</v>
      </c>
      <c r="D3849" s="384">
        <v>1.7</v>
      </c>
      <c r="E3849" s="384">
        <v>0.23</v>
      </c>
      <c r="F3849" s="384">
        <v>2.9750000000000001</v>
      </c>
      <c r="G3849" s="742">
        <f t="shared" si="117"/>
        <v>1.1599999999999999</v>
      </c>
      <c r="H3849" s="973" t="s">
        <v>1280</v>
      </c>
      <c r="I3849" s="1254"/>
    </row>
    <row r="3850" spans="1:9" s="391" customFormat="1" ht="18" customHeight="1">
      <c r="A3850" s="401"/>
      <c r="B3850" s="390" t="s">
        <v>1129</v>
      </c>
      <c r="C3850" s="383">
        <v>-1</v>
      </c>
      <c r="D3850" s="384">
        <v>0.8</v>
      </c>
      <c r="E3850" s="384">
        <v>0.23</v>
      </c>
      <c r="F3850" s="384">
        <v>2.1</v>
      </c>
      <c r="G3850" s="742">
        <f t="shared" si="117"/>
        <v>-0.39</v>
      </c>
      <c r="H3850" s="973" t="s">
        <v>1280</v>
      </c>
      <c r="I3850" s="1254"/>
    </row>
    <row r="3851" spans="1:9" s="391" customFormat="1" ht="18" customHeight="1">
      <c r="A3851" s="401"/>
      <c r="B3851" s="390" t="s">
        <v>1100</v>
      </c>
      <c r="C3851" s="383">
        <v>1</v>
      </c>
      <c r="D3851" s="384">
        <f>6.3</f>
        <v>6.3</v>
      </c>
      <c r="E3851" s="384">
        <v>0.23</v>
      </c>
      <c r="F3851" s="384">
        <v>2.9750000000000001</v>
      </c>
      <c r="G3851" s="742">
        <f t="shared" si="117"/>
        <v>4.3099999999999996</v>
      </c>
      <c r="H3851" s="973" t="s">
        <v>1280</v>
      </c>
      <c r="I3851" s="1254"/>
    </row>
    <row r="3852" spans="1:9" s="391" customFormat="1" ht="18" customHeight="1">
      <c r="A3852" s="401"/>
      <c r="B3852" s="390" t="s">
        <v>1130</v>
      </c>
      <c r="C3852" s="383">
        <v>-1</v>
      </c>
      <c r="D3852" s="384">
        <v>1.85</v>
      </c>
      <c r="E3852" s="384">
        <v>0.23</v>
      </c>
      <c r="F3852" s="384">
        <v>2.4</v>
      </c>
      <c r="G3852" s="742">
        <f t="shared" si="117"/>
        <v>-1.02</v>
      </c>
      <c r="H3852" s="973" t="s">
        <v>1280</v>
      </c>
      <c r="I3852" s="1254"/>
    </row>
    <row r="3853" spans="1:9" s="391" customFormat="1" ht="18" customHeight="1">
      <c r="A3853" s="401"/>
      <c r="B3853" s="390" t="s">
        <v>1131</v>
      </c>
      <c r="C3853" s="383">
        <v>-1</v>
      </c>
      <c r="D3853" s="384">
        <v>1.8</v>
      </c>
      <c r="E3853" s="384">
        <v>0.23</v>
      </c>
      <c r="F3853" s="384">
        <v>2.7</v>
      </c>
      <c r="G3853" s="742">
        <f t="shared" si="117"/>
        <v>-1.1200000000000001</v>
      </c>
      <c r="H3853" s="973" t="s">
        <v>1280</v>
      </c>
      <c r="I3853" s="1254"/>
    </row>
    <row r="3854" spans="1:9" s="357" customFormat="1" ht="18" customHeight="1">
      <c r="A3854" s="381" t="s">
        <v>1306</v>
      </c>
      <c r="B3854" s="412" t="s">
        <v>1338</v>
      </c>
      <c r="C3854" s="383"/>
      <c r="D3854" s="384"/>
      <c r="E3854" s="384"/>
      <c r="F3854" s="384"/>
      <c r="G3854" s="742">
        <f t="shared" si="117"/>
        <v>0</v>
      </c>
      <c r="H3854" s="936"/>
      <c r="I3854" s="1232"/>
    </row>
    <row r="3855" spans="1:9" s="357" customFormat="1" ht="18" customHeight="1">
      <c r="A3855" s="381"/>
      <c r="B3855" s="412" t="s">
        <v>1343</v>
      </c>
      <c r="C3855" s="383"/>
      <c r="D3855" s="384"/>
      <c r="E3855" s="384"/>
      <c r="F3855" s="384"/>
      <c r="G3855" s="742">
        <f t="shared" si="117"/>
        <v>0</v>
      </c>
      <c r="H3855" s="936"/>
      <c r="I3855" s="1232"/>
    </row>
    <row r="3856" spans="1:9" s="357" customFormat="1" ht="18" customHeight="1">
      <c r="A3856" s="401"/>
      <c r="B3856" s="385" t="s">
        <v>1194</v>
      </c>
      <c r="C3856" s="383"/>
      <c r="D3856" s="384"/>
      <c r="E3856" s="384"/>
      <c r="F3856" s="384"/>
      <c r="G3856" s="742">
        <f t="shared" si="117"/>
        <v>0</v>
      </c>
      <c r="H3856" s="936"/>
      <c r="I3856" s="1232"/>
    </row>
    <row r="3857" spans="1:9" s="357" customFormat="1" ht="18" customHeight="1">
      <c r="A3857" s="401"/>
      <c r="B3857" s="413" t="s">
        <v>1339</v>
      </c>
      <c r="C3857" s="383">
        <v>1</v>
      </c>
      <c r="D3857" s="384">
        <f>2.298+4.6+3.825+3.2+6.45+6.45+6.45+6.45+3.2+3.825+4.6+2.298</f>
        <v>53.646000000000008</v>
      </c>
      <c r="E3857" s="384">
        <v>0.23</v>
      </c>
      <c r="F3857" s="384">
        <v>0.6</v>
      </c>
      <c r="G3857" s="742">
        <f t="shared" si="117"/>
        <v>7.4</v>
      </c>
      <c r="H3857" s="936" t="s">
        <v>1306</v>
      </c>
      <c r="I3857" s="1232"/>
    </row>
    <row r="3858" spans="1:9" s="357" customFormat="1" ht="18" customHeight="1">
      <c r="A3858" s="401"/>
      <c r="B3858" s="413" t="s">
        <v>1193</v>
      </c>
      <c r="C3858" s="383">
        <v>1</v>
      </c>
      <c r="D3858" s="384">
        <f>2.298+4.6+3.825+3.2+6.45+6.45+6.3+6.45+6.45+3.2+3.825+4.6+2.298</f>
        <v>59.946000000000012</v>
      </c>
      <c r="E3858" s="384">
        <v>0.23</v>
      </c>
      <c r="F3858" s="384">
        <v>0.6</v>
      </c>
      <c r="G3858" s="742">
        <f t="shared" si="117"/>
        <v>8.27</v>
      </c>
      <c r="H3858" s="936" t="s">
        <v>1306</v>
      </c>
      <c r="I3858" s="1232"/>
    </row>
    <row r="3859" spans="1:9" s="357" customFormat="1" ht="18" customHeight="1">
      <c r="A3859" s="401"/>
      <c r="B3859" s="413" t="s">
        <v>1340</v>
      </c>
      <c r="C3859" s="383">
        <v>1</v>
      </c>
      <c r="D3859" s="384">
        <f>2.025+4.6+3.775+6.45+6.4+6.4+3.25+3.175+4.125+5.187+6.622</f>
        <v>52.008999999999993</v>
      </c>
      <c r="E3859" s="384">
        <v>0.23</v>
      </c>
      <c r="F3859" s="384">
        <v>0.6</v>
      </c>
      <c r="G3859" s="742">
        <f t="shared" si="117"/>
        <v>7.18</v>
      </c>
      <c r="H3859" s="936" t="s">
        <v>1306</v>
      </c>
      <c r="I3859" s="1232"/>
    </row>
    <row r="3860" spans="1:9" s="357" customFormat="1" ht="18" customHeight="1">
      <c r="A3860" s="401"/>
      <c r="B3860" s="413" t="s">
        <v>1341</v>
      </c>
      <c r="C3860" s="383">
        <v>1</v>
      </c>
      <c r="D3860" s="384">
        <f>2.025+4.6+3.775+6.45+6.4+6.4+3.25+3.175+4.125+5.187+6.622</f>
        <v>52.008999999999993</v>
      </c>
      <c r="E3860" s="384">
        <v>0.23</v>
      </c>
      <c r="F3860" s="384">
        <v>0.6</v>
      </c>
      <c r="G3860" s="742">
        <f t="shared" si="117"/>
        <v>7.18</v>
      </c>
      <c r="H3860" s="936" t="s">
        <v>1306</v>
      </c>
      <c r="I3860" s="1232"/>
    </row>
    <row r="3861" spans="1:9" s="357" customFormat="1" ht="18" customHeight="1">
      <c r="A3861" s="401"/>
      <c r="B3861" s="413" t="s">
        <v>1342</v>
      </c>
      <c r="C3861" s="383">
        <v>1</v>
      </c>
      <c r="D3861" s="384">
        <v>2.4620000000000002</v>
      </c>
      <c r="E3861" s="384">
        <v>0.23</v>
      </c>
      <c r="F3861" s="384">
        <v>0.6</v>
      </c>
      <c r="G3861" s="742">
        <f t="shared" si="117"/>
        <v>0.34</v>
      </c>
      <c r="H3861" s="936" t="s">
        <v>1306</v>
      </c>
      <c r="I3861" s="1232"/>
    </row>
    <row r="3862" spans="1:9" s="357" customFormat="1" ht="18" customHeight="1">
      <c r="A3862" s="401"/>
      <c r="B3862" s="385" t="s">
        <v>1195</v>
      </c>
      <c r="C3862" s="383"/>
      <c r="D3862" s="384"/>
      <c r="E3862" s="384"/>
      <c r="F3862" s="384"/>
      <c r="G3862" s="742">
        <f t="shared" si="117"/>
        <v>0</v>
      </c>
      <c r="H3862" s="936" t="s">
        <v>1306</v>
      </c>
      <c r="I3862" s="1232"/>
    </row>
    <row r="3863" spans="1:9" s="357" customFormat="1" ht="18" customHeight="1">
      <c r="A3863" s="401"/>
      <c r="B3863" s="413" t="s">
        <v>1196</v>
      </c>
      <c r="C3863" s="383">
        <v>1</v>
      </c>
      <c r="D3863" s="384">
        <f>6.45+6.45+6.3+6.45+6.45+1.6+1.6</f>
        <v>35.300000000000004</v>
      </c>
      <c r="E3863" s="384">
        <v>0.23</v>
      </c>
      <c r="F3863" s="384">
        <v>0.6</v>
      </c>
      <c r="G3863" s="742">
        <f t="shared" si="117"/>
        <v>4.87</v>
      </c>
      <c r="H3863" s="936" t="s">
        <v>1306</v>
      </c>
      <c r="I3863" s="1232"/>
    </row>
    <row r="3864" spans="1:9" s="357" customFormat="1" ht="18" customHeight="1">
      <c r="A3864" s="401"/>
      <c r="B3864" s="413" t="s">
        <v>1197</v>
      </c>
      <c r="C3864" s="383">
        <v>1</v>
      </c>
      <c r="D3864" s="384">
        <f>32.1+1.475+1.825+1.475+1.825</f>
        <v>38.70000000000001</v>
      </c>
      <c r="E3864" s="384">
        <v>0.23</v>
      </c>
      <c r="F3864" s="384">
        <v>0.6</v>
      </c>
      <c r="G3864" s="742">
        <f t="shared" si="117"/>
        <v>5.34</v>
      </c>
      <c r="H3864" s="936" t="s">
        <v>1306</v>
      </c>
      <c r="I3864" s="1232"/>
    </row>
    <row r="3865" spans="1:9" s="357" customFormat="1" ht="18" customHeight="1">
      <c r="A3865" s="401"/>
      <c r="B3865" s="390" t="s">
        <v>1198</v>
      </c>
      <c r="C3865" s="383">
        <v>1</v>
      </c>
      <c r="D3865" s="457">
        <v>17.45</v>
      </c>
      <c r="E3865" s="384">
        <v>0.23</v>
      </c>
      <c r="F3865" s="384">
        <v>0.6</v>
      </c>
      <c r="G3865" s="742">
        <f t="shared" si="117"/>
        <v>2.41</v>
      </c>
      <c r="H3865" s="936" t="s">
        <v>1306</v>
      </c>
      <c r="I3865" s="1232"/>
    </row>
    <row r="3866" spans="1:9" s="357" customFormat="1" ht="18" customHeight="1">
      <c r="A3866" s="401"/>
      <c r="B3866" s="390" t="s">
        <v>1199</v>
      </c>
      <c r="C3866" s="383">
        <v>1</v>
      </c>
      <c r="D3866" s="457">
        <v>17.45</v>
      </c>
      <c r="E3866" s="384">
        <v>0.23</v>
      </c>
      <c r="F3866" s="384">
        <v>0.6</v>
      </c>
      <c r="G3866" s="742">
        <f t="shared" si="117"/>
        <v>2.41</v>
      </c>
      <c r="H3866" s="936" t="s">
        <v>1306</v>
      </c>
      <c r="I3866" s="1232"/>
    </row>
    <row r="3867" spans="1:9" s="357" customFormat="1" ht="18" customHeight="1">
      <c r="A3867" s="381"/>
      <c r="B3867" s="422" t="s">
        <v>1348</v>
      </c>
      <c r="C3867" s="383"/>
      <c r="D3867" s="384"/>
      <c r="E3867" s="384"/>
      <c r="F3867" s="384"/>
      <c r="G3867" s="742">
        <f t="shared" si="117"/>
        <v>0</v>
      </c>
      <c r="H3867" s="936"/>
      <c r="I3867" s="1232"/>
    </row>
    <row r="3868" spans="1:9" s="357" customFormat="1" ht="18" customHeight="1">
      <c r="A3868" s="381"/>
      <c r="B3868" s="422" t="s">
        <v>1305</v>
      </c>
      <c r="C3868" s="383">
        <v>2</v>
      </c>
      <c r="D3868" s="384">
        <v>17.55</v>
      </c>
      <c r="E3868" s="384">
        <v>0.23</v>
      </c>
      <c r="F3868" s="384">
        <v>0.6</v>
      </c>
      <c r="G3868" s="742">
        <f t="shared" si="117"/>
        <v>4.84</v>
      </c>
      <c r="H3868" s="936" t="s">
        <v>1306</v>
      </c>
      <c r="I3868" s="1232"/>
    </row>
    <row r="3869" spans="1:9" s="357" customFormat="1" ht="18" customHeight="1">
      <c r="A3869" s="381"/>
      <c r="B3869" s="422"/>
      <c r="C3869" s="383">
        <v>2</v>
      </c>
      <c r="D3869" s="384">
        <v>30.175000000000001</v>
      </c>
      <c r="E3869" s="384">
        <v>0.23</v>
      </c>
      <c r="F3869" s="384">
        <v>0.6</v>
      </c>
      <c r="G3869" s="742">
        <f t="shared" si="117"/>
        <v>8.33</v>
      </c>
      <c r="H3869" s="936" t="s">
        <v>1306</v>
      </c>
      <c r="I3869" s="1232"/>
    </row>
    <row r="3870" spans="1:9" s="357" customFormat="1" ht="18" customHeight="1">
      <c r="A3870" s="381"/>
      <c r="B3870" s="422"/>
      <c r="C3870" s="383">
        <v>2</v>
      </c>
      <c r="D3870" s="384">
        <v>15.933999999999999</v>
      </c>
      <c r="E3870" s="384">
        <v>0.23</v>
      </c>
      <c r="F3870" s="384">
        <v>0.6</v>
      </c>
      <c r="G3870" s="742">
        <f t="shared" si="117"/>
        <v>4.4000000000000004</v>
      </c>
      <c r="H3870" s="936" t="s">
        <v>1306</v>
      </c>
      <c r="I3870" s="1232"/>
    </row>
    <row r="3871" spans="1:9" s="357" customFormat="1" ht="18" customHeight="1">
      <c r="A3871" s="381"/>
      <c r="B3871" s="422" t="s">
        <v>1345</v>
      </c>
      <c r="C3871" s="383">
        <v>2</v>
      </c>
      <c r="D3871" s="384">
        <v>12.5</v>
      </c>
      <c r="E3871" s="384">
        <v>0.23</v>
      </c>
      <c r="F3871" s="384">
        <v>0.6</v>
      </c>
      <c r="G3871" s="742">
        <f t="shared" si="117"/>
        <v>3.45</v>
      </c>
      <c r="H3871" s="936" t="s">
        <v>1306</v>
      </c>
      <c r="I3871" s="1232"/>
    </row>
    <row r="3872" spans="1:9" s="357" customFormat="1" ht="18" customHeight="1">
      <c r="A3872" s="381"/>
      <c r="B3872" s="422" t="s">
        <v>1346</v>
      </c>
      <c r="C3872" s="383">
        <v>2</v>
      </c>
      <c r="D3872" s="384">
        <v>10</v>
      </c>
      <c r="E3872" s="384">
        <v>0.23</v>
      </c>
      <c r="F3872" s="384">
        <v>0.6</v>
      </c>
      <c r="G3872" s="742">
        <f t="shared" si="117"/>
        <v>2.76</v>
      </c>
      <c r="H3872" s="936" t="s">
        <v>1306</v>
      </c>
      <c r="I3872" s="1232"/>
    </row>
    <row r="3873" spans="1:9" s="357" customFormat="1" ht="18" customHeight="1">
      <c r="A3873" s="381"/>
      <c r="B3873" s="422"/>
      <c r="C3873" s="383">
        <v>2</v>
      </c>
      <c r="D3873" s="384">
        <v>10.4</v>
      </c>
      <c r="E3873" s="384">
        <v>0.23</v>
      </c>
      <c r="F3873" s="384">
        <v>0.6</v>
      </c>
      <c r="G3873" s="742">
        <f t="shared" si="117"/>
        <v>2.87</v>
      </c>
      <c r="H3873" s="936" t="s">
        <v>1306</v>
      </c>
      <c r="I3873" s="1232"/>
    </row>
    <row r="3874" spans="1:9" s="357" customFormat="1" ht="18" customHeight="1">
      <c r="A3874" s="381"/>
      <c r="B3874" s="422" t="s">
        <v>1347</v>
      </c>
      <c r="C3874" s="383">
        <v>2</v>
      </c>
      <c r="D3874" s="384">
        <v>6.5</v>
      </c>
      <c r="E3874" s="384">
        <v>0.23</v>
      </c>
      <c r="F3874" s="384">
        <v>0.6</v>
      </c>
      <c r="G3874" s="742">
        <f t="shared" si="117"/>
        <v>1.79</v>
      </c>
      <c r="H3874" s="936" t="s">
        <v>1306</v>
      </c>
      <c r="I3874" s="1232"/>
    </row>
    <row r="3875" spans="1:9" s="357" customFormat="1" ht="18" customHeight="1">
      <c r="A3875" s="381"/>
      <c r="B3875" s="422"/>
      <c r="C3875" s="383">
        <v>2</v>
      </c>
      <c r="D3875" s="384">
        <v>6</v>
      </c>
      <c r="E3875" s="384">
        <v>0.23</v>
      </c>
      <c r="F3875" s="384">
        <v>0.6</v>
      </c>
      <c r="G3875" s="742">
        <f t="shared" si="117"/>
        <v>1.66</v>
      </c>
      <c r="H3875" s="936" t="s">
        <v>1306</v>
      </c>
      <c r="I3875" s="1232"/>
    </row>
    <row r="3876" spans="1:9" s="357" customFormat="1" ht="18" customHeight="1">
      <c r="A3876" s="401"/>
      <c r="B3876" s="382" t="s">
        <v>1354</v>
      </c>
      <c r="C3876" s="383"/>
      <c r="D3876" s="384"/>
      <c r="E3876" s="384"/>
      <c r="F3876" s="384"/>
      <c r="G3876" s="742">
        <f t="shared" si="117"/>
        <v>0</v>
      </c>
      <c r="H3876" s="936" t="s">
        <v>1306</v>
      </c>
      <c r="I3876" s="1232"/>
    </row>
    <row r="3877" spans="1:9" s="357" customFormat="1" ht="18" customHeight="1">
      <c r="A3877" s="401"/>
      <c r="B3877" s="390" t="s">
        <v>1349</v>
      </c>
      <c r="C3877" s="383">
        <v>2</v>
      </c>
      <c r="D3877" s="384">
        <f>6.45+6.45+6.3+6.45+6.45+2</f>
        <v>34.1</v>
      </c>
      <c r="E3877" s="384">
        <v>0.23</v>
      </c>
      <c r="F3877" s="384">
        <v>0.6</v>
      </c>
      <c r="G3877" s="742">
        <f t="shared" si="117"/>
        <v>9.41</v>
      </c>
      <c r="H3877" s="936" t="s">
        <v>1306</v>
      </c>
      <c r="I3877" s="1232"/>
    </row>
    <row r="3878" spans="1:9" s="357" customFormat="1" ht="18" customHeight="1">
      <c r="A3878" s="401"/>
      <c r="B3878" s="390" t="s">
        <v>1350</v>
      </c>
      <c r="C3878" s="383">
        <v>2</v>
      </c>
      <c r="D3878" s="384">
        <f>6.4+6.4+1.475+1.825</f>
        <v>16.100000000000001</v>
      </c>
      <c r="E3878" s="384">
        <v>0.23</v>
      </c>
      <c r="F3878" s="384">
        <v>0.6</v>
      </c>
      <c r="G3878" s="742">
        <f t="shared" si="117"/>
        <v>4.4400000000000004</v>
      </c>
      <c r="H3878" s="936" t="s">
        <v>1306</v>
      </c>
      <c r="I3878" s="1232"/>
    </row>
    <row r="3879" spans="1:9" s="357" customFormat="1" ht="18" customHeight="1">
      <c r="A3879" s="401"/>
      <c r="B3879" s="390" t="s">
        <v>1351</v>
      </c>
      <c r="C3879" s="383">
        <v>2</v>
      </c>
      <c r="D3879" s="384">
        <f>1.775+6.4+4.925</f>
        <v>13.100000000000001</v>
      </c>
      <c r="E3879" s="384">
        <v>0.23</v>
      </c>
      <c r="F3879" s="384">
        <v>0.6</v>
      </c>
      <c r="G3879" s="742">
        <f t="shared" si="117"/>
        <v>3.62</v>
      </c>
      <c r="H3879" s="936" t="s">
        <v>1306</v>
      </c>
      <c r="I3879" s="1232"/>
    </row>
    <row r="3880" spans="1:9" s="357" customFormat="1" ht="18" customHeight="1">
      <c r="A3880" s="401"/>
      <c r="B3880" s="390" t="s">
        <v>1352</v>
      </c>
      <c r="C3880" s="383">
        <v>2</v>
      </c>
      <c r="D3880" s="384">
        <v>10.5</v>
      </c>
      <c r="E3880" s="384">
        <v>0.23</v>
      </c>
      <c r="F3880" s="384">
        <v>0.6</v>
      </c>
      <c r="G3880" s="742">
        <f t="shared" si="117"/>
        <v>2.9</v>
      </c>
      <c r="H3880" s="936" t="s">
        <v>1306</v>
      </c>
      <c r="I3880" s="1232"/>
    </row>
    <row r="3881" spans="1:9" s="357" customFormat="1" ht="18" customHeight="1">
      <c r="A3881" s="401"/>
      <c r="B3881" s="390" t="s">
        <v>1353</v>
      </c>
      <c r="C3881" s="383">
        <v>2</v>
      </c>
      <c r="D3881" s="384">
        <f>1.6+1.775+6.4+6.4+1.475+1.825</f>
        <v>19.475000000000001</v>
      </c>
      <c r="E3881" s="384">
        <v>0.23</v>
      </c>
      <c r="F3881" s="384">
        <v>0.6</v>
      </c>
      <c r="G3881" s="742">
        <f t="shared" si="117"/>
        <v>5.38</v>
      </c>
      <c r="H3881" s="936" t="s">
        <v>1306</v>
      </c>
      <c r="I3881" s="1232"/>
    </row>
    <row r="3882" spans="1:9" ht="18" customHeight="1">
      <c r="A3882" s="354" t="s">
        <v>1442</v>
      </c>
      <c r="B3882" s="64" t="s">
        <v>1493</v>
      </c>
      <c r="C3882" s="70"/>
      <c r="D3882" s="68"/>
      <c r="E3882" s="68"/>
      <c r="F3882" s="68"/>
      <c r="G3882" s="742">
        <f t="shared" ref="G3882:G3914" si="118">IF(C3882&lt;&gt;0,ROUND(PRODUCT(D3882:F3882)*C3882,2),)</f>
        <v>0</v>
      </c>
      <c r="H3882" s="929"/>
      <c r="I3882" s="1133"/>
    </row>
    <row r="3883" spans="1:9" s="553" customFormat="1" ht="18" customHeight="1">
      <c r="A3883" s="554"/>
      <c r="B3883" s="63" t="s">
        <v>942</v>
      </c>
      <c r="C3883" s="580">
        <v>1</v>
      </c>
      <c r="D3883" s="581">
        <f>6.45+6.4+6.4+3.25-1.15-1.15</f>
        <v>20.200000000000003</v>
      </c>
      <c r="E3883" s="581">
        <v>0.23</v>
      </c>
      <c r="F3883" s="405">
        <v>0.6</v>
      </c>
      <c r="G3883" s="742">
        <f t="shared" si="118"/>
        <v>2.79</v>
      </c>
      <c r="H3883" s="929" t="s">
        <v>1442</v>
      </c>
      <c r="I3883" s="1255"/>
    </row>
    <row r="3884" spans="1:9" s="553" customFormat="1" ht="18" customHeight="1">
      <c r="A3884" s="554"/>
      <c r="B3884" s="63" t="s">
        <v>1086</v>
      </c>
      <c r="C3884" s="580">
        <v>1</v>
      </c>
      <c r="D3884" s="581">
        <f>6.45+6.4+6.4+3.25-1.15-1.15</f>
        <v>20.200000000000003</v>
      </c>
      <c r="E3884" s="581">
        <v>0.23</v>
      </c>
      <c r="F3884" s="405">
        <v>0.6</v>
      </c>
      <c r="G3884" s="742">
        <f t="shared" si="118"/>
        <v>2.79</v>
      </c>
      <c r="H3884" s="929" t="s">
        <v>1442</v>
      </c>
      <c r="I3884" s="1255"/>
    </row>
    <row r="3885" spans="1:9" s="553" customFormat="1" ht="18" customHeight="1">
      <c r="A3885" s="554"/>
      <c r="B3885" s="63" t="s">
        <v>1291</v>
      </c>
      <c r="C3885" s="580">
        <v>2</v>
      </c>
      <c r="D3885" s="581">
        <f>2.2+2</f>
        <v>4.2</v>
      </c>
      <c r="E3885" s="581">
        <v>0.23</v>
      </c>
      <c r="F3885" s="405">
        <v>0.6</v>
      </c>
      <c r="G3885" s="742">
        <f t="shared" si="118"/>
        <v>1.1599999999999999</v>
      </c>
      <c r="H3885" s="929" t="s">
        <v>1442</v>
      </c>
      <c r="I3885" s="1255"/>
    </row>
    <row r="3886" spans="1:9" s="553" customFormat="1" ht="18" customHeight="1">
      <c r="A3886" s="554"/>
      <c r="B3886" s="63" t="s">
        <v>1292</v>
      </c>
      <c r="C3886" s="580">
        <v>2</v>
      </c>
      <c r="D3886" s="581">
        <f>2.2+2</f>
        <v>4.2</v>
      </c>
      <c r="E3886" s="581">
        <v>0.23</v>
      </c>
      <c r="F3886" s="405">
        <v>0.6</v>
      </c>
      <c r="G3886" s="742">
        <f t="shared" si="118"/>
        <v>1.1599999999999999</v>
      </c>
      <c r="H3886" s="929" t="s">
        <v>1442</v>
      </c>
      <c r="I3886" s="1255"/>
    </row>
    <row r="3887" spans="1:9" s="553" customFormat="1" ht="18" customHeight="1">
      <c r="A3887" s="554"/>
      <c r="B3887" s="63" t="s">
        <v>1293</v>
      </c>
      <c r="C3887" s="580">
        <v>1</v>
      </c>
      <c r="D3887" s="586">
        <v>10.91</v>
      </c>
      <c r="E3887" s="581">
        <v>0.23</v>
      </c>
      <c r="F3887" s="405">
        <v>0.6</v>
      </c>
      <c r="G3887" s="742">
        <f t="shared" si="118"/>
        <v>1.51</v>
      </c>
      <c r="H3887" s="929" t="s">
        <v>1442</v>
      </c>
      <c r="I3887" s="1255"/>
    </row>
    <row r="3888" spans="1:9" s="553" customFormat="1" ht="18" customHeight="1">
      <c r="A3888" s="554"/>
      <c r="B3888" s="63" t="s">
        <v>1294</v>
      </c>
      <c r="C3888" s="580">
        <v>1</v>
      </c>
      <c r="D3888" s="586">
        <v>10.91</v>
      </c>
      <c r="E3888" s="581">
        <v>0.23</v>
      </c>
      <c r="F3888" s="405">
        <v>0.6</v>
      </c>
      <c r="G3888" s="742">
        <f t="shared" si="118"/>
        <v>1.51</v>
      </c>
      <c r="H3888" s="929" t="s">
        <v>1442</v>
      </c>
      <c r="I3888" s="1255"/>
    </row>
    <row r="3889" spans="1:9" s="553" customFormat="1" ht="18" customHeight="1">
      <c r="A3889" s="554"/>
      <c r="B3889" s="63" t="s">
        <v>1295</v>
      </c>
      <c r="C3889" s="580">
        <v>1</v>
      </c>
      <c r="D3889" s="586">
        <v>14.275</v>
      </c>
      <c r="E3889" s="581">
        <v>0.23</v>
      </c>
      <c r="F3889" s="405">
        <v>0.6</v>
      </c>
      <c r="G3889" s="742">
        <f t="shared" si="118"/>
        <v>1.97</v>
      </c>
      <c r="H3889" s="929" t="s">
        <v>1442</v>
      </c>
      <c r="I3889" s="1255"/>
    </row>
    <row r="3890" spans="1:9" s="553" customFormat="1" ht="18" customHeight="1">
      <c r="A3890" s="554"/>
      <c r="B3890" s="63" t="s">
        <v>1296</v>
      </c>
      <c r="C3890" s="580">
        <v>1</v>
      </c>
      <c r="D3890" s="586">
        <v>14.275</v>
      </c>
      <c r="E3890" s="581">
        <v>0.23</v>
      </c>
      <c r="F3890" s="405">
        <v>0.6</v>
      </c>
      <c r="G3890" s="742">
        <f t="shared" si="118"/>
        <v>1.97</v>
      </c>
      <c r="H3890" s="929" t="s">
        <v>1442</v>
      </c>
      <c r="I3890" s="1255"/>
    </row>
    <row r="3891" spans="1:9" s="553" customFormat="1" ht="18" customHeight="1">
      <c r="A3891" s="554"/>
      <c r="B3891" s="63" t="s">
        <v>1113</v>
      </c>
      <c r="C3891" s="580">
        <v>1</v>
      </c>
      <c r="D3891" s="581">
        <f>3.2+6.45+3.25-1.025-1.075</f>
        <v>10.8</v>
      </c>
      <c r="E3891" s="581">
        <v>0.23</v>
      </c>
      <c r="F3891" s="405">
        <v>0.6</v>
      </c>
      <c r="G3891" s="742">
        <f t="shared" si="118"/>
        <v>1.49</v>
      </c>
      <c r="H3891" s="929" t="s">
        <v>1442</v>
      </c>
      <c r="I3891" s="1255"/>
    </row>
    <row r="3892" spans="1:9" s="553" customFormat="1" ht="18" customHeight="1">
      <c r="A3892" s="554"/>
      <c r="B3892" s="63" t="s">
        <v>1297</v>
      </c>
      <c r="C3892" s="580">
        <v>1</v>
      </c>
      <c r="D3892" s="581">
        <f>3.2+6.45+3.25-1.025-1.075</f>
        <v>10.8</v>
      </c>
      <c r="E3892" s="581">
        <v>0.23</v>
      </c>
      <c r="F3892" s="405">
        <v>0.6</v>
      </c>
      <c r="G3892" s="742">
        <f t="shared" si="118"/>
        <v>1.49</v>
      </c>
      <c r="H3892" s="929" t="s">
        <v>1442</v>
      </c>
      <c r="I3892" s="1255"/>
    </row>
    <row r="3893" spans="1:9" s="553" customFormat="1" ht="18" customHeight="1">
      <c r="A3893" s="554"/>
      <c r="B3893" s="63" t="s">
        <v>1111</v>
      </c>
      <c r="C3893" s="580">
        <v>1</v>
      </c>
      <c r="D3893" s="581">
        <f>3.2+6.45+6.45-1.025-1.05</f>
        <v>14.025</v>
      </c>
      <c r="E3893" s="581">
        <v>0.23</v>
      </c>
      <c r="F3893" s="405">
        <v>0.6</v>
      </c>
      <c r="G3893" s="742">
        <f t="shared" si="118"/>
        <v>1.94</v>
      </c>
      <c r="H3893" s="929" t="s">
        <v>1442</v>
      </c>
      <c r="I3893" s="1255"/>
    </row>
    <row r="3894" spans="1:9" s="553" customFormat="1" ht="18" customHeight="1">
      <c r="A3894" s="554"/>
      <c r="B3894" s="63" t="s">
        <v>1112</v>
      </c>
      <c r="C3894" s="580">
        <v>1</v>
      </c>
      <c r="D3894" s="581">
        <f>3.2+6.45+6.45-1.025-1.05</f>
        <v>14.025</v>
      </c>
      <c r="E3894" s="581">
        <v>0.23</v>
      </c>
      <c r="F3894" s="405">
        <v>0.6</v>
      </c>
      <c r="G3894" s="742">
        <f t="shared" si="118"/>
        <v>1.94</v>
      </c>
      <c r="H3894" s="929" t="s">
        <v>1442</v>
      </c>
      <c r="I3894" s="1255"/>
    </row>
    <row r="3895" spans="1:9" s="553" customFormat="1" ht="18" customHeight="1">
      <c r="A3895" s="554"/>
      <c r="B3895" s="63" t="s">
        <v>1363</v>
      </c>
      <c r="C3895" s="580">
        <v>1</v>
      </c>
      <c r="D3895" s="581">
        <v>6.3</v>
      </c>
      <c r="E3895" s="581">
        <v>0.23</v>
      </c>
      <c r="F3895" s="405">
        <v>0.6</v>
      </c>
      <c r="G3895" s="742">
        <f t="shared" si="118"/>
        <v>0.87</v>
      </c>
      <c r="H3895" s="929" t="s">
        <v>1442</v>
      </c>
      <c r="I3895" s="1255"/>
    </row>
    <row r="3896" spans="1:9" s="553" customFormat="1" ht="18" customHeight="1">
      <c r="A3896" s="554"/>
      <c r="B3896" s="63" t="s">
        <v>1365</v>
      </c>
      <c r="C3896" s="580">
        <v>2</v>
      </c>
      <c r="D3896" s="581">
        <v>2.9929999999999999</v>
      </c>
      <c r="E3896" s="581">
        <v>0.23</v>
      </c>
      <c r="F3896" s="405">
        <v>0.6</v>
      </c>
      <c r="G3896" s="742">
        <f t="shared" si="118"/>
        <v>0.83</v>
      </c>
      <c r="H3896" s="929" t="s">
        <v>1442</v>
      </c>
      <c r="I3896" s="1255"/>
    </row>
    <row r="3897" spans="1:9" s="556" customFormat="1" ht="18" customHeight="1">
      <c r="A3897" s="974"/>
      <c r="B3897" s="63" t="s">
        <v>1452</v>
      </c>
      <c r="C3897" s="580">
        <v>6</v>
      </c>
      <c r="D3897" s="581">
        <v>3.1</v>
      </c>
      <c r="E3897" s="581">
        <v>0.115</v>
      </c>
      <c r="F3897" s="581">
        <v>0.15</v>
      </c>
      <c r="G3897" s="742">
        <f t="shared" si="118"/>
        <v>0.32</v>
      </c>
      <c r="H3897" s="939" t="s">
        <v>1442</v>
      </c>
      <c r="I3897" s="1256"/>
    </row>
    <row r="3898" spans="1:9" s="494" customFormat="1" ht="18" customHeight="1">
      <c r="A3898" s="493"/>
      <c r="B3898" s="362" t="s">
        <v>1621</v>
      </c>
      <c r="C3898" s="573">
        <v>2</v>
      </c>
      <c r="D3898" s="574">
        <v>11.5</v>
      </c>
      <c r="E3898" s="416">
        <v>0.23</v>
      </c>
      <c r="F3898" s="416">
        <v>0.6</v>
      </c>
      <c r="G3898" s="742">
        <f t="shared" si="118"/>
        <v>3.17</v>
      </c>
      <c r="H3898" s="929" t="s">
        <v>1442</v>
      </c>
      <c r="I3898" s="1230"/>
    </row>
    <row r="3899" spans="1:9" s="488" customFormat="1" ht="18" customHeight="1">
      <c r="A3899" s="490"/>
      <c r="B3899" s="64"/>
      <c r="C3899" s="404">
        <v>2</v>
      </c>
      <c r="D3899" s="405">
        <f>11-0.23-0.23</f>
        <v>10.54</v>
      </c>
      <c r="E3899" s="416">
        <v>0.23</v>
      </c>
      <c r="F3899" s="416">
        <v>0.6</v>
      </c>
      <c r="G3899" s="742">
        <f t="shared" si="118"/>
        <v>2.91</v>
      </c>
      <c r="H3899" s="929" t="s">
        <v>1442</v>
      </c>
      <c r="I3899" s="1229"/>
    </row>
    <row r="3900" spans="1:9" s="488" customFormat="1" ht="18" customHeight="1">
      <c r="A3900" s="490"/>
      <c r="B3900" s="63" t="s">
        <v>1622</v>
      </c>
      <c r="C3900" s="404">
        <v>2</v>
      </c>
      <c r="D3900" s="405">
        <v>15.75</v>
      </c>
      <c r="E3900" s="416">
        <v>0.23</v>
      </c>
      <c r="F3900" s="416">
        <v>0.6</v>
      </c>
      <c r="G3900" s="742">
        <f t="shared" si="118"/>
        <v>4.3499999999999996</v>
      </c>
      <c r="H3900" s="929" t="s">
        <v>1442</v>
      </c>
      <c r="I3900" s="1229"/>
    </row>
    <row r="3901" spans="1:9" s="488" customFormat="1" ht="18" customHeight="1">
      <c r="A3901" s="490"/>
      <c r="B3901" s="63" t="s">
        <v>1623</v>
      </c>
      <c r="C3901" s="404">
        <v>2</v>
      </c>
      <c r="D3901" s="405">
        <v>20</v>
      </c>
      <c r="E3901" s="416">
        <v>0.23</v>
      </c>
      <c r="F3901" s="416">
        <v>0.6</v>
      </c>
      <c r="G3901" s="742">
        <f t="shared" si="118"/>
        <v>5.52</v>
      </c>
      <c r="H3901" s="929" t="s">
        <v>1442</v>
      </c>
      <c r="I3901" s="1229"/>
    </row>
    <row r="3902" spans="1:9" s="488" customFormat="1" ht="18" customHeight="1">
      <c r="A3902" s="490"/>
      <c r="B3902" s="63"/>
      <c r="C3902" s="404">
        <v>2</v>
      </c>
      <c r="D3902" s="405">
        <v>6</v>
      </c>
      <c r="E3902" s="416">
        <v>0.23</v>
      </c>
      <c r="F3902" s="416">
        <v>0.6</v>
      </c>
      <c r="G3902" s="742">
        <f t="shared" si="118"/>
        <v>1.66</v>
      </c>
      <c r="H3902" s="929" t="s">
        <v>1442</v>
      </c>
      <c r="I3902" s="1229"/>
    </row>
    <row r="3903" spans="1:9" s="494" customFormat="1" ht="18" customHeight="1">
      <c r="A3903" s="493"/>
      <c r="B3903" s="63" t="s">
        <v>1624</v>
      </c>
      <c r="C3903" s="580">
        <v>2</v>
      </c>
      <c r="D3903" s="581">
        <f>6+0.46+0.46</f>
        <v>6.92</v>
      </c>
      <c r="E3903" s="581">
        <v>0.46</v>
      </c>
      <c r="F3903" s="581">
        <v>0.3</v>
      </c>
      <c r="G3903" s="742">
        <f t="shared" si="118"/>
        <v>1.91</v>
      </c>
      <c r="H3903" s="929" t="s">
        <v>1442</v>
      </c>
      <c r="I3903" s="1230"/>
    </row>
    <row r="3904" spans="1:9" s="494" customFormat="1" ht="18" customHeight="1">
      <c r="A3904" s="493"/>
      <c r="B3904" s="63"/>
      <c r="C3904" s="580">
        <v>2</v>
      </c>
      <c r="D3904" s="581">
        <f>6+0.375+0.375</f>
        <v>6.75</v>
      </c>
      <c r="E3904" s="581">
        <v>0.375</v>
      </c>
      <c r="F3904" s="581">
        <v>0.3</v>
      </c>
      <c r="G3904" s="742">
        <f t="shared" si="118"/>
        <v>1.52</v>
      </c>
      <c r="H3904" s="929" t="s">
        <v>1442</v>
      </c>
      <c r="I3904" s="1230"/>
    </row>
    <row r="3905" spans="1:10" s="494" customFormat="1" ht="18" customHeight="1">
      <c r="A3905" s="493"/>
      <c r="B3905" s="63"/>
      <c r="C3905" s="580">
        <v>2</v>
      </c>
      <c r="D3905" s="581">
        <f>6+0.23+0.23</f>
        <v>6.4600000000000009</v>
      </c>
      <c r="E3905" s="581">
        <v>0.23</v>
      </c>
      <c r="F3905" s="581">
        <v>2.9</v>
      </c>
      <c r="G3905" s="742">
        <f t="shared" si="118"/>
        <v>8.6199999999999992</v>
      </c>
      <c r="H3905" s="929" t="s">
        <v>1442</v>
      </c>
      <c r="I3905" s="1230"/>
    </row>
    <row r="3906" spans="1:10" s="488" customFormat="1" ht="18" customHeight="1">
      <c r="A3906" s="490"/>
      <c r="B3906" s="356"/>
      <c r="C3906" s="587">
        <v>2</v>
      </c>
      <c r="D3906" s="588">
        <v>3</v>
      </c>
      <c r="E3906" s="581">
        <v>0.46</v>
      </c>
      <c r="F3906" s="581">
        <v>0.3</v>
      </c>
      <c r="G3906" s="742">
        <f t="shared" si="118"/>
        <v>0.83</v>
      </c>
      <c r="H3906" s="929" t="s">
        <v>1442</v>
      </c>
      <c r="I3906" s="1229"/>
    </row>
    <row r="3907" spans="1:10" s="488" customFormat="1" ht="18" customHeight="1">
      <c r="A3907" s="490"/>
      <c r="B3907" s="356"/>
      <c r="C3907" s="587">
        <v>2</v>
      </c>
      <c r="D3907" s="588">
        <v>3</v>
      </c>
      <c r="E3907" s="581">
        <v>0.375</v>
      </c>
      <c r="F3907" s="581">
        <v>0.3</v>
      </c>
      <c r="G3907" s="742">
        <f t="shared" si="118"/>
        <v>0.68</v>
      </c>
      <c r="H3907" s="929" t="s">
        <v>1442</v>
      </c>
      <c r="I3907" s="1229"/>
    </row>
    <row r="3908" spans="1:10" s="488" customFormat="1" ht="18" customHeight="1">
      <c r="A3908" s="490"/>
      <c r="B3908" s="356"/>
      <c r="C3908" s="587">
        <v>2</v>
      </c>
      <c r="D3908" s="588">
        <v>3</v>
      </c>
      <c r="E3908" s="581">
        <v>0.23</v>
      </c>
      <c r="F3908" s="581">
        <v>2.9</v>
      </c>
      <c r="G3908" s="742">
        <f t="shared" si="118"/>
        <v>4</v>
      </c>
      <c r="H3908" s="929" t="s">
        <v>1442</v>
      </c>
      <c r="I3908" s="1229"/>
    </row>
    <row r="3909" spans="1:10" s="494" customFormat="1" ht="18" customHeight="1">
      <c r="A3909" s="493"/>
      <c r="B3909" s="356" t="s">
        <v>1724</v>
      </c>
      <c r="C3909" s="587">
        <v>2</v>
      </c>
      <c r="D3909" s="588">
        <f>2.5+0.46</f>
        <v>2.96</v>
      </c>
      <c r="E3909" s="581">
        <v>0.46</v>
      </c>
      <c r="F3909" s="581">
        <v>0.3</v>
      </c>
      <c r="G3909" s="742">
        <f t="shared" si="118"/>
        <v>0.82</v>
      </c>
      <c r="H3909" s="929" t="s">
        <v>1442</v>
      </c>
      <c r="I3909" s="1230"/>
    </row>
    <row r="3910" spans="1:10" s="494" customFormat="1" ht="18" customHeight="1">
      <c r="A3910" s="493"/>
      <c r="B3910" s="356"/>
      <c r="C3910" s="587">
        <v>2</v>
      </c>
      <c r="D3910" s="588">
        <v>2.5</v>
      </c>
      <c r="E3910" s="581">
        <v>0.23</v>
      </c>
      <c r="F3910" s="581">
        <v>2.5</v>
      </c>
      <c r="G3910" s="742">
        <f t="shared" si="118"/>
        <v>2.88</v>
      </c>
      <c r="H3910" s="929" t="s">
        <v>1442</v>
      </c>
      <c r="I3910" s="1230"/>
    </row>
    <row r="3911" spans="1:10" s="488" customFormat="1" ht="18" customHeight="1">
      <c r="A3911" s="490"/>
      <c r="B3911" s="64"/>
      <c r="C3911" s="580">
        <v>1</v>
      </c>
      <c r="D3911" s="581">
        <v>1.04</v>
      </c>
      <c r="E3911" s="581">
        <v>0.46</v>
      </c>
      <c r="F3911" s="581">
        <v>0.3</v>
      </c>
      <c r="G3911" s="742">
        <f t="shared" si="118"/>
        <v>0.14000000000000001</v>
      </c>
      <c r="H3911" s="929" t="s">
        <v>1442</v>
      </c>
      <c r="I3911" s="1229"/>
    </row>
    <row r="3912" spans="1:10" s="494" customFormat="1" ht="18" customHeight="1">
      <c r="A3912" s="493"/>
      <c r="B3912" s="63"/>
      <c r="C3912" s="580">
        <v>1</v>
      </c>
      <c r="D3912" s="581">
        <v>1.04</v>
      </c>
      <c r="E3912" s="581">
        <v>0.23</v>
      </c>
      <c r="F3912" s="581">
        <v>2.5</v>
      </c>
      <c r="G3912" s="742">
        <f t="shared" si="118"/>
        <v>0.6</v>
      </c>
      <c r="H3912" s="929" t="s">
        <v>1442</v>
      </c>
      <c r="I3912" s="1230"/>
    </row>
    <row r="3913" spans="1:10" s="494" customFormat="1" ht="18" customHeight="1">
      <c r="A3913" s="493"/>
      <c r="B3913" s="63" t="s">
        <v>1625</v>
      </c>
      <c r="C3913" s="404">
        <v>2</v>
      </c>
      <c r="D3913" s="405">
        <v>4.625</v>
      </c>
      <c r="E3913" s="405">
        <v>0.23</v>
      </c>
      <c r="F3913" s="405">
        <v>0.6</v>
      </c>
      <c r="G3913" s="742">
        <f t="shared" si="118"/>
        <v>1.28</v>
      </c>
      <c r="H3913" s="929" t="s">
        <v>1442</v>
      </c>
      <c r="I3913" s="1230"/>
    </row>
    <row r="3914" spans="1:10" s="494" customFormat="1" ht="18" customHeight="1">
      <c r="A3914" s="493"/>
      <c r="B3914" s="63"/>
      <c r="C3914" s="404">
        <v>2</v>
      </c>
      <c r="D3914" s="405">
        <v>3.5750000000000002</v>
      </c>
      <c r="E3914" s="405">
        <v>0.23</v>
      </c>
      <c r="F3914" s="405">
        <v>0.6</v>
      </c>
      <c r="G3914" s="742">
        <f t="shared" si="118"/>
        <v>0.99</v>
      </c>
      <c r="H3914" s="929" t="s">
        <v>1442</v>
      </c>
      <c r="I3914" s="1230"/>
    </row>
    <row r="3915" spans="1:10" s="426" customFormat="1" ht="18" customHeight="1">
      <c r="A3915" s="417"/>
      <c r="B3915" s="412"/>
      <c r="C3915" s="418"/>
      <c r="D3915" s="419"/>
      <c r="E3915" s="420"/>
      <c r="F3915" s="420"/>
      <c r="G3915" s="421"/>
      <c r="H3915" s="975"/>
      <c r="I3915" s="1257"/>
      <c r="J3915" s="357"/>
    </row>
    <row r="3916" spans="1:10" s="357" customFormat="1" ht="18" customHeight="1">
      <c r="A3916" s="965"/>
      <c r="B3916" s="874" t="s">
        <v>2188</v>
      </c>
      <c r="C3916" s="966"/>
      <c r="D3916" s="967"/>
      <c r="E3916" s="967"/>
      <c r="F3916" s="967"/>
      <c r="G3916" s="968">
        <f>SUM(G3752:G3915)</f>
        <v>359.95000000000022</v>
      </c>
      <c r="H3916" s="976" t="s">
        <v>347</v>
      </c>
      <c r="I3916" s="1232" t="s">
        <v>2302</v>
      </c>
    </row>
    <row r="3917" spans="1:10" s="704" customFormat="1" ht="18" customHeight="1">
      <c r="A3917" s="934"/>
      <c r="B3917" s="566"/>
      <c r="C3917" s="565"/>
      <c r="D3917" s="254"/>
      <c r="E3917" s="254"/>
      <c r="F3917" s="254"/>
      <c r="G3917" s="707"/>
      <c r="H3917" s="975"/>
      <c r="I3917" s="1250"/>
    </row>
    <row r="3918" spans="1:10" s="357" customFormat="1" ht="18" customHeight="1">
      <c r="A3918" s="388" t="s">
        <v>2303</v>
      </c>
      <c r="B3918" s="389" t="s">
        <v>1924</v>
      </c>
      <c r="C3918" s="383"/>
      <c r="D3918" s="386"/>
      <c r="E3918" s="386"/>
      <c r="F3918" s="386"/>
      <c r="G3918" s="386"/>
      <c r="H3918" s="936"/>
      <c r="I3918" s="1232"/>
      <c r="J3918" s="686" t="s">
        <v>2187</v>
      </c>
    </row>
    <row r="3919" spans="1:10" s="699" customFormat="1" ht="18" customHeight="1">
      <c r="A3919" s="697" t="s">
        <v>2208</v>
      </c>
      <c r="B3919" s="698" t="s">
        <v>939</v>
      </c>
      <c r="C3919" s="589"/>
      <c r="D3919" s="590"/>
      <c r="E3919" s="416"/>
      <c r="F3919" s="416"/>
      <c r="G3919" s="416">
        <f t="shared" ref="G3919" si="119">PRODUCT(C3919:F3919)</f>
        <v>0</v>
      </c>
      <c r="H3919" s="977"/>
      <c r="I3919" s="1258"/>
      <c r="J3919" s="700"/>
    </row>
    <row r="3920" spans="1:10" s="699" customFormat="1" ht="18" customHeight="1">
      <c r="A3920" s="697"/>
      <c r="B3920" s="701" t="s">
        <v>2062</v>
      </c>
      <c r="C3920" s="415">
        <v>2</v>
      </c>
      <c r="D3920" s="416">
        <v>0.9</v>
      </c>
      <c r="E3920" s="416">
        <v>2.9750000000000001</v>
      </c>
      <c r="F3920" s="416"/>
      <c r="G3920" s="742">
        <f t="shared" ref="G3920:G3943" si="120">IF(C3920&lt;&gt;0,ROUND(PRODUCT(D3920:F3920)*C3920,2),)</f>
        <v>5.36</v>
      </c>
      <c r="H3920" s="977" t="s">
        <v>2208</v>
      </c>
      <c r="I3920" s="1258"/>
      <c r="J3920" s="700"/>
    </row>
    <row r="3921" spans="1:10" s="699" customFormat="1" ht="18" customHeight="1">
      <c r="A3921" s="697"/>
      <c r="B3921" s="412" t="s">
        <v>1132</v>
      </c>
      <c r="C3921" s="415"/>
      <c r="D3921" s="416"/>
      <c r="E3921" s="416"/>
      <c r="F3921" s="416"/>
      <c r="G3921" s="742">
        <f t="shared" si="120"/>
        <v>0</v>
      </c>
      <c r="H3921" s="977" t="s">
        <v>2208</v>
      </c>
      <c r="I3921" s="1258"/>
      <c r="J3921" s="700"/>
    </row>
    <row r="3922" spans="1:10" s="699" customFormat="1" ht="18" customHeight="1">
      <c r="A3922" s="697"/>
      <c r="B3922" s="701" t="s">
        <v>1133</v>
      </c>
      <c r="C3922" s="415">
        <v>1</v>
      </c>
      <c r="D3922" s="416">
        <f>3.2+0.115-0.1+1.2+0.115</f>
        <v>4.53</v>
      </c>
      <c r="E3922" s="416">
        <v>2.9750000000000001</v>
      </c>
      <c r="F3922" s="416"/>
      <c r="G3922" s="742">
        <f t="shared" si="120"/>
        <v>13.48</v>
      </c>
      <c r="H3922" s="977" t="s">
        <v>2208</v>
      </c>
      <c r="I3922" s="1258"/>
      <c r="J3922" s="700"/>
    </row>
    <row r="3923" spans="1:10" s="699" customFormat="1" ht="18" customHeight="1">
      <c r="A3923" s="697"/>
      <c r="B3923" s="701" t="s">
        <v>1134</v>
      </c>
      <c r="C3923" s="589">
        <v>-1</v>
      </c>
      <c r="D3923" s="590">
        <v>1.2</v>
      </c>
      <c r="E3923" s="416">
        <v>2.1</v>
      </c>
      <c r="F3923" s="416"/>
      <c r="G3923" s="742">
        <f t="shared" si="120"/>
        <v>-2.52</v>
      </c>
      <c r="H3923" s="977" t="s">
        <v>2208</v>
      </c>
      <c r="I3923" s="1258"/>
      <c r="J3923" s="700"/>
    </row>
    <row r="3924" spans="1:10" s="699" customFormat="1" ht="18" customHeight="1">
      <c r="A3924" s="697"/>
      <c r="B3924" s="701" t="s">
        <v>2150</v>
      </c>
      <c r="C3924" s="415">
        <v>1</v>
      </c>
      <c r="D3924" s="416">
        <f>3.2+0.115-0.1</f>
        <v>3.2150000000000003</v>
      </c>
      <c r="E3924" s="416">
        <v>2.9750000000000001</v>
      </c>
      <c r="F3924" s="416"/>
      <c r="G3924" s="742">
        <f t="shared" si="120"/>
        <v>9.56</v>
      </c>
      <c r="H3924" s="977" t="s">
        <v>2208</v>
      </c>
      <c r="I3924" s="1258"/>
      <c r="J3924" s="700"/>
    </row>
    <row r="3925" spans="1:10" s="699" customFormat="1" ht="18" customHeight="1">
      <c r="A3925" s="697"/>
      <c r="B3925" s="701" t="s">
        <v>1135</v>
      </c>
      <c r="C3925" s="415">
        <v>1</v>
      </c>
      <c r="D3925" s="416">
        <f>5.234-0.19</f>
        <v>5.0439999999999996</v>
      </c>
      <c r="E3925" s="416">
        <v>2.9750000000000001</v>
      </c>
      <c r="F3925" s="416"/>
      <c r="G3925" s="742">
        <f t="shared" si="120"/>
        <v>15.01</v>
      </c>
      <c r="H3925" s="977" t="s">
        <v>2208</v>
      </c>
      <c r="I3925" s="1258"/>
      <c r="J3925" s="700"/>
    </row>
    <row r="3926" spans="1:10" s="699" customFormat="1" ht="18" customHeight="1">
      <c r="A3926" s="697"/>
      <c r="B3926" s="701" t="s">
        <v>1134</v>
      </c>
      <c r="C3926" s="702">
        <v>-2</v>
      </c>
      <c r="D3926" s="590">
        <v>1.2</v>
      </c>
      <c r="E3926" s="416">
        <v>2.1</v>
      </c>
      <c r="F3926" s="416"/>
      <c r="G3926" s="742">
        <f t="shared" si="120"/>
        <v>-5.04</v>
      </c>
      <c r="H3926" s="977" t="s">
        <v>2208</v>
      </c>
      <c r="I3926" s="1258"/>
      <c r="J3926" s="700"/>
    </row>
    <row r="3927" spans="1:10" s="699" customFormat="1" ht="18" customHeight="1">
      <c r="A3927" s="697"/>
      <c r="B3927" s="701" t="s">
        <v>2151</v>
      </c>
      <c r="C3927" s="415">
        <v>1</v>
      </c>
      <c r="D3927" s="457">
        <v>4.0650000000000004</v>
      </c>
      <c r="E3927" s="416">
        <v>2.9750000000000001</v>
      </c>
      <c r="F3927" s="416"/>
      <c r="G3927" s="742">
        <f t="shared" si="120"/>
        <v>12.09</v>
      </c>
      <c r="H3927" s="977" t="s">
        <v>2208</v>
      </c>
      <c r="I3927" s="1258"/>
      <c r="J3927" s="700"/>
    </row>
    <row r="3928" spans="1:10" s="699" customFormat="1" ht="18" customHeight="1">
      <c r="A3928" s="697"/>
      <c r="B3928" s="701" t="s">
        <v>1136</v>
      </c>
      <c r="C3928" s="589">
        <v>1</v>
      </c>
      <c r="D3928" s="593">
        <v>6.0449999999999999</v>
      </c>
      <c r="E3928" s="416">
        <v>2.9750000000000001</v>
      </c>
      <c r="F3928" s="416"/>
      <c r="G3928" s="742">
        <f t="shared" si="120"/>
        <v>17.98</v>
      </c>
      <c r="H3928" s="977" t="s">
        <v>2208</v>
      </c>
      <c r="I3928" s="1258"/>
      <c r="J3928" s="700"/>
    </row>
    <row r="3929" spans="1:10" s="699" customFormat="1" ht="18" customHeight="1">
      <c r="A3929" s="697"/>
      <c r="B3929" s="701" t="s">
        <v>1137</v>
      </c>
      <c r="C3929" s="415">
        <v>-1</v>
      </c>
      <c r="D3929" s="416">
        <v>1</v>
      </c>
      <c r="E3929" s="416">
        <v>0.6</v>
      </c>
      <c r="F3929" s="416"/>
      <c r="G3929" s="742">
        <f t="shared" si="120"/>
        <v>-0.6</v>
      </c>
      <c r="H3929" s="977" t="s">
        <v>2208</v>
      </c>
      <c r="I3929" s="1258"/>
      <c r="J3929" s="700"/>
    </row>
    <row r="3930" spans="1:10" s="699" customFormat="1" ht="18" customHeight="1">
      <c r="A3930" s="697"/>
      <c r="B3930" s="701" t="s">
        <v>2152</v>
      </c>
      <c r="C3930" s="415">
        <v>1</v>
      </c>
      <c r="D3930" s="457">
        <v>7.665</v>
      </c>
      <c r="E3930" s="416">
        <v>2.9750000000000001</v>
      </c>
      <c r="F3930" s="416"/>
      <c r="G3930" s="742">
        <f t="shared" si="120"/>
        <v>22.8</v>
      </c>
      <c r="H3930" s="977" t="s">
        <v>2208</v>
      </c>
      <c r="I3930" s="1258"/>
      <c r="J3930" s="700"/>
    </row>
    <row r="3931" spans="1:10" s="699" customFormat="1" ht="18" customHeight="1">
      <c r="A3931" s="697"/>
      <c r="B3931" s="701" t="s">
        <v>1138</v>
      </c>
      <c r="C3931" s="415">
        <v>1</v>
      </c>
      <c r="D3931" s="416">
        <v>3.0529999999999999</v>
      </c>
      <c r="E3931" s="416">
        <v>2.9750000000000001</v>
      </c>
      <c r="F3931" s="416"/>
      <c r="G3931" s="742">
        <f t="shared" si="120"/>
        <v>9.08</v>
      </c>
      <c r="H3931" s="977" t="s">
        <v>2208</v>
      </c>
      <c r="I3931" s="1258"/>
      <c r="J3931" s="700"/>
    </row>
    <row r="3932" spans="1:10" s="699" customFormat="1" ht="18" customHeight="1">
      <c r="A3932" s="697"/>
      <c r="B3932" s="701" t="s">
        <v>1134</v>
      </c>
      <c r="C3932" s="589">
        <v>-1</v>
      </c>
      <c r="D3932" s="590">
        <v>1.2</v>
      </c>
      <c r="E3932" s="416">
        <v>2.1</v>
      </c>
      <c r="F3932" s="416"/>
      <c r="G3932" s="742">
        <f t="shared" si="120"/>
        <v>-2.52</v>
      </c>
      <c r="H3932" s="977" t="s">
        <v>2208</v>
      </c>
      <c r="I3932" s="1258"/>
      <c r="J3932" s="700"/>
    </row>
    <row r="3933" spans="1:10" s="699" customFormat="1" ht="18" customHeight="1">
      <c r="A3933" s="697"/>
      <c r="B3933" s="701" t="s">
        <v>1138</v>
      </c>
      <c r="C3933" s="415">
        <v>1</v>
      </c>
      <c r="D3933" s="416">
        <v>3.0529999999999999</v>
      </c>
      <c r="E3933" s="416">
        <v>2.9750000000000001</v>
      </c>
      <c r="F3933" s="416"/>
      <c r="G3933" s="742">
        <f t="shared" si="120"/>
        <v>9.08</v>
      </c>
      <c r="H3933" s="977" t="s">
        <v>2208</v>
      </c>
      <c r="I3933" s="1258"/>
      <c r="J3933" s="700"/>
    </row>
    <row r="3934" spans="1:10" s="699" customFormat="1" ht="18" customHeight="1">
      <c r="A3934" s="697"/>
      <c r="B3934" s="701" t="s">
        <v>2153</v>
      </c>
      <c r="C3934" s="415">
        <v>1</v>
      </c>
      <c r="D3934" s="416">
        <v>3.0529999999999999</v>
      </c>
      <c r="E3934" s="416">
        <v>2.9750000000000001</v>
      </c>
      <c r="F3934" s="416"/>
      <c r="G3934" s="742">
        <f t="shared" si="120"/>
        <v>9.08</v>
      </c>
      <c r="H3934" s="977" t="s">
        <v>2208</v>
      </c>
      <c r="I3934" s="1258"/>
      <c r="J3934" s="700"/>
    </row>
    <row r="3935" spans="1:10" s="699" customFormat="1" ht="18" customHeight="1">
      <c r="A3935" s="697"/>
      <c r="B3935" s="701" t="s">
        <v>1139</v>
      </c>
      <c r="C3935" s="415">
        <v>1</v>
      </c>
      <c r="D3935" s="416">
        <f>0.12+0.7+0.48</f>
        <v>1.2999999999999998</v>
      </c>
      <c r="E3935" s="416">
        <v>2.9750000000000001</v>
      </c>
      <c r="F3935" s="416"/>
      <c r="G3935" s="742">
        <f t="shared" si="120"/>
        <v>3.87</v>
      </c>
      <c r="H3935" s="977" t="s">
        <v>2208</v>
      </c>
      <c r="I3935" s="1258"/>
      <c r="J3935" s="700"/>
    </row>
    <row r="3936" spans="1:10" s="699" customFormat="1" ht="18" customHeight="1">
      <c r="A3936" s="697"/>
      <c r="B3936" s="701"/>
      <c r="C3936" s="415">
        <v>1</v>
      </c>
      <c r="D3936" s="457">
        <v>1.49</v>
      </c>
      <c r="E3936" s="416">
        <v>2.9750000000000001</v>
      </c>
      <c r="F3936" s="416"/>
      <c r="G3936" s="742">
        <f t="shared" si="120"/>
        <v>4.43</v>
      </c>
      <c r="H3936" s="977" t="s">
        <v>2208</v>
      </c>
      <c r="I3936" s="1258"/>
      <c r="J3936" s="700"/>
    </row>
    <row r="3937" spans="1:14" s="699" customFormat="1" ht="18" customHeight="1">
      <c r="A3937" s="697"/>
      <c r="B3937" s="701" t="s">
        <v>1140</v>
      </c>
      <c r="C3937" s="589">
        <v>-1</v>
      </c>
      <c r="D3937" s="590">
        <v>0.8</v>
      </c>
      <c r="E3937" s="416">
        <v>2.1</v>
      </c>
      <c r="F3937" s="416"/>
      <c r="G3937" s="742">
        <f t="shared" si="120"/>
        <v>-1.68</v>
      </c>
      <c r="H3937" s="977" t="s">
        <v>2208</v>
      </c>
      <c r="I3937" s="1258"/>
      <c r="J3937" s="700"/>
    </row>
    <row r="3938" spans="1:14" s="699" customFormat="1" ht="18" customHeight="1">
      <c r="A3938" s="697"/>
      <c r="B3938" s="701" t="s">
        <v>1141</v>
      </c>
      <c r="C3938" s="415">
        <v>1</v>
      </c>
      <c r="D3938" s="416">
        <f>0.75+1.2</f>
        <v>1.95</v>
      </c>
      <c r="E3938" s="416">
        <v>2.9750000000000001</v>
      </c>
      <c r="F3938" s="416"/>
      <c r="G3938" s="742">
        <f t="shared" si="120"/>
        <v>5.8</v>
      </c>
      <c r="H3938" s="977" t="s">
        <v>2208</v>
      </c>
      <c r="I3938" s="1258"/>
      <c r="J3938" s="700"/>
    </row>
    <row r="3939" spans="1:14" s="699" customFormat="1" ht="18" customHeight="1">
      <c r="A3939" s="697"/>
      <c r="B3939" s="701" t="s">
        <v>1142</v>
      </c>
      <c r="C3939" s="589">
        <v>-1</v>
      </c>
      <c r="D3939" s="590">
        <v>1.2</v>
      </c>
      <c r="E3939" s="416">
        <v>2.1</v>
      </c>
      <c r="F3939" s="416"/>
      <c r="G3939" s="742">
        <f t="shared" si="120"/>
        <v>-2.52</v>
      </c>
      <c r="H3939" s="977" t="s">
        <v>2208</v>
      </c>
      <c r="I3939" s="1258"/>
      <c r="J3939" s="700"/>
    </row>
    <row r="3940" spans="1:14" s="699" customFormat="1" ht="18" customHeight="1">
      <c r="A3940" s="697"/>
      <c r="B3940" s="701"/>
      <c r="C3940" s="589"/>
      <c r="D3940" s="590"/>
      <c r="E3940" s="416"/>
      <c r="F3940" s="416"/>
      <c r="G3940" s="742">
        <f t="shared" si="120"/>
        <v>0</v>
      </c>
      <c r="H3940" s="977" t="s">
        <v>2208</v>
      </c>
      <c r="I3940" s="1258"/>
      <c r="J3940" s="700"/>
    </row>
    <row r="3941" spans="1:14" s="699" customFormat="1" ht="18" customHeight="1">
      <c r="A3941" s="697"/>
      <c r="B3941" s="412" t="s">
        <v>1124</v>
      </c>
      <c r="C3941" s="415">
        <v>2</v>
      </c>
      <c r="D3941" s="416">
        <f>2.05-0.23</f>
        <v>1.8199999999999998</v>
      </c>
      <c r="E3941" s="416">
        <v>2.9750000000000001</v>
      </c>
      <c r="F3941" s="416"/>
      <c r="G3941" s="742">
        <f t="shared" si="120"/>
        <v>10.83</v>
      </c>
      <c r="H3941" s="977" t="s">
        <v>2208</v>
      </c>
      <c r="I3941" s="1258"/>
      <c r="J3941" s="700"/>
    </row>
    <row r="3942" spans="1:14" s="699" customFormat="1" ht="18" customHeight="1">
      <c r="A3942" s="697"/>
      <c r="B3942" s="701" t="s">
        <v>1140</v>
      </c>
      <c r="C3942" s="589">
        <v>-2</v>
      </c>
      <c r="D3942" s="590">
        <v>0.8</v>
      </c>
      <c r="E3942" s="416">
        <v>2.1</v>
      </c>
      <c r="F3942" s="416"/>
      <c r="G3942" s="742">
        <f t="shared" si="120"/>
        <v>-3.36</v>
      </c>
      <c r="H3942" s="977" t="s">
        <v>2208</v>
      </c>
      <c r="I3942" s="1258"/>
      <c r="J3942" s="700"/>
    </row>
    <row r="3943" spans="1:14" s="699" customFormat="1" ht="18" customHeight="1">
      <c r="A3943" s="697"/>
      <c r="B3943" s="701"/>
      <c r="C3943" s="589">
        <v>1</v>
      </c>
      <c r="D3943" s="590">
        <f>2.05-0.23</f>
        <v>1.8199999999999998</v>
      </c>
      <c r="E3943" s="416">
        <v>2.9750000000000001</v>
      </c>
      <c r="F3943" s="416"/>
      <c r="G3943" s="742">
        <f t="shared" si="120"/>
        <v>5.41</v>
      </c>
      <c r="H3943" s="977" t="s">
        <v>2208</v>
      </c>
      <c r="I3943" s="1258"/>
      <c r="J3943" s="700"/>
    </row>
    <row r="3944" spans="1:14" s="391" customFormat="1" ht="18" customHeight="1">
      <c r="A3944" s="401"/>
      <c r="B3944" s="390"/>
      <c r="C3944" s="383"/>
      <c r="D3944" s="384"/>
      <c r="E3944" s="384"/>
      <c r="F3944" s="384"/>
      <c r="G3944" s="358"/>
      <c r="H3944" s="973"/>
      <c r="I3944" s="1254"/>
      <c r="J3944" s="700"/>
    </row>
    <row r="3945" spans="1:14" s="357" customFormat="1" ht="18" customHeight="1">
      <c r="A3945" s="965"/>
      <c r="B3945" s="874" t="s">
        <v>2188</v>
      </c>
      <c r="C3945" s="966"/>
      <c r="D3945" s="967"/>
      <c r="E3945" s="967"/>
      <c r="F3945" s="967"/>
      <c r="G3945" s="968">
        <f>SUM(G3918:G3944)</f>
        <v>135.62</v>
      </c>
      <c r="H3945" s="976" t="s">
        <v>350</v>
      </c>
      <c r="I3945" s="1232" t="s">
        <v>2303</v>
      </c>
      <c r="J3945" s="700"/>
      <c r="N3945" s="357">
        <f>+J3945*G3945</f>
        <v>0</v>
      </c>
    </row>
    <row r="3946" spans="1:14" s="704" customFormat="1" ht="18" customHeight="1">
      <c r="A3946" s="934"/>
      <c r="B3946" s="566"/>
      <c r="C3946" s="254"/>
      <c r="D3946" s="254"/>
      <c r="E3946" s="254"/>
      <c r="F3946" s="254"/>
      <c r="G3946" s="707"/>
      <c r="H3946" s="972"/>
      <c r="I3946" s="1250"/>
    </row>
    <row r="3947" spans="1:14" s="500" customFormat="1" ht="18" customHeight="1">
      <c r="A3947" s="388" t="s">
        <v>2304</v>
      </c>
      <c r="B3947" s="389" t="s">
        <v>1691</v>
      </c>
      <c r="C3947" s="491"/>
      <c r="D3947" s="492"/>
      <c r="E3947" s="492"/>
      <c r="F3947" s="492"/>
      <c r="G3947" s="492"/>
      <c r="H3947" s="979"/>
      <c r="I3947" s="1259"/>
      <c r="J3947" s="488"/>
    </row>
    <row r="3948" spans="1:14" s="500" customFormat="1" ht="18" customHeight="1">
      <c r="A3948" s="512" t="s">
        <v>1303</v>
      </c>
      <c r="B3948" s="412" t="s">
        <v>1145</v>
      </c>
      <c r="C3948" s="491"/>
      <c r="D3948" s="492"/>
      <c r="E3948" s="492"/>
      <c r="F3948" s="492"/>
      <c r="G3948" s="492"/>
      <c r="H3948" s="979"/>
      <c r="I3948" s="1259"/>
    </row>
    <row r="3949" spans="1:14" s="500" customFormat="1" ht="18" customHeight="1">
      <c r="A3949" s="513"/>
      <c r="B3949" s="382" t="s">
        <v>1692</v>
      </c>
      <c r="C3949" s="491"/>
      <c r="D3949" s="492"/>
      <c r="E3949" s="492"/>
      <c r="F3949" s="492"/>
      <c r="G3949" s="492"/>
      <c r="H3949" s="979"/>
      <c r="I3949" s="1259"/>
    </row>
    <row r="3950" spans="1:14" s="515" customFormat="1" ht="18" customHeight="1">
      <c r="A3950" s="514"/>
      <c r="B3950" s="390" t="s">
        <v>1693</v>
      </c>
      <c r="C3950" s="415">
        <v>6</v>
      </c>
      <c r="D3950" s="416">
        <v>4.8</v>
      </c>
      <c r="E3950" s="416">
        <v>0.15</v>
      </c>
      <c r="F3950" s="492"/>
      <c r="G3950" s="742">
        <f t="shared" ref="G3950:G4013" si="121">IF(C3950&lt;&gt;0,ROUND(PRODUCT(D3950:F3950)*C3950,2),)</f>
        <v>4.32</v>
      </c>
      <c r="H3950" s="980" t="s">
        <v>1303</v>
      </c>
      <c r="I3950" s="1260"/>
      <c r="J3950" s="500"/>
    </row>
    <row r="3951" spans="1:14" s="500" customFormat="1" ht="18" customHeight="1">
      <c r="A3951" s="513"/>
      <c r="B3951" s="431" t="s">
        <v>1694</v>
      </c>
      <c r="C3951" s="589">
        <v>2</v>
      </c>
      <c r="D3951" s="593">
        <v>15.407999999999999</v>
      </c>
      <c r="E3951" s="416">
        <v>0.15</v>
      </c>
      <c r="F3951" s="492"/>
      <c r="G3951" s="742">
        <f t="shared" si="121"/>
        <v>4.62</v>
      </c>
      <c r="H3951" s="980" t="s">
        <v>1303</v>
      </c>
      <c r="I3951" s="1259"/>
    </row>
    <row r="3952" spans="1:14" s="515" customFormat="1" ht="18" customHeight="1">
      <c r="A3952" s="514"/>
      <c r="B3952" s="431" t="s">
        <v>1695</v>
      </c>
      <c r="C3952" s="589">
        <v>-6</v>
      </c>
      <c r="D3952" s="590">
        <v>0.9</v>
      </c>
      <c r="E3952" s="416">
        <v>0.15</v>
      </c>
      <c r="F3952" s="492"/>
      <c r="G3952" s="742">
        <f t="shared" si="121"/>
        <v>-0.81</v>
      </c>
      <c r="H3952" s="980" t="s">
        <v>1303</v>
      </c>
      <c r="I3952" s="1260"/>
      <c r="J3952" s="500"/>
    </row>
    <row r="3953" spans="1:10" s="515" customFormat="1" ht="18" customHeight="1">
      <c r="A3953" s="514"/>
      <c r="B3953" s="431" t="s">
        <v>1696</v>
      </c>
      <c r="C3953" s="589">
        <v>-2</v>
      </c>
      <c r="D3953" s="590">
        <v>1</v>
      </c>
      <c r="E3953" s="416">
        <v>0.15</v>
      </c>
      <c r="F3953" s="492"/>
      <c r="G3953" s="742">
        <f t="shared" si="121"/>
        <v>-0.3</v>
      </c>
      <c r="H3953" s="980" t="s">
        <v>1303</v>
      </c>
      <c r="I3953" s="1260"/>
      <c r="J3953" s="500"/>
    </row>
    <row r="3954" spans="1:10" s="500" customFormat="1" ht="18" customHeight="1">
      <c r="A3954" s="513"/>
      <c r="B3954" s="382" t="s">
        <v>1697</v>
      </c>
      <c r="C3954" s="591">
        <v>0</v>
      </c>
      <c r="D3954" s="592"/>
      <c r="E3954" s="592"/>
      <c r="F3954" s="492"/>
      <c r="G3954" s="742">
        <f t="shared" si="121"/>
        <v>0</v>
      </c>
      <c r="H3954" s="980" t="s">
        <v>1303</v>
      </c>
      <c r="I3954" s="1259"/>
    </row>
    <row r="3955" spans="1:10" s="515" customFormat="1" ht="18" customHeight="1">
      <c r="A3955" s="514"/>
      <c r="B3955" s="390" t="s">
        <v>1693</v>
      </c>
      <c r="C3955" s="415">
        <v>8</v>
      </c>
      <c r="D3955" s="416">
        <v>4.8</v>
      </c>
      <c r="E3955" s="416">
        <v>0.15</v>
      </c>
      <c r="F3955" s="492"/>
      <c r="G3955" s="742">
        <f t="shared" si="121"/>
        <v>5.76</v>
      </c>
      <c r="H3955" s="980" t="s">
        <v>1303</v>
      </c>
      <c r="I3955" s="1260"/>
      <c r="J3955" s="500"/>
    </row>
    <row r="3956" spans="1:10" s="500" customFormat="1" ht="18" customHeight="1">
      <c r="A3956" s="513"/>
      <c r="B3956" s="431" t="s">
        <v>1694</v>
      </c>
      <c r="C3956" s="589">
        <v>2</v>
      </c>
      <c r="D3956" s="593">
        <v>15.407999999999999</v>
      </c>
      <c r="E3956" s="416">
        <v>0.15</v>
      </c>
      <c r="F3956" s="492"/>
      <c r="G3956" s="742">
        <f t="shared" si="121"/>
        <v>4.62</v>
      </c>
      <c r="H3956" s="980" t="s">
        <v>1303</v>
      </c>
      <c r="I3956" s="1259"/>
    </row>
    <row r="3957" spans="1:10" s="515" customFormat="1" ht="18" customHeight="1">
      <c r="A3957" s="514"/>
      <c r="B3957" s="431" t="s">
        <v>1698</v>
      </c>
      <c r="C3957" s="589">
        <v>-10</v>
      </c>
      <c r="D3957" s="590">
        <v>0.9</v>
      </c>
      <c r="E3957" s="416">
        <v>0.15</v>
      </c>
      <c r="F3957" s="492"/>
      <c r="G3957" s="742">
        <f t="shared" si="121"/>
        <v>-1.35</v>
      </c>
      <c r="H3957" s="980" t="s">
        <v>1303</v>
      </c>
      <c r="I3957" s="1260"/>
      <c r="J3957" s="500"/>
    </row>
    <row r="3958" spans="1:10" s="500" customFormat="1" ht="18" customHeight="1">
      <c r="A3958" s="513"/>
      <c r="B3958" s="382" t="s">
        <v>1146</v>
      </c>
      <c r="C3958" s="591">
        <v>0</v>
      </c>
      <c r="D3958" s="592"/>
      <c r="E3958" s="592"/>
      <c r="F3958" s="492"/>
      <c r="G3958" s="742">
        <f t="shared" si="121"/>
        <v>0</v>
      </c>
      <c r="H3958" s="980" t="s">
        <v>1303</v>
      </c>
      <c r="I3958" s="1259"/>
    </row>
    <row r="3959" spans="1:10" s="515" customFormat="1" ht="18" customHeight="1">
      <c r="A3959" s="514"/>
      <c r="B3959" s="390" t="s">
        <v>1693</v>
      </c>
      <c r="C3959" s="415">
        <v>4</v>
      </c>
      <c r="D3959" s="416">
        <v>4.8</v>
      </c>
      <c r="E3959" s="416">
        <v>0.15</v>
      </c>
      <c r="F3959" s="492"/>
      <c r="G3959" s="742">
        <f t="shared" si="121"/>
        <v>2.88</v>
      </c>
      <c r="H3959" s="980" t="s">
        <v>1303</v>
      </c>
      <c r="I3959" s="1260"/>
      <c r="J3959" s="500"/>
    </row>
    <row r="3960" spans="1:10" s="515" customFormat="1" ht="18" customHeight="1">
      <c r="A3960" s="514"/>
      <c r="B3960" s="390" t="s">
        <v>1693</v>
      </c>
      <c r="C3960" s="415">
        <v>2</v>
      </c>
      <c r="D3960" s="416">
        <f>4.8-2.05</f>
        <v>2.75</v>
      </c>
      <c r="E3960" s="416">
        <v>0.15</v>
      </c>
      <c r="F3960" s="492"/>
      <c r="G3960" s="742">
        <f t="shared" si="121"/>
        <v>0.83</v>
      </c>
      <c r="H3960" s="980" t="s">
        <v>1303</v>
      </c>
      <c r="I3960" s="1260"/>
      <c r="J3960" s="500"/>
    </row>
    <row r="3961" spans="1:10" s="500" customFormat="1" ht="18" customHeight="1">
      <c r="A3961" s="513"/>
      <c r="B3961" s="431" t="s">
        <v>1694</v>
      </c>
      <c r="C3961" s="589">
        <v>2</v>
      </c>
      <c r="D3961" s="593">
        <v>12.65</v>
      </c>
      <c r="E3961" s="416">
        <v>0.15</v>
      </c>
      <c r="F3961" s="492"/>
      <c r="G3961" s="742">
        <f t="shared" si="121"/>
        <v>3.8</v>
      </c>
      <c r="H3961" s="980" t="s">
        <v>1303</v>
      </c>
      <c r="I3961" s="1259"/>
    </row>
    <row r="3962" spans="1:10" s="515" customFormat="1" ht="18" customHeight="1">
      <c r="A3962" s="514"/>
      <c r="B3962" s="431" t="s">
        <v>1699</v>
      </c>
      <c r="C3962" s="589">
        <v>-8</v>
      </c>
      <c r="D3962" s="590">
        <v>0.9</v>
      </c>
      <c r="E3962" s="416">
        <v>0.15</v>
      </c>
      <c r="F3962" s="492"/>
      <c r="G3962" s="742">
        <f t="shared" si="121"/>
        <v>-1.08</v>
      </c>
      <c r="H3962" s="980" t="s">
        <v>1303</v>
      </c>
      <c r="I3962" s="1260"/>
      <c r="J3962" s="500"/>
    </row>
    <row r="3963" spans="1:10" s="500" customFormat="1" ht="18" customHeight="1">
      <c r="A3963" s="513"/>
      <c r="B3963" s="382" t="s">
        <v>1147</v>
      </c>
      <c r="C3963" s="591">
        <v>0</v>
      </c>
      <c r="D3963" s="592"/>
      <c r="E3963" s="592"/>
      <c r="F3963" s="492"/>
      <c r="G3963" s="742">
        <f t="shared" si="121"/>
        <v>0</v>
      </c>
      <c r="H3963" s="980" t="s">
        <v>1303</v>
      </c>
      <c r="I3963" s="1259"/>
    </row>
    <row r="3964" spans="1:10" s="500" customFormat="1" ht="18" customHeight="1">
      <c r="A3964" s="513"/>
      <c r="B3964" s="431" t="s">
        <v>1694</v>
      </c>
      <c r="C3964" s="589">
        <v>2</v>
      </c>
      <c r="D3964" s="590">
        <f>3.25+6.45-0.1-0.1</f>
        <v>9.5</v>
      </c>
      <c r="E3964" s="416">
        <v>0.15</v>
      </c>
      <c r="F3964" s="492"/>
      <c r="G3964" s="742">
        <f t="shared" si="121"/>
        <v>2.85</v>
      </c>
      <c r="H3964" s="980" t="s">
        <v>1303</v>
      </c>
      <c r="I3964" s="1259"/>
    </row>
    <row r="3965" spans="1:10" s="515" customFormat="1" ht="18" customHeight="1">
      <c r="A3965" s="514"/>
      <c r="B3965" s="431" t="s">
        <v>1700</v>
      </c>
      <c r="C3965" s="589">
        <v>-4</v>
      </c>
      <c r="D3965" s="590">
        <v>0.9</v>
      </c>
      <c r="E3965" s="416">
        <v>0.15</v>
      </c>
      <c r="F3965" s="492"/>
      <c r="G3965" s="742">
        <f t="shared" si="121"/>
        <v>-0.54</v>
      </c>
      <c r="H3965" s="980" t="s">
        <v>1303</v>
      </c>
      <c r="I3965" s="1260"/>
      <c r="J3965" s="500"/>
    </row>
    <row r="3966" spans="1:10" s="500" customFormat="1" ht="18" customHeight="1">
      <c r="A3966" s="513"/>
      <c r="B3966" s="382" t="s">
        <v>1701</v>
      </c>
      <c r="C3966" s="591">
        <v>0</v>
      </c>
      <c r="D3966" s="592"/>
      <c r="E3966" s="592"/>
      <c r="F3966" s="492"/>
      <c r="G3966" s="742">
        <f t="shared" si="121"/>
        <v>0</v>
      </c>
      <c r="H3966" s="980" t="s">
        <v>1303</v>
      </c>
      <c r="I3966" s="1259"/>
    </row>
    <row r="3967" spans="1:10" s="515" customFormat="1" ht="18" customHeight="1">
      <c r="A3967" s="514"/>
      <c r="B3967" s="390" t="s">
        <v>1702</v>
      </c>
      <c r="C3967" s="415">
        <v>12</v>
      </c>
      <c r="D3967" s="416">
        <v>4.8</v>
      </c>
      <c r="E3967" s="416">
        <v>0.15</v>
      </c>
      <c r="F3967" s="492"/>
      <c r="G3967" s="742">
        <f t="shared" si="121"/>
        <v>8.64</v>
      </c>
      <c r="H3967" s="980" t="s">
        <v>1303</v>
      </c>
      <c r="I3967" s="1260"/>
      <c r="J3967" s="500"/>
    </row>
    <row r="3968" spans="1:10" s="500" customFormat="1" ht="18" customHeight="1">
      <c r="A3968" s="513"/>
      <c r="B3968" s="431" t="s">
        <v>1694</v>
      </c>
      <c r="C3968" s="589">
        <v>2</v>
      </c>
      <c r="D3968" s="593">
        <v>21.6</v>
      </c>
      <c r="E3968" s="416">
        <v>0.15</v>
      </c>
      <c r="F3968" s="492"/>
      <c r="G3968" s="742">
        <f t="shared" si="121"/>
        <v>6.48</v>
      </c>
      <c r="H3968" s="980" t="s">
        <v>1303</v>
      </c>
      <c r="I3968" s="1259"/>
    </row>
    <row r="3969" spans="1:10" s="515" customFormat="1" ht="18" customHeight="1">
      <c r="A3969" s="514"/>
      <c r="B3969" s="431" t="s">
        <v>1703</v>
      </c>
      <c r="C3969" s="589">
        <v>-14</v>
      </c>
      <c r="D3969" s="590">
        <v>0.9</v>
      </c>
      <c r="E3969" s="416">
        <v>0.15</v>
      </c>
      <c r="F3969" s="492"/>
      <c r="G3969" s="742">
        <f t="shared" si="121"/>
        <v>-1.89</v>
      </c>
      <c r="H3969" s="980" t="s">
        <v>1303</v>
      </c>
      <c r="I3969" s="1260"/>
      <c r="J3969" s="500"/>
    </row>
    <row r="3970" spans="1:10" s="500" customFormat="1" ht="18" customHeight="1">
      <c r="A3970" s="513"/>
      <c r="B3970" s="382" t="s">
        <v>1704</v>
      </c>
      <c r="C3970" s="591">
        <v>0</v>
      </c>
      <c r="D3970" s="592"/>
      <c r="E3970" s="592"/>
      <c r="F3970" s="492"/>
      <c r="G3970" s="742">
        <f t="shared" si="121"/>
        <v>0</v>
      </c>
      <c r="H3970" s="980" t="s">
        <v>1303</v>
      </c>
      <c r="I3970" s="1259"/>
    </row>
    <row r="3971" spans="1:10" s="515" customFormat="1" ht="18" customHeight="1">
      <c r="A3971" s="514"/>
      <c r="B3971" s="390" t="s">
        <v>1702</v>
      </c>
      <c r="C3971" s="415">
        <v>6</v>
      </c>
      <c r="D3971" s="416">
        <v>4.8</v>
      </c>
      <c r="E3971" s="416">
        <v>0.15</v>
      </c>
      <c r="F3971" s="492"/>
      <c r="G3971" s="742">
        <f t="shared" si="121"/>
        <v>4.32</v>
      </c>
      <c r="H3971" s="980" t="s">
        <v>1303</v>
      </c>
      <c r="I3971" s="1260"/>
      <c r="J3971" s="500"/>
    </row>
    <row r="3972" spans="1:10" s="500" customFormat="1" ht="18" customHeight="1">
      <c r="A3972" s="513"/>
      <c r="B3972" s="431" t="s">
        <v>1694</v>
      </c>
      <c r="C3972" s="589">
        <v>2</v>
      </c>
      <c r="D3972" s="590">
        <f>12.6+8.05</f>
        <v>20.65</v>
      </c>
      <c r="E3972" s="416">
        <v>0.15</v>
      </c>
      <c r="F3972" s="492"/>
      <c r="G3972" s="742">
        <f t="shared" si="121"/>
        <v>6.2</v>
      </c>
      <c r="H3972" s="980" t="s">
        <v>1303</v>
      </c>
      <c r="I3972" s="1259"/>
    </row>
    <row r="3973" spans="1:10" s="515" customFormat="1" ht="18" customHeight="1">
      <c r="A3973" s="514"/>
      <c r="B3973" s="431" t="s">
        <v>1699</v>
      </c>
      <c r="C3973" s="589">
        <v>-8</v>
      </c>
      <c r="D3973" s="590">
        <v>0.9</v>
      </c>
      <c r="E3973" s="416">
        <v>0.15</v>
      </c>
      <c r="F3973" s="492"/>
      <c r="G3973" s="742">
        <f t="shared" si="121"/>
        <v>-1.08</v>
      </c>
      <c r="H3973" s="980" t="s">
        <v>1303</v>
      </c>
      <c r="I3973" s="1260"/>
      <c r="J3973" s="500"/>
    </row>
    <row r="3974" spans="1:10" s="515" customFormat="1" ht="18" customHeight="1">
      <c r="A3974" s="514"/>
      <c r="B3974" s="431" t="s">
        <v>1705</v>
      </c>
      <c r="C3974" s="589">
        <v>-4</v>
      </c>
      <c r="D3974" s="590">
        <v>1</v>
      </c>
      <c r="E3974" s="416">
        <v>0.15</v>
      </c>
      <c r="F3974" s="492"/>
      <c r="G3974" s="742">
        <f t="shared" si="121"/>
        <v>-0.6</v>
      </c>
      <c r="H3974" s="980" t="s">
        <v>1303</v>
      </c>
      <c r="I3974" s="1260"/>
      <c r="J3974" s="500"/>
    </row>
    <row r="3975" spans="1:10" s="500" customFormat="1" ht="18" customHeight="1">
      <c r="A3975" s="513"/>
      <c r="B3975" s="382" t="s">
        <v>1706</v>
      </c>
      <c r="C3975" s="591">
        <v>0</v>
      </c>
      <c r="D3975" s="592"/>
      <c r="E3975" s="592"/>
      <c r="F3975" s="492"/>
      <c r="G3975" s="742">
        <f t="shared" si="121"/>
        <v>0</v>
      </c>
      <c r="H3975" s="980" t="s">
        <v>1303</v>
      </c>
      <c r="I3975" s="1259"/>
    </row>
    <row r="3976" spans="1:10" s="515" customFormat="1" ht="18" customHeight="1">
      <c r="A3976" s="514"/>
      <c r="B3976" s="390" t="s">
        <v>1702</v>
      </c>
      <c r="C3976" s="415">
        <v>12</v>
      </c>
      <c r="D3976" s="416">
        <v>4.8</v>
      </c>
      <c r="E3976" s="416">
        <v>0.15</v>
      </c>
      <c r="F3976" s="492"/>
      <c r="G3976" s="742">
        <f t="shared" si="121"/>
        <v>8.64</v>
      </c>
      <c r="H3976" s="980" t="s">
        <v>1303</v>
      </c>
      <c r="I3976" s="1260"/>
      <c r="J3976" s="500"/>
    </row>
    <row r="3977" spans="1:10" s="500" customFormat="1" ht="18" customHeight="1">
      <c r="A3977" s="513"/>
      <c r="B3977" s="431" t="s">
        <v>1694</v>
      </c>
      <c r="C3977" s="589">
        <v>2</v>
      </c>
      <c r="D3977" s="590">
        <f>3.075+1.6+1.775+6.4+4.925+1.475+1.825+1.425-0.2</f>
        <v>22.300000000000004</v>
      </c>
      <c r="E3977" s="416">
        <v>0.15</v>
      </c>
      <c r="F3977" s="492"/>
      <c r="G3977" s="742">
        <f t="shared" si="121"/>
        <v>6.69</v>
      </c>
      <c r="H3977" s="980" t="s">
        <v>1303</v>
      </c>
      <c r="I3977" s="1259"/>
    </row>
    <row r="3978" spans="1:10" s="515" customFormat="1" ht="18" customHeight="1">
      <c r="A3978" s="514"/>
      <c r="B3978" s="431" t="s">
        <v>1703</v>
      </c>
      <c r="C3978" s="589">
        <v>-14</v>
      </c>
      <c r="D3978" s="590">
        <v>0.9</v>
      </c>
      <c r="E3978" s="416">
        <v>0.15</v>
      </c>
      <c r="F3978" s="492"/>
      <c r="G3978" s="742">
        <f t="shared" si="121"/>
        <v>-1.89</v>
      </c>
      <c r="H3978" s="980" t="s">
        <v>1303</v>
      </c>
      <c r="I3978" s="1260"/>
      <c r="J3978" s="500"/>
    </row>
    <row r="3979" spans="1:10" s="500" customFormat="1" ht="18" customHeight="1">
      <c r="A3979" s="513"/>
      <c r="B3979" s="382" t="s">
        <v>1707</v>
      </c>
      <c r="C3979" s="591">
        <v>0</v>
      </c>
      <c r="D3979" s="592"/>
      <c r="E3979" s="592"/>
      <c r="F3979" s="492"/>
      <c r="G3979" s="742">
        <f t="shared" si="121"/>
        <v>0</v>
      </c>
      <c r="H3979" s="980" t="s">
        <v>1303</v>
      </c>
      <c r="I3979" s="1259"/>
    </row>
    <row r="3980" spans="1:10" s="515" customFormat="1" ht="18" customHeight="1">
      <c r="A3980" s="514"/>
      <c r="B3980" s="390" t="s">
        <v>1702</v>
      </c>
      <c r="C3980" s="415">
        <v>8</v>
      </c>
      <c r="D3980" s="416">
        <v>4.8</v>
      </c>
      <c r="E3980" s="416">
        <v>0.15</v>
      </c>
      <c r="F3980" s="492"/>
      <c r="G3980" s="742">
        <f t="shared" si="121"/>
        <v>5.76</v>
      </c>
      <c r="H3980" s="980" t="s">
        <v>1303</v>
      </c>
      <c r="I3980" s="1260"/>
      <c r="J3980" s="500"/>
    </row>
    <row r="3981" spans="1:10" s="500" customFormat="1" ht="18" customHeight="1">
      <c r="A3981" s="513"/>
      <c r="B3981" s="431" t="s">
        <v>1694</v>
      </c>
      <c r="C3981" s="589">
        <v>2</v>
      </c>
      <c r="D3981" s="590">
        <f>12.6+8.05</f>
        <v>20.65</v>
      </c>
      <c r="E3981" s="416">
        <v>0.15</v>
      </c>
      <c r="F3981" s="492"/>
      <c r="G3981" s="742">
        <f t="shared" si="121"/>
        <v>6.2</v>
      </c>
      <c r="H3981" s="980" t="s">
        <v>1303</v>
      </c>
      <c r="I3981" s="1259"/>
    </row>
    <row r="3982" spans="1:10" s="515" customFormat="1" ht="18" customHeight="1">
      <c r="A3982" s="514"/>
      <c r="B3982" s="431" t="s">
        <v>1699</v>
      </c>
      <c r="C3982" s="589">
        <v>-8</v>
      </c>
      <c r="D3982" s="590">
        <v>0.9</v>
      </c>
      <c r="E3982" s="416">
        <v>0.15</v>
      </c>
      <c r="F3982" s="492"/>
      <c r="G3982" s="742">
        <f t="shared" si="121"/>
        <v>-1.08</v>
      </c>
      <c r="H3982" s="980" t="s">
        <v>1303</v>
      </c>
      <c r="I3982" s="1260"/>
      <c r="J3982" s="500"/>
    </row>
    <row r="3983" spans="1:10" s="515" customFormat="1" ht="18" customHeight="1">
      <c r="A3983" s="514"/>
      <c r="B3983" s="431" t="s">
        <v>1705</v>
      </c>
      <c r="C3983" s="589">
        <v>-4</v>
      </c>
      <c r="D3983" s="590">
        <v>1</v>
      </c>
      <c r="E3983" s="416">
        <v>0.15</v>
      </c>
      <c r="F3983" s="492"/>
      <c r="G3983" s="742">
        <f t="shared" si="121"/>
        <v>-0.6</v>
      </c>
      <c r="H3983" s="980" t="s">
        <v>1303</v>
      </c>
      <c r="I3983" s="1260"/>
      <c r="J3983" s="500"/>
    </row>
    <row r="3984" spans="1:10" s="500" customFormat="1" ht="18" customHeight="1">
      <c r="A3984" s="513"/>
      <c r="B3984" s="382" t="s">
        <v>1148</v>
      </c>
      <c r="C3984" s="591">
        <v>0</v>
      </c>
      <c r="D3984" s="592"/>
      <c r="E3984" s="592"/>
      <c r="F3984" s="492"/>
      <c r="G3984" s="742">
        <f t="shared" si="121"/>
        <v>0</v>
      </c>
      <c r="H3984" s="980" t="s">
        <v>1303</v>
      </c>
      <c r="I3984" s="1259"/>
    </row>
    <row r="3985" spans="1:10" s="515" customFormat="1" ht="18" customHeight="1">
      <c r="A3985" s="514"/>
      <c r="B3985" s="390" t="s">
        <v>1693</v>
      </c>
      <c r="C3985" s="415">
        <v>2</v>
      </c>
      <c r="D3985" s="416">
        <v>4.8</v>
      </c>
      <c r="E3985" s="416">
        <v>0.15</v>
      </c>
      <c r="F3985" s="492"/>
      <c r="G3985" s="742">
        <f t="shared" si="121"/>
        <v>1.44</v>
      </c>
      <c r="H3985" s="980" t="s">
        <v>1303</v>
      </c>
      <c r="I3985" s="1260"/>
      <c r="J3985" s="500"/>
    </row>
    <row r="3986" spans="1:10" s="500" customFormat="1" ht="18" customHeight="1">
      <c r="A3986" s="513"/>
      <c r="B3986" s="431" t="s">
        <v>1694</v>
      </c>
      <c r="C3986" s="589">
        <v>2</v>
      </c>
      <c r="D3986" s="590">
        <v>6.25</v>
      </c>
      <c r="E3986" s="416">
        <v>0.15</v>
      </c>
      <c r="F3986" s="492"/>
      <c r="G3986" s="742">
        <f t="shared" si="121"/>
        <v>1.88</v>
      </c>
      <c r="H3986" s="980" t="s">
        <v>1303</v>
      </c>
      <c r="I3986" s="1259"/>
    </row>
    <row r="3987" spans="1:10" s="515" customFormat="1" ht="18" customHeight="1">
      <c r="A3987" s="514"/>
      <c r="B3987" s="431" t="s">
        <v>1700</v>
      </c>
      <c r="C3987" s="589">
        <v>-4</v>
      </c>
      <c r="D3987" s="590">
        <v>0.9</v>
      </c>
      <c r="E3987" s="416">
        <v>0.15</v>
      </c>
      <c r="F3987" s="492"/>
      <c r="G3987" s="742">
        <f t="shared" si="121"/>
        <v>-0.54</v>
      </c>
      <c r="H3987" s="980" t="s">
        <v>1303</v>
      </c>
      <c r="I3987" s="1260"/>
      <c r="J3987" s="500"/>
    </row>
    <row r="3988" spans="1:10" s="500" customFormat="1" ht="18" customHeight="1">
      <c r="A3988" s="513"/>
      <c r="B3988" s="382" t="s">
        <v>1708</v>
      </c>
      <c r="C3988" s="591">
        <v>0</v>
      </c>
      <c r="D3988" s="592"/>
      <c r="E3988" s="592"/>
      <c r="F3988" s="492"/>
      <c r="G3988" s="742">
        <f t="shared" si="121"/>
        <v>0</v>
      </c>
      <c r="H3988" s="980" t="s">
        <v>1303</v>
      </c>
      <c r="I3988" s="1259"/>
    </row>
    <row r="3989" spans="1:10" s="515" customFormat="1" ht="18" customHeight="1">
      <c r="A3989" s="514"/>
      <c r="B3989" s="390" t="s">
        <v>1693</v>
      </c>
      <c r="C3989" s="415">
        <v>4</v>
      </c>
      <c r="D3989" s="416">
        <v>4.8</v>
      </c>
      <c r="E3989" s="416">
        <v>0.15</v>
      </c>
      <c r="F3989" s="492"/>
      <c r="G3989" s="742">
        <f t="shared" si="121"/>
        <v>2.88</v>
      </c>
      <c r="H3989" s="980" t="s">
        <v>1303</v>
      </c>
      <c r="I3989" s="1260"/>
      <c r="J3989" s="500"/>
    </row>
    <row r="3990" spans="1:10" s="500" customFormat="1" ht="18" customHeight="1">
      <c r="A3990" s="513"/>
      <c r="B3990" s="431" t="s">
        <v>1694</v>
      </c>
      <c r="C3990" s="589">
        <v>2</v>
      </c>
      <c r="D3990" s="590">
        <v>9.4499999999999993</v>
      </c>
      <c r="E3990" s="416">
        <v>0.15</v>
      </c>
      <c r="F3990" s="492"/>
      <c r="G3990" s="742">
        <f t="shared" si="121"/>
        <v>2.84</v>
      </c>
      <c r="H3990" s="980" t="s">
        <v>1303</v>
      </c>
      <c r="I3990" s="1259"/>
    </row>
    <row r="3991" spans="1:10" s="515" customFormat="1" ht="18" customHeight="1">
      <c r="A3991" s="514"/>
      <c r="B3991" s="431" t="s">
        <v>1695</v>
      </c>
      <c r="C3991" s="589">
        <v>-6</v>
      </c>
      <c r="D3991" s="590">
        <v>0.9</v>
      </c>
      <c r="E3991" s="416">
        <v>0.15</v>
      </c>
      <c r="F3991" s="492"/>
      <c r="G3991" s="742">
        <f t="shared" si="121"/>
        <v>-0.81</v>
      </c>
      <c r="H3991" s="980" t="s">
        <v>1303</v>
      </c>
      <c r="I3991" s="1260"/>
      <c r="J3991" s="500"/>
    </row>
    <row r="3992" spans="1:10" s="500" customFormat="1" ht="18" customHeight="1">
      <c r="A3992" s="513"/>
      <c r="B3992" s="382" t="s">
        <v>1709</v>
      </c>
      <c r="C3992" s="591">
        <v>0</v>
      </c>
      <c r="D3992" s="592"/>
      <c r="E3992" s="592"/>
      <c r="F3992" s="492"/>
      <c r="G3992" s="742">
        <f t="shared" si="121"/>
        <v>0</v>
      </c>
      <c r="H3992" s="980" t="s">
        <v>1303</v>
      </c>
      <c r="I3992" s="1259"/>
    </row>
    <row r="3993" spans="1:10" s="515" customFormat="1" ht="18" customHeight="1">
      <c r="A3993" s="514"/>
      <c r="B3993" s="390" t="s">
        <v>1693</v>
      </c>
      <c r="C3993" s="415">
        <v>2</v>
      </c>
      <c r="D3993" s="416">
        <v>4.8</v>
      </c>
      <c r="E3993" s="416">
        <v>0.15</v>
      </c>
      <c r="F3993" s="492"/>
      <c r="G3993" s="742">
        <f t="shared" si="121"/>
        <v>1.44</v>
      </c>
      <c r="H3993" s="980" t="s">
        <v>1303</v>
      </c>
      <c r="I3993" s="1260"/>
      <c r="J3993" s="500"/>
    </row>
    <row r="3994" spans="1:10" s="500" customFormat="1" ht="18" customHeight="1">
      <c r="A3994" s="513"/>
      <c r="B3994" s="431" t="s">
        <v>1694</v>
      </c>
      <c r="C3994" s="589">
        <v>2</v>
      </c>
      <c r="D3994" s="590">
        <v>6.25</v>
      </c>
      <c r="E3994" s="416">
        <v>0.15</v>
      </c>
      <c r="F3994" s="492"/>
      <c r="G3994" s="742">
        <f t="shared" si="121"/>
        <v>1.88</v>
      </c>
      <c r="H3994" s="980" t="s">
        <v>1303</v>
      </c>
      <c r="I3994" s="1259"/>
    </row>
    <row r="3995" spans="1:10" s="515" customFormat="1" ht="18" customHeight="1">
      <c r="A3995" s="514"/>
      <c r="B3995" s="431" t="s">
        <v>1700</v>
      </c>
      <c r="C3995" s="589">
        <v>-4</v>
      </c>
      <c r="D3995" s="590">
        <v>0.9</v>
      </c>
      <c r="E3995" s="416">
        <v>0.15</v>
      </c>
      <c r="F3995" s="492"/>
      <c r="G3995" s="742">
        <f t="shared" si="121"/>
        <v>-0.54</v>
      </c>
      <c r="H3995" s="980" t="s">
        <v>1303</v>
      </c>
      <c r="I3995" s="1260"/>
      <c r="J3995" s="500"/>
    </row>
    <row r="3996" spans="1:10" s="500" customFormat="1" ht="18" customHeight="1">
      <c r="A3996" s="513"/>
      <c r="B3996" s="382" t="s">
        <v>1710</v>
      </c>
      <c r="C3996" s="591">
        <v>0</v>
      </c>
      <c r="D3996" s="592"/>
      <c r="E3996" s="592"/>
      <c r="F3996" s="492"/>
      <c r="G3996" s="742">
        <f t="shared" si="121"/>
        <v>0</v>
      </c>
      <c r="H3996" s="980" t="s">
        <v>1303</v>
      </c>
      <c r="I3996" s="1259"/>
    </row>
    <row r="3997" spans="1:10" s="515" customFormat="1" ht="18" customHeight="1">
      <c r="A3997" s="514"/>
      <c r="B3997" s="390" t="s">
        <v>1693</v>
      </c>
      <c r="C3997" s="415">
        <v>4</v>
      </c>
      <c r="D3997" s="416">
        <v>4.8</v>
      </c>
      <c r="E3997" s="416">
        <v>0.15</v>
      </c>
      <c r="F3997" s="492"/>
      <c r="G3997" s="742">
        <f t="shared" si="121"/>
        <v>2.88</v>
      </c>
      <c r="H3997" s="980" t="s">
        <v>1303</v>
      </c>
      <c r="I3997" s="1260"/>
      <c r="J3997" s="500"/>
    </row>
    <row r="3998" spans="1:10" s="500" customFormat="1" ht="18" customHeight="1">
      <c r="A3998" s="513"/>
      <c r="B3998" s="431" t="s">
        <v>1694</v>
      </c>
      <c r="C3998" s="589">
        <v>2</v>
      </c>
      <c r="D3998" s="590">
        <v>9.4499999999999993</v>
      </c>
      <c r="E3998" s="416">
        <v>0.15</v>
      </c>
      <c r="F3998" s="492"/>
      <c r="G3998" s="742">
        <f t="shared" si="121"/>
        <v>2.84</v>
      </c>
      <c r="H3998" s="980" t="s">
        <v>1303</v>
      </c>
      <c r="I3998" s="1259"/>
    </row>
    <row r="3999" spans="1:10" s="515" customFormat="1" ht="18" customHeight="1">
      <c r="A3999" s="514"/>
      <c r="B3999" s="431" t="s">
        <v>1695</v>
      </c>
      <c r="C3999" s="589">
        <v>-6</v>
      </c>
      <c r="D3999" s="590">
        <v>0.9</v>
      </c>
      <c r="E3999" s="416">
        <v>0.15</v>
      </c>
      <c r="F3999" s="492"/>
      <c r="G3999" s="742">
        <f t="shared" si="121"/>
        <v>-0.81</v>
      </c>
      <c r="H3999" s="980" t="s">
        <v>1303</v>
      </c>
      <c r="I3999" s="1260"/>
      <c r="J3999" s="500"/>
    </row>
    <row r="4000" spans="1:10" s="500" customFormat="1" ht="18" customHeight="1">
      <c r="A4000" s="512"/>
      <c r="B4000" s="561" t="s">
        <v>1711</v>
      </c>
      <c r="C4000" s="591">
        <v>0</v>
      </c>
      <c r="D4000" s="592"/>
      <c r="E4000" s="592"/>
      <c r="F4000" s="492"/>
      <c r="G4000" s="742">
        <f t="shared" si="121"/>
        <v>0</v>
      </c>
      <c r="H4000" s="980" t="s">
        <v>1303</v>
      </c>
      <c r="I4000" s="1259"/>
    </row>
    <row r="4001" spans="1:10" s="500" customFormat="1" ht="18" customHeight="1">
      <c r="A4001" s="513"/>
      <c r="B4001" s="382" t="s">
        <v>1692</v>
      </c>
      <c r="C4001" s="591">
        <v>0</v>
      </c>
      <c r="D4001" s="592"/>
      <c r="E4001" s="592"/>
      <c r="F4001" s="492"/>
      <c r="G4001" s="742">
        <f t="shared" si="121"/>
        <v>0</v>
      </c>
      <c r="H4001" s="980" t="s">
        <v>1303</v>
      </c>
      <c r="I4001" s="1259"/>
    </row>
    <row r="4002" spans="1:10" s="515" customFormat="1" ht="18" customHeight="1">
      <c r="A4002" s="514"/>
      <c r="B4002" s="390" t="s">
        <v>1693</v>
      </c>
      <c r="C4002" s="415">
        <v>8</v>
      </c>
      <c r="D4002" s="416">
        <v>4.8</v>
      </c>
      <c r="E4002" s="416">
        <v>0.15</v>
      </c>
      <c r="F4002" s="492"/>
      <c r="G4002" s="742">
        <f t="shared" si="121"/>
        <v>5.76</v>
      </c>
      <c r="H4002" s="980" t="s">
        <v>1303</v>
      </c>
      <c r="I4002" s="1260"/>
      <c r="J4002" s="500"/>
    </row>
    <row r="4003" spans="1:10" s="500" customFormat="1" ht="18" customHeight="1">
      <c r="A4003" s="513"/>
      <c r="B4003" s="431" t="s">
        <v>1694</v>
      </c>
      <c r="C4003" s="589">
        <v>2</v>
      </c>
      <c r="D4003" s="593">
        <v>15.407999999999999</v>
      </c>
      <c r="E4003" s="416">
        <v>0.15</v>
      </c>
      <c r="F4003" s="492"/>
      <c r="G4003" s="742">
        <f t="shared" si="121"/>
        <v>4.62</v>
      </c>
      <c r="H4003" s="980" t="s">
        <v>1303</v>
      </c>
      <c r="I4003" s="1259"/>
    </row>
    <row r="4004" spans="1:10" s="515" customFormat="1" ht="18" customHeight="1">
      <c r="A4004" s="514"/>
      <c r="B4004" s="431" t="s">
        <v>1698</v>
      </c>
      <c r="C4004" s="589">
        <v>-10</v>
      </c>
      <c r="D4004" s="590">
        <v>0.9</v>
      </c>
      <c r="E4004" s="416">
        <v>0.15</v>
      </c>
      <c r="F4004" s="492"/>
      <c r="G4004" s="742">
        <f t="shared" si="121"/>
        <v>-1.35</v>
      </c>
      <c r="H4004" s="980" t="s">
        <v>1303</v>
      </c>
      <c r="I4004" s="1260"/>
      <c r="J4004" s="500"/>
    </row>
    <row r="4005" spans="1:10" s="500" customFormat="1" ht="18" customHeight="1">
      <c r="A4005" s="513"/>
      <c r="B4005" s="382" t="s">
        <v>1697</v>
      </c>
      <c r="C4005" s="591">
        <v>0</v>
      </c>
      <c r="D4005" s="592"/>
      <c r="E4005" s="592"/>
      <c r="F4005" s="492"/>
      <c r="G4005" s="742">
        <f t="shared" si="121"/>
        <v>0</v>
      </c>
      <c r="H4005" s="980" t="s">
        <v>1303</v>
      </c>
      <c r="I4005" s="1259"/>
    </row>
    <row r="4006" spans="1:10" s="515" customFormat="1" ht="18" customHeight="1">
      <c r="A4006" s="514"/>
      <c r="B4006" s="390" t="s">
        <v>1693</v>
      </c>
      <c r="C4006" s="415">
        <v>8</v>
      </c>
      <c r="D4006" s="416">
        <v>4.8</v>
      </c>
      <c r="E4006" s="416">
        <v>0.15</v>
      </c>
      <c r="F4006" s="492"/>
      <c r="G4006" s="742">
        <f t="shared" si="121"/>
        <v>5.76</v>
      </c>
      <c r="H4006" s="980" t="s">
        <v>1303</v>
      </c>
      <c r="I4006" s="1260"/>
      <c r="J4006" s="500"/>
    </row>
    <row r="4007" spans="1:10" s="500" customFormat="1" ht="18" customHeight="1">
      <c r="A4007" s="513"/>
      <c r="B4007" s="431" t="s">
        <v>1694</v>
      </c>
      <c r="C4007" s="589">
        <v>2</v>
      </c>
      <c r="D4007" s="593">
        <v>15.407999999999999</v>
      </c>
      <c r="E4007" s="416">
        <v>0.15</v>
      </c>
      <c r="F4007" s="492"/>
      <c r="G4007" s="742">
        <f t="shared" si="121"/>
        <v>4.62</v>
      </c>
      <c r="H4007" s="980" t="s">
        <v>1303</v>
      </c>
      <c r="I4007" s="1259"/>
    </row>
    <row r="4008" spans="1:10" s="515" customFormat="1" ht="18" customHeight="1">
      <c r="A4008" s="514"/>
      <c r="B4008" s="431" t="s">
        <v>1698</v>
      </c>
      <c r="C4008" s="589">
        <v>-10</v>
      </c>
      <c r="D4008" s="590">
        <v>0.9</v>
      </c>
      <c r="E4008" s="416">
        <v>0.15</v>
      </c>
      <c r="F4008" s="492"/>
      <c r="G4008" s="742">
        <f t="shared" si="121"/>
        <v>-1.35</v>
      </c>
      <c r="H4008" s="980" t="s">
        <v>1303</v>
      </c>
      <c r="I4008" s="1260"/>
      <c r="J4008" s="500"/>
    </row>
    <row r="4009" spans="1:10" s="500" customFormat="1" ht="18" customHeight="1">
      <c r="A4009" s="513"/>
      <c r="B4009" s="382" t="s">
        <v>1146</v>
      </c>
      <c r="C4009" s="591">
        <v>0</v>
      </c>
      <c r="D4009" s="592"/>
      <c r="E4009" s="592"/>
      <c r="F4009" s="492"/>
      <c r="G4009" s="742">
        <f t="shared" si="121"/>
        <v>0</v>
      </c>
      <c r="H4009" s="980" t="s">
        <v>1303</v>
      </c>
      <c r="I4009" s="1259"/>
    </row>
    <row r="4010" spans="1:10" s="515" customFormat="1" ht="18" customHeight="1">
      <c r="A4010" s="514"/>
      <c r="B4010" s="390" t="s">
        <v>1693</v>
      </c>
      <c r="C4010" s="415">
        <v>6</v>
      </c>
      <c r="D4010" s="416">
        <v>4.8</v>
      </c>
      <c r="E4010" s="416">
        <v>0.15</v>
      </c>
      <c r="F4010" s="492"/>
      <c r="G4010" s="742">
        <f t="shared" si="121"/>
        <v>4.32</v>
      </c>
      <c r="H4010" s="980" t="s">
        <v>1303</v>
      </c>
      <c r="I4010" s="1260"/>
      <c r="J4010" s="500"/>
    </row>
    <row r="4011" spans="1:10" s="500" customFormat="1" ht="18" customHeight="1">
      <c r="A4011" s="513"/>
      <c r="B4011" s="431" t="s">
        <v>1694</v>
      </c>
      <c r="C4011" s="589">
        <v>2</v>
      </c>
      <c r="D4011" s="593">
        <v>12.65</v>
      </c>
      <c r="E4011" s="416">
        <v>0.15</v>
      </c>
      <c r="F4011" s="492"/>
      <c r="G4011" s="742">
        <f t="shared" si="121"/>
        <v>3.8</v>
      </c>
      <c r="H4011" s="980" t="s">
        <v>1303</v>
      </c>
      <c r="I4011" s="1259"/>
    </row>
    <row r="4012" spans="1:10" s="515" customFormat="1" ht="18" customHeight="1">
      <c r="A4012" s="514"/>
      <c r="B4012" s="431" t="s">
        <v>1699</v>
      </c>
      <c r="C4012" s="589">
        <v>-8</v>
      </c>
      <c r="D4012" s="590">
        <v>0.9</v>
      </c>
      <c r="E4012" s="416">
        <v>0.15</v>
      </c>
      <c r="F4012" s="492"/>
      <c r="G4012" s="742">
        <f t="shared" si="121"/>
        <v>-1.08</v>
      </c>
      <c r="H4012" s="980" t="s">
        <v>1303</v>
      </c>
      <c r="I4012" s="1260"/>
      <c r="J4012" s="500"/>
    </row>
    <row r="4013" spans="1:10" s="500" customFormat="1" ht="18" customHeight="1">
      <c r="A4013" s="513"/>
      <c r="B4013" s="382" t="s">
        <v>1147</v>
      </c>
      <c r="C4013" s="591">
        <v>0</v>
      </c>
      <c r="D4013" s="592"/>
      <c r="E4013" s="592"/>
      <c r="F4013" s="492"/>
      <c r="G4013" s="742">
        <f t="shared" si="121"/>
        <v>0</v>
      </c>
      <c r="H4013" s="980" t="s">
        <v>1303</v>
      </c>
      <c r="I4013" s="1259"/>
    </row>
    <row r="4014" spans="1:10" s="515" customFormat="1" ht="18" customHeight="1">
      <c r="A4014" s="514"/>
      <c r="B4014" s="390" t="s">
        <v>1693</v>
      </c>
      <c r="C4014" s="415">
        <v>4</v>
      </c>
      <c r="D4014" s="416">
        <v>4.8</v>
      </c>
      <c r="E4014" s="416">
        <v>0.15</v>
      </c>
      <c r="F4014" s="492"/>
      <c r="G4014" s="742">
        <f t="shared" ref="G4014:G4077" si="122">IF(C4014&lt;&gt;0,ROUND(PRODUCT(D4014:F4014)*C4014,2),)</f>
        <v>2.88</v>
      </c>
      <c r="H4014" s="980" t="s">
        <v>1303</v>
      </c>
      <c r="I4014" s="1260"/>
      <c r="J4014" s="500"/>
    </row>
    <row r="4015" spans="1:10" s="500" customFormat="1" ht="18" customHeight="1">
      <c r="A4015" s="513"/>
      <c r="B4015" s="431" t="s">
        <v>1694</v>
      </c>
      <c r="C4015" s="589">
        <v>2</v>
      </c>
      <c r="D4015" s="593">
        <v>9.2629999999999999</v>
      </c>
      <c r="E4015" s="416">
        <v>0.15</v>
      </c>
      <c r="F4015" s="492"/>
      <c r="G4015" s="742">
        <f t="shared" si="122"/>
        <v>2.78</v>
      </c>
      <c r="H4015" s="980" t="s">
        <v>1303</v>
      </c>
      <c r="I4015" s="1259"/>
    </row>
    <row r="4016" spans="1:10" s="515" customFormat="1" ht="18" customHeight="1">
      <c r="A4016" s="514"/>
      <c r="B4016" s="431" t="s">
        <v>1695</v>
      </c>
      <c r="C4016" s="589">
        <v>-6</v>
      </c>
      <c r="D4016" s="590">
        <v>0.9</v>
      </c>
      <c r="E4016" s="416">
        <v>0.15</v>
      </c>
      <c r="F4016" s="492"/>
      <c r="G4016" s="742">
        <f t="shared" si="122"/>
        <v>-0.81</v>
      </c>
      <c r="H4016" s="980" t="s">
        <v>1303</v>
      </c>
      <c r="I4016" s="1260"/>
      <c r="J4016" s="500"/>
    </row>
    <row r="4017" spans="1:10" s="500" customFormat="1" ht="18" customHeight="1">
      <c r="A4017" s="513"/>
      <c r="B4017" s="382" t="s">
        <v>1701</v>
      </c>
      <c r="C4017" s="591">
        <v>0</v>
      </c>
      <c r="D4017" s="592"/>
      <c r="E4017" s="592"/>
      <c r="F4017" s="492"/>
      <c r="G4017" s="742">
        <f t="shared" si="122"/>
        <v>0</v>
      </c>
      <c r="H4017" s="980" t="s">
        <v>1303</v>
      </c>
      <c r="I4017" s="1259"/>
    </row>
    <row r="4018" spans="1:10" s="515" customFormat="1" ht="18" customHeight="1">
      <c r="A4018" s="514"/>
      <c r="B4018" s="390" t="s">
        <v>1702</v>
      </c>
      <c r="C4018" s="415">
        <v>12</v>
      </c>
      <c r="D4018" s="416">
        <v>4.8</v>
      </c>
      <c r="E4018" s="416">
        <v>0.15</v>
      </c>
      <c r="F4018" s="492"/>
      <c r="G4018" s="742">
        <f t="shared" si="122"/>
        <v>8.64</v>
      </c>
      <c r="H4018" s="980" t="s">
        <v>1303</v>
      </c>
      <c r="I4018" s="1260"/>
      <c r="J4018" s="500"/>
    </row>
    <row r="4019" spans="1:10" s="500" customFormat="1" ht="18" customHeight="1">
      <c r="A4019" s="513"/>
      <c r="B4019" s="431" t="s">
        <v>1694</v>
      </c>
      <c r="C4019" s="589">
        <v>2</v>
      </c>
      <c r="D4019" s="593">
        <v>21.6</v>
      </c>
      <c r="E4019" s="416">
        <v>0.15</v>
      </c>
      <c r="F4019" s="492"/>
      <c r="G4019" s="742">
        <f t="shared" si="122"/>
        <v>6.48</v>
      </c>
      <c r="H4019" s="980" t="s">
        <v>1303</v>
      </c>
      <c r="I4019" s="1259"/>
    </row>
    <row r="4020" spans="1:10" s="515" customFormat="1" ht="18" customHeight="1">
      <c r="A4020" s="514"/>
      <c r="B4020" s="431" t="s">
        <v>1703</v>
      </c>
      <c r="C4020" s="589">
        <v>-14</v>
      </c>
      <c r="D4020" s="590">
        <v>0.9</v>
      </c>
      <c r="E4020" s="416">
        <v>0.15</v>
      </c>
      <c r="F4020" s="492"/>
      <c r="G4020" s="742">
        <f t="shared" si="122"/>
        <v>-1.89</v>
      </c>
      <c r="H4020" s="980" t="s">
        <v>1303</v>
      </c>
      <c r="I4020" s="1260"/>
      <c r="J4020" s="500"/>
    </row>
    <row r="4021" spans="1:10" s="500" customFormat="1" ht="18" customHeight="1">
      <c r="A4021" s="514"/>
      <c r="B4021" s="382" t="s">
        <v>1712</v>
      </c>
      <c r="C4021" s="591">
        <v>0</v>
      </c>
      <c r="D4021" s="592"/>
      <c r="E4021" s="592"/>
      <c r="F4021" s="492"/>
      <c r="G4021" s="742">
        <f t="shared" si="122"/>
        <v>0</v>
      </c>
      <c r="H4021" s="980" t="s">
        <v>1303</v>
      </c>
      <c r="I4021" s="1259"/>
    </row>
    <row r="4022" spans="1:10" s="515" customFormat="1" ht="18" customHeight="1">
      <c r="A4022" s="514"/>
      <c r="B4022" s="390" t="s">
        <v>1702</v>
      </c>
      <c r="C4022" s="415">
        <v>6</v>
      </c>
      <c r="D4022" s="416">
        <v>4.8</v>
      </c>
      <c r="E4022" s="416">
        <v>0.15</v>
      </c>
      <c r="F4022" s="492"/>
      <c r="G4022" s="742">
        <f t="shared" si="122"/>
        <v>4.32</v>
      </c>
      <c r="H4022" s="980" t="s">
        <v>1303</v>
      </c>
      <c r="I4022" s="1260"/>
      <c r="J4022" s="500"/>
    </row>
    <row r="4023" spans="1:10" s="500" customFormat="1" ht="18" customHeight="1">
      <c r="A4023" s="513"/>
      <c r="B4023" s="431" t="s">
        <v>1694</v>
      </c>
      <c r="C4023" s="589">
        <v>2</v>
      </c>
      <c r="D4023" s="593">
        <v>20.437999999999999</v>
      </c>
      <c r="E4023" s="416">
        <v>0.15</v>
      </c>
      <c r="F4023" s="492"/>
      <c r="G4023" s="742">
        <f t="shared" si="122"/>
        <v>6.13</v>
      </c>
      <c r="H4023" s="980" t="s">
        <v>1303</v>
      </c>
      <c r="I4023" s="1259"/>
    </row>
    <row r="4024" spans="1:10" s="515" customFormat="1" ht="18" customHeight="1">
      <c r="A4024" s="514"/>
      <c r="B4024" s="431" t="s">
        <v>1699</v>
      </c>
      <c r="C4024" s="589">
        <v>-8</v>
      </c>
      <c r="D4024" s="590">
        <v>0.9</v>
      </c>
      <c r="E4024" s="416">
        <v>0.15</v>
      </c>
      <c r="F4024" s="492"/>
      <c r="G4024" s="742">
        <f t="shared" si="122"/>
        <v>-1.08</v>
      </c>
      <c r="H4024" s="980" t="s">
        <v>1303</v>
      </c>
      <c r="I4024" s="1260"/>
      <c r="J4024" s="500"/>
    </row>
    <row r="4025" spans="1:10" s="515" customFormat="1" ht="18" customHeight="1">
      <c r="A4025" s="514"/>
      <c r="B4025" s="431" t="s">
        <v>1705</v>
      </c>
      <c r="C4025" s="589">
        <v>-4</v>
      </c>
      <c r="D4025" s="590">
        <v>1</v>
      </c>
      <c r="E4025" s="416">
        <v>0.15</v>
      </c>
      <c r="F4025" s="492"/>
      <c r="G4025" s="742">
        <f t="shared" si="122"/>
        <v>-0.6</v>
      </c>
      <c r="H4025" s="980" t="s">
        <v>1303</v>
      </c>
      <c r="I4025" s="1260"/>
      <c r="J4025" s="500"/>
    </row>
    <row r="4026" spans="1:10" s="500" customFormat="1" ht="18" customHeight="1">
      <c r="A4026" s="513"/>
      <c r="B4026" s="382" t="s">
        <v>1706</v>
      </c>
      <c r="C4026" s="591">
        <v>0</v>
      </c>
      <c r="D4026" s="592"/>
      <c r="E4026" s="592"/>
      <c r="F4026" s="492"/>
      <c r="G4026" s="742">
        <f t="shared" si="122"/>
        <v>0</v>
      </c>
      <c r="H4026" s="980" t="s">
        <v>1303</v>
      </c>
      <c r="I4026" s="1259"/>
    </row>
    <row r="4027" spans="1:10" s="515" customFormat="1" ht="18" customHeight="1">
      <c r="A4027" s="514"/>
      <c r="B4027" s="390" t="s">
        <v>1702</v>
      </c>
      <c r="C4027" s="415">
        <v>12</v>
      </c>
      <c r="D4027" s="416">
        <v>4.8</v>
      </c>
      <c r="E4027" s="416">
        <v>0.15</v>
      </c>
      <c r="F4027" s="492"/>
      <c r="G4027" s="742">
        <f t="shared" si="122"/>
        <v>8.64</v>
      </c>
      <c r="H4027" s="980" t="s">
        <v>1303</v>
      </c>
      <c r="I4027" s="1260"/>
      <c r="J4027" s="500"/>
    </row>
    <row r="4028" spans="1:10" s="500" customFormat="1" ht="18" customHeight="1">
      <c r="A4028" s="513"/>
      <c r="B4028" s="431" t="s">
        <v>1694</v>
      </c>
      <c r="C4028" s="589">
        <v>2</v>
      </c>
      <c r="D4028" s="593">
        <v>21.6</v>
      </c>
      <c r="E4028" s="416">
        <v>0.15</v>
      </c>
      <c r="F4028" s="492"/>
      <c r="G4028" s="742">
        <f t="shared" si="122"/>
        <v>6.48</v>
      </c>
      <c r="H4028" s="980" t="s">
        <v>1303</v>
      </c>
      <c r="I4028" s="1259"/>
    </row>
    <row r="4029" spans="1:10" s="515" customFormat="1" ht="18" customHeight="1">
      <c r="A4029" s="514"/>
      <c r="B4029" s="431" t="s">
        <v>1703</v>
      </c>
      <c r="C4029" s="589">
        <v>-14</v>
      </c>
      <c r="D4029" s="590">
        <v>0.9</v>
      </c>
      <c r="E4029" s="416">
        <v>0.15</v>
      </c>
      <c r="F4029" s="492"/>
      <c r="G4029" s="742">
        <f t="shared" si="122"/>
        <v>-1.89</v>
      </c>
      <c r="H4029" s="980" t="s">
        <v>1303</v>
      </c>
      <c r="I4029" s="1260"/>
      <c r="J4029" s="500"/>
    </row>
    <row r="4030" spans="1:10" s="500" customFormat="1" ht="18" customHeight="1">
      <c r="A4030" s="513"/>
      <c r="B4030" s="382" t="s">
        <v>1713</v>
      </c>
      <c r="C4030" s="591">
        <v>0</v>
      </c>
      <c r="D4030" s="592"/>
      <c r="E4030" s="592"/>
      <c r="F4030" s="492"/>
      <c r="G4030" s="742">
        <f t="shared" si="122"/>
        <v>0</v>
      </c>
      <c r="H4030" s="980" t="s">
        <v>1303</v>
      </c>
      <c r="I4030" s="1259"/>
    </row>
    <row r="4031" spans="1:10" s="515" customFormat="1" ht="18" customHeight="1">
      <c r="A4031" s="514"/>
      <c r="B4031" s="390" t="s">
        <v>1702</v>
      </c>
      <c r="C4031" s="415">
        <v>8</v>
      </c>
      <c r="D4031" s="416">
        <v>4.8</v>
      </c>
      <c r="E4031" s="416">
        <v>0.15</v>
      </c>
      <c r="F4031" s="492"/>
      <c r="G4031" s="742">
        <f t="shared" si="122"/>
        <v>5.76</v>
      </c>
      <c r="H4031" s="980" t="s">
        <v>1303</v>
      </c>
      <c r="I4031" s="1260"/>
      <c r="J4031" s="500"/>
    </row>
    <row r="4032" spans="1:10" s="515" customFormat="1" ht="18" customHeight="1">
      <c r="A4032" s="514"/>
      <c r="B4032" s="431" t="s">
        <v>1694</v>
      </c>
      <c r="C4032" s="589">
        <v>2</v>
      </c>
      <c r="D4032" s="593">
        <v>20.437999999999999</v>
      </c>
      <c r="E4032" s="416">
        <v>0.15</v>
      </c>
      <c r="F4032" s="492"/>
      <c r="G4032" s="742">
        <f t="shared" si="122"/>
        <v>6.13</v>
      </c>
      <c r="H4032" s="980" t="s">
        <v>1303</v>
      </c>
      <c r="I4032" s="1260"/>
      <c r="J4032" s="500"/>
    </row>
    <row r="4033" spans="1:10" s="500" customFormat="1" ht="18" customHeight="1">
      <c r="A4033" s="513"/>
      <c r="B4033" s="431" t="s">
        <v>1699</v>
      </c>
      <c r="C4033" s="589">
        <v>-8</v>
      </c>
      <c r="D4033" s="590">
        <v>0.9</v>
      </c>
      <c r="E4033" s="416">
        <v>0.15</v>
      </c>
      <c r="F4033" s="492"/>
      <c r="G4033" s="742">
        <f t="shared" si="122"/>
        <v>-1.08</v>
      </c>
      <c r="H4033" s="980" t="s">
        <v>1303</v>
      </c>
      <c r="I4033" s="1259"/>
    </row>
    <row r="4034" spans="1:10" s="515" customFormat="1" ht="18" customHeight="1">
      <c r="A4034" s="514"/>
      <c r="B4034" s="431" t="s">
        <v>1705</v>
      </c>
      <c r="C4034" s="589">
        <v>-4</v>
      </c>
      <c r="D4034" s="590">
        <v>1</v>
      </c>
      <c r="E4034" s="416">
        <v>0.15</v>
      </c>
      <c r="F4034" s="492"/>
      <c r="G4034" s="742">
        <f t="shared" si="122"/>
        <v>-0.6</v>
      </c>
      <c r="H4034" s="980" t="s">
        <v>1303</v>
      </c>
      <c r="I4034" s="1260"/>
      <c r="J4034" s="500"/>
    </row>
    <row r="4035" spans="1:10" s="500" customFormat="1" ht="18" customHeight="1">
      <c r="A4035" s="513"/>
      <c r="B4035" s="382" t="s">
        <v>1714</v>
      </c>
      <c r="C4035" s="591">
        <v>0</v>
      </c>
      <c r="D4035" s="592"/>
      <c r="E4035" s="592"/>
      <c r="F4035" s="492"/>
      <c r="G4035" s="742">
        <f t="shared" si="122"/>
        <v>0</v>
      </c>
      <c r="H4035" s="980" t="s">
        <v>1303</v>
      </c>
      <c r="I4035" s="1259"/>
    </row>
    <row r="4036" spans="1:10" s="515" customFormat="1" ht="18" customHeight="1">
      <c r="A4036" s="514"/>
      <c r="B4036" s="390" t="s">
        <v>1693</v>
      </c>
      <c r="C4036" s="415">
        <v>4</v>
      </c>
      <c r="D4036" s="416">
        <v>4.8</v>
      </c>
      <c r="E4036" s="416">
        <v>0.15</v>
      </c>
      <c r="F4036" s="492"/>
      <c r="G4036" s="742">
        <f t="shared" si="122"/>
        <v>2.88</v>
      </c>
      <c r="H4036" s="980" t="s">
        <v>1303</v>
      </c>
      <c r="I4036" s="1260"/>
      <c r="J4036" s="500"/>
    </row>
    <row r="4037" spans="1:10" s="500" customFormat="1" ht="18" customHeight="1">
      <c r="A4037" s="513"/>
      <c r="B4037" s="431" t="s">
        <v>1694</v>
      </c>
      <c r="C4037" s="589">
        <v>2</v>
      </c>
      <c r="D4037" s="593">
        <v>9.2629999999999999</v>
      </c>
      <c r="E4037" s="416">
        <v>0.15</v>
      </c>
      <c r="F4037" s="492"/>
      <c r="G4037" s="742">
        <f t="shared" si="122"/>
        <v>2.78</v>
      </c>
      <c r="H4037" s="980" t="s">
        <v>1303</v>
      </c>
      <c r="I4037" s="1259"/>
    </row>
    <row r="4038" spans="1:10" s="515" customFormat="1" ht="18" customHeight="1">
      <c r="A4038" s="514"/>
      <c r="B4038" s="431" t="s">
        <v>1695</v>
      </c>
      <c r="C4038" s="589">
        <v>-6</v>
      </c>
      <c r="D4038" s="590">
        <v>0.9</v>
      </c>
      <c r="E4038" s="416">
        <v>0.15</v>
      </c>
      <c r="F4038" s="492"/>
      <c r="G4038" s="742">
        <f t="shared" si="122"/>
        <v>-0.81</v>
      </c>
      <c r="H4038" s="980" t="s">
        <v>1303</v>
      </c>
      <c r="I4038" s="1260"/>
      <c r="J4038" s="500"/>
    </row>
    <row r="4039" spans="1:10" s="500" customFormat="1" ht="18" customHeight="1">
      <c r="A4039" s="513"/>
      <c r="B4039" s="382" t="s">
        <v>1715</v>
      </c>
      <c r="C4039" s="591">
        <v>0</v>
      </c>
      <c r="D4039" s="592"/>
      <c r="E4039" s="592"/>
      <c r="F4039" s="492"/>
      <c r="G4039" s="742">
        <f t="shared" si="122"/>
        <v>0</v>
      </c>
      <c r="H4039" s="980" t="s">
        <v>1303</v>
      </c>
      <c r="I4039" s="1259"/>
    </row>
    <row r="4040" spans="1:10" s="515" customFormat="1" ht="18" customHeight="1">
      <c r="A4040" s="514"/>
      <c r="B4040" s="390" t="s">
        <v>1693</v>
      </c>
      <c r="C4040" s="415">
        <v>6</v>
      </c>
      <c r="D4040" s="416">
        <v>4.8</v>
      </c>
      <c r="E4040" s="416">
        <v>0.15</v>
      </c>
      <c r="F4040" s="492"/>
      <c r="G4040" s="742">
        <f t="shared" si="122"/>
        <v>4.32</v>
      </c>
      <c r="H4040" s="980" t="s">
        <v>1303</v>
      </c>
      <c r="I4040" s="1260"/>
      <c r="J4040" s="500"/>
    </row>
    <row r="4041" spans="1:10" s="500" customFormat="1" ht="18" customHeight="1">
      <c r="A4041" s="513"/>
      <c r="B4041" s="431" t="s">
        <v>1694</v>
      </c>
      <c r="C4041" s="589">
        <v>2</v>
      </c>
      <c r="D4041" s="593">
        <v>12.65</v>
      </c>
      <c r="E4041" s="416">
        <v>0.15</v>
      </c>
      <c r="F4041" s="492"/>
      <c r="G4041" s="742">
        <f t="shared" si="122"/>
        <v>3.8</v>
      </c>
      <c r="H4041" s="980" t="s">
        <v>1303</v>
      </c>
      <c r="I4041" s="1259"/>
    </row>
    <row r="4042" spans="1:10" s="515" customFormat="1" ht="18" customHeight="1">
      <c r="A4042" s="514"/>
      <c r="B4042" s="431" t="s">
        <v>1699</v>
      </c>
      <c r="C4042" s="589">
        <v>-8</v>
      </c>
      <c r="D4042" s="590">
        <v>0.9</v>
      </c>
      <c r="E4042" s="416">
        <v>0.15</v>
      </c>
      <c r="F4042" s="492"/>
      <c r="G4042" s="742">
        <f t="shared" si="122"/>
        <v>-1.08</v>
      </c>
      <c r="H4042" s="980" t="s">
        <v>1303</v>
      </c>
      <c r="I4042" s="1260"/>
      <c r="J4042" s="500"/>
    </row>
    <row r="4043" spans="1:10" s="500" customFormat="1" ht="18" customHeight="1">
      <c r="A4043" s="513"/>
      <c r="B4043" s="382" t="s">
        <v>1716</v>
      </c>
      <c r="C4043" s="591">
        <v>0</v>
      </c>
      <c r="D4043" s="592"/>
      <c r="E4043" s="592"/>
      <c r="F4043" s="492"/>
      <c r="G4043" s="742">
        <f t="shared" si="122"/>
        <v>0</v>
      </c>
      <c r="H4043" s="980" t="s">
        <v>1303</v>
      </c>
      <c r="I4043" s="1259"/>
    </row>
    <row r="4044" spans="1:10" s="515" customFormat="1" ht="18" customHeight="1">
      <c r="A4044" s="514"/>
      <c r="B4044" s="390" t="s">
        <v>1693</v>
      </c>
      <c r="C4044" s="415">
        <v>4</v>
      </c>
      <c r="D4044" s="416">
        <v>4.8</v>
      </c>
      <c r="E4044" s="416">
        <v>0.15</v>
      </c>
      <c r="F4044" s="492"/>
      <c r="G4044" s="742">
        <f t="shared" si="122"/>
        <v>2.88</v>
      </c>
      <c r="H4044" s="980" t="s">
        <v>1303</v>
      </c>
      <c r="I4044" s="1260"/>
      <c r="J4044" s="500"/>
    </row>
    <row r="4045" spans="1:10" s="500" customFormat="1" ht="18" customHeight="1">
      <c r="A4045" s="513"/>
      <c r="B4045" s="431" t="s">
        <v>1694</v>
      </c>
      <c r="C4045" s="589">
        <v>2</v>
      </c>
      <c r="D4045" s="593">
        <v>9.2349999999999994</v>
      </c>
      <c r="E4045" s="416">
        <v>0.15</v>
      </c>
      <c r="F4045" s="492"/>
      <c r="G4045" s="742">
        <f t="shared" si="122"/>
        <v>2.77</v>
      </c>
      <c r="H4045" s="980" t="s">
        <v>1303</v>
      </c>
      <c r="I4045" s="1259"/>
    </row>
    <row r="4046" spans="1:10" s="515" customFormat="1" ht="18" customHeight="1">
      <c r="A4046" s="514"/>
      <c r="B4046" s="431" t="s">
        <v>1695</v>
      </c>
      <c r="C4046" s="589">
        <v>-6</v>
      </c>
      <c r="D4046" s="590">
        <v>0.9</v>
      </c>
      <c r="E4046" s="416">
        <v>0.15</v>
      </c>
      <c r="F4046" s="492"/>
      <c r="G4046" s="742">
        <f t="shared" si="122"/>
        <v>-0.81</v>
      </c>
      <c r="H4046" s="980" t="s">
        <v>1303</v>
      </c>
      <c r="I4046" s="1260"/>
      <c r="J4046" s="500"/>
    </row>
    <row r="4047" spans="1:10" s="500" customFormat="1" ht="18" customHeight="1">
      <c r="A4047" s="513"/>
      <c r="B4047" s="382" t="s">
        <v>1717</v>
      </c>
      <c r="C4047" s="591">
        <v>0</v>
      </c>
      <c r="D4047" s="592"/>
      <c r="E4047" s="592"/>
      <c r="F4047" s="492"/>
      <c r="G4047" s="742">
        <f t="shared" si="122"/>
        <v>0</v>
      </c>
      <c r="H4047" s="980" t="s">
        <v>1303</v>
      </c>
      <c r="I4047" s="1259"/>
    </row>
    <row r="4048" spans="1:10" s="515" customFormat="1" ht="18" customHeight="1">
      <c r="A4048" s="514"/>
      <c r="B4048" s="390" t="s">
        <v>1693</v>
      </c>
      <c r="C4048" s="415">
        <v>6</v>
      </c>
      <c r="D4048" s="416">
        <v>4.8</v>
      </c>
      <c r="E4048" s="416">
        <v>0.15</v>
      </c>
      <c r="F4048" s="492"/>
      <c r="G4048" s="742">
        <f t="shared" si="122"/>
        <v>4.32</v>
      </c>
      <c r="H4048" s="980" t="s">
        <v>1303</v>
      </c>
      <c r="I4048" s="1260"/>
      <c r="J4048" s="500"/>
    </row>
    <row r="4049" spans="1:10" s="500" customFormat="1" ht="18" customHeight="1">
      <c r="A4049" s="513"/>
      <c r="B4049" s="431" t="s">
        <v>1694</v>
      </c>
      <c r="C4049" s="589">
        <v>2</v>
      </c>
      <c r="D4049" s="593">
        <v>12.65</v>
      </c>
      <c r="E4049" s="416">
        <v>0.15</v>
      </c>
      <c r="F4049" s="492"/>
      <c r="G4049" s="742">
        <f t="shared" si="122"/>
        <v>3.8</v>
      </c>
      <c r="H4049" s="980" t="s">
        <v>1303</v>
      </c>
      <c r="I4049" s="1259"/>
    </row>
    <row r="4050" spans="1:10" s="515" customFormat="1" ht="18" customHeight="1">
      <c r="A4050" s="514"/>
      <c r="B4050" s="431" t="s">
        <v>1699</v>
      </c>
      <c r="C4050" s="589">
        <v>-8</v>
      </c>
      <c r="D4050" s="590">
        <v>0.9</v>
      </c>
      <c r="E4050" s="416">
        <v>0.15</v>
      </c>
      <c r="F4050" s="492"/>
      <c r="G4050" s="742">
        <f t="shared" si="122"/>
        <v>-1.08</v>
      </c>
      <c r="H4050" s="980" t="s">
        <v>1303</v>
      </c>
      <c r="I4050" s="1260"/>
      <c r="J4050" s="500"/>
    </row>
    <row r="4051" spans="1:10" s="500" customFormat="1" ht="18" customHeight="1">
      <c r="A4051" s="512"/>
      <c r="B4051" s="561" t="s">
        <v>1718</v>
      </c>
      <c r="C4051" s="591">
        <v>0</v>
      </c>
      <c r="D4051" s="592"/>
      <c r="E4051" s="592"/>
      <c r="F4051" s="492"/>
      <c r="G4051" s="742">
        <f t="shared" si="122"/>
        <v>0</v>
      </c>
      <c r="H4051" s="980" t="s">
        <v>1303</v>
      </c>
      <c r="I4051" s="1259"/>
    </row>
    <row r="4052" spans="1:10" s="500" customFormat="1" ht="18" customHeight="1">
      <c r="A4052" s="513"/>
      <c r="B4052" s="382" t="s">
        <v>1692</v>
      </c>
      <c r="C4052" s="591">
        <v>0</v>
      </c>
      <c r="D4052" s="592"/>
      <c r="E4052" s="592"/>
      <c r="F4052" s="492"/>
      <c r="G4052" s="742">
        <f t="shared" si="122"/>
        <v>0</v>
      </c>
      <c r="H4052" s="980" t="s">
        <v>1303</v>
      </c>
      <c r="I4052" s="1259"/>
    </row>
    <row r="4053" spans="1:10" s="515" customFormat="1" ht="18" customHeight="1">
      <c r="A4053" s="514"/>
      <c r="B4053" s="390" t="s">
        <v>1693</v>
      </c>
      <c r="C4053" s="415">
        <v>8</v>
      </c>
      <c r="D4053" s="416">
        <v>4.8</v>
      </c>
      <c r="E4053" s="416">
        <v>0.15</v>
      </c>
      <c r="F4053" s="492"/>
      <c r="G4053" s="742">
        <f t="shared" si="122"/>
        <v>5.76</v>
      </c>
      <c r="H4053" s="980" t="s">
        <v>1303</v>
      </c>
      <c r="I4053" s="1260"/>
      <c r="J4053" s="500"/>
    </row>
    <row r="4054" spans="1:10" s="500" customFormat="1" ht="18" customHeight="1">
      <c r="A4054" s="513"/>
      <c r="B4054" s="431" t="s">
        <v>1694</v>
      </c>
      <c r="C4054" s="589">
        <v>2</v>
      </c>
      <c r="D4054" s="593">
        <v>15.407999999999999</v>
      </c>
      <c r="E4054" s="416">
        <v>0.15</v>
      </c>
      <c r="F4054" s="492"/>
      <c r="G4054" s="742">
        <f t="shared" si="122"/>
        <v>4.62</v>
      </c>
      <c r="H4054" s="980" t="s">
        <v>1303</v>
      </c>
      <c r="I4054" s="1259"/>
    </row>
    <row r="4055" spans="1:10" s="515" customFormat="1" ht="18" customHeight="1">
      <c r="A4055" s="514"/>
      <c r="B4055" s="431" t="s">
        <v>1698</v>
      </c>
      <c r="C4055" s="589">
        <v>-10</v>
      </c>
      <c r="D4055" s="590">
        <v>0.9</v>
      </c>
      <c r="E4055" s="416">
        <v>0.15</v>
      </c>
      <c r="F4055" s="492"/>
      <c r="G4055" s="742">
        <f t="shared" si="122"/>
        <v>-1.35</v>
      </c>
      <c r="H4055" s="980" t="s">
        <v>1303</v>
      </c>
      <c r="I4055" s="1260"/>
      <c r="J4055" s="500"/>
    </row>
    <row r="4056" spans="1:10" s="500" customFormat="1" ht="18" customHeight="1">
      <c r="A4056" s="513"/>
      <c r="B4056" s="382" t="s">
        <v>1697</v>
      </c>
      <c r="C4056" s="591">
        <v>0</v>
      </c>
      <c r="D4056" s="592"/>
      <c r="E4056" s="592"/>
      <c r="F4056" s="492"/>
      <c r="G4056" s="742">
        <f t="shared" si="122"/>
        <v>0</v>
      </c>
      <c r="H4056" s="980" t="s">
        <v>1303</v>
      </c>
      <c r="I4056" s="1259"/>
    </row>
    <row r="4057" spans="1:10" s="515" customFormat="1" ht="18" customHeight="1">
      <c r="A4057" s="514"/>
      <c r="B4057" s="390" t="s">
        <v>1693</v>
      </c>
      <c r="C4057" s="415">
        <v>8</v>
      </c>
      <c r="D4057" s="416">
        <v>4.8</v>
      </c>
      <c r="E4057" s="416">
        <v>0.15</v>
      </c>
      <c r="F4057" s="492"/>
      <c r="G4057" s="742">
        <f t="shared" si="122"/>
        <v>5.76</v>
      </c>
      <c r="H4057" s="980" t="s">
        <v>1303</v>
      </c>
      <c r="I4057" s="1260"/>
      <c r="J4057" s="500"/>
    </row>
    <row r="4058" spans="1:10" s="500" customFormat="1" ht="18" customHeight="1">
      <c r="A4058" s="513"/>
      <c r="B4058" s="431" t="s">
        <v>1694</v>
      </c>
      <c r="C4058" s="589">
        <v>2</v>
      </c>
      <c r="D4058" s="593">
        <v>15.407999999999999</v>
      </c>
      <c r="E4058" s="416">
        <v>0.15</v>
      </c>
      <c r="F4058" s="492"/>
      <c r="G4058" s="742">
        <f t="shared" si="122"/>
        <v>4.62</v>
      </c>
      <c r="H4058" s="980" t="s">
        <v>1303</v>
      </c>
      <c r="I4058" s="1259"/>
    </row>
    <row r="4059" spans="1:10" s="515" customFormat="1" ht="18" customHeight="1">
      <c r="A4059" s="514"/>
      <c r="B4059" s="431" t="s">
        <v>1698</v>
      </c>
      <c r="C4059" s="589">
        <v>-10</v>
      </c>
      <c r="D4059" s="590">
        <v>0.9</v>
      </c>
      <c r="E4059" s="416">
        <v>0.15</v>
      </c>
      <c r="F4059" s="492"/>
      <c r="G4059" s="742">
        <f t="shared" si="122"/>
        <v>-1.35</v>
      </c>
      <c r="H4059" s="980" t="s">
        <v>1303</v>
      </c>
      <c r="I4059" s="1260"/>
      <c r="J4059" s="500"/>
    </row>
    <row r="4060" spans="1:10" s="500" customFormat="1" ht="18" customHeight="1">
      <c r="A4060" s="513"/>
      <c r="B4060" s="382" t="s">
        <v>1146</v>
      </c>
      <c r="C4060" s="591">
        <v>0</v>
      </c>
      <c r="D4060" s="592"/>
      <c r="E4060" s="592"/>
      <c r="F4060" s="492"/>
      <c r="G4060" s="742">
        <f t="shared" si="122"/>
        <v>0</v>
      </c>
      <c r="H4060" s="980" t="s">
        <v>1303</v>
      </c>
      <c r="I4060" s="1259"/>
    </row>
    <row r="4061" spans="1:10" s="515" customFormat="1" ht="18" customHeight="1">
      <c r="A4061" s="514"/>
      <c r="B4061" s="390" t="s">
        <v>1693</v>
      </c>
      <c r="C4061" s="415">
        <v>6</v>
      </c>
      <c r="D4061" s="416">
        <v>4.8</v>
      </c>
      <c r="E4061" s="416">
        <v>0.15</v>
      </c>
      <c r="F4061" s="492"/>
      <c r="G4061" s="742">
        <f t="shared" si="122"/>
        <v>4.32</v>
      </c>
      <c r="H4061" s="980" t="s">
        <v>1303</v>
      </c>
      <c r="I4061" s="1260"/>
      <c r="J4061" s="500"/>
    </row>
    <row r="4062" spans="1:10" s="500" customFormat="1" ht="18" customHeight="1">
      <c r="A4062" s="513"/>
      <c r="B4062" s="431" t="s">
        <v>1694</v>
      </c>
      <c r="C4062" s="589">
        <v>2</v>
      </c>
      <c r="D4062" s="593">
        <v>12.65</v>
      </c>
      <c r="E4062" s="416">
        <v>0.15</v>
      </c>
      <c r="F4062" s="492"/>
      <c r="G4062" s="742">
        <f t="shared" si="122"/>
        <v>3.8</v>
      </c>
      <c r="H4062" s="980" t="s">
        <v>1303</v>
      </c>
      <c r="I4062" s="1259"/>
    </row>
    <row r="4063" spans="1:10" s="515" customFormat="1" ht="18" customHeight="1">
      <c r="A4063" s="514"/>
      <c r="B4063" s="431" t="s">
        <v>1699</v>
      </c>
      <c r="C4063" s="589">
        <v>-8</v>
      </c>
      <c r="D4063" s="590">
        <v>0.9</v>
      </c>
      <c r="E4063" s="416">
        <v>0.15</v>
      </c>
      <c r="F4063" s="492"/>
      <c r="G4063" s="742">
        <f t="shared" si="122"/>
        <v>-1.08</v>
      </c>
      <c r="H4063" s="980" t="s">
        <v>1303</v>
      </c>
      <c r="I4063" s="1260"/>
      <c r="J4063" s="500"/>
    </row>
    <row r="4064" spans="1:10" s="500" customFormat="1" ht="18" customHeight="1">
      <c r="A4064" s="513"/>
      <c r="B4064" s="382" t="s">
        <v>1147</v>
      </c>
      <c r="C4064" s="591">
        <v>0</v>
      </c>
      <c r="D4064" s="592"/>
      <c r="E4064" s="592"/>
      <c r="F4064" s="492"/>
      <c r="G4064" s="742">
        <f t="shared" si="122"/>
        <v>0</v>
      </c>
      <c r="H4064" s="980" t="s">
        <v>1303</v>
      </c>
      <c r="I4064" s="1259"/>
    </row>
    <row r="4065" spans="1:10" s="515" customFormat="1" ht="18" customHeight="1">
      <c r="A4065" s="514"/>
      <c r="B4065" s="390" t="s">
        <v>1693</v>
      </c>
      <c r="C4065" s="415">
        <v>4</v>
      </c>
      <c r="D4065" s="416">
        <v>4.8</v>
      </c>
      <c r="E4065" s="416">
        <v>0.15</v>
      </c>
      <c r="F4065" s="492"/>
      <c r="G4065" s="742">
        <f t="shared" si="122"/>
        <v>2.88</v>
      </c>
      <c r="H4065" s="980" t="s">
        <v>1303</v>
      </c>
      <c r="I4065" s="1260"/>
      <c r="J4065" s="500"/>
    </row>
    <row r="4066" spans="1:10" s="500" customFormat="1" ht="18" customHeight="1">
      <c r="A4066" s="513"/>
      <c r="B4066" s="431" t="s">
        <v>1694</v>
      </c>
      <c r="C4066" s="589">
        <v>2</v>
      </c>
      <c r="D4066" s="593">
        <v>9.2629999999999999</v>
      </c>
      <c r="E4066" s="416">
        <v>0.15</v>
      </c>
      <c r="F4066" s="492"/>
      <c r="G4066" s="742">
        <f t="shared" si="122"/>
        <v>2.78</v>
      </c>
      <c r="H4066" s="980" t="s">
        <v>1303</v>
      </c>
      <c r="I4066" s="1259"/>
    </row>
    <row r="4067" spans="1:10" s="515" customFormat="1" ht="18" customHeight="1">
      <c r="A4067" s="514"/>
      <c r="B4067" s="431" t="s">
        <v>1695</v>
      </c>
      <c r="C4067" s="589">
        <v>-6</v>
      </c>
      <c r="D4067" s="590">
        <v>0.9</v>
      </c>
      <c r="E4067" s="416">
        <v>0.15</v>
      </c>
      <c r="F4067" s="492"/>
      <c r="G4067" s="742">
        <f t="shared" si="122"/>
        <v>-0.81</v>
      </c>
      <c r="H4067" s="980" t="s">
        <v>1303</v>
      </c>
      <c r="I4067" s="1260"/>
      <c r="J4067" s="500"/>
    </row>
    <row r="4068" spans="1:10" s="500" customFormat="1" ht="18" customHeight="1">
      <c r="A4068" s="513"/>
      <c r="B4068" s="382" t="s">
        <v>1701</v>
      </c>
      <c r="C4068" s="591">
        <v>0</v>
      </c>
      <c r="D4068" s="592"/>
      <c r="E4068" s="592"/>
      <c r="F4068" s="492"/>
      <c r="G4068" s="742">
        <f t="shared" si="122"/>
        <v>0</v>
      </c>
      <c r="H4068" s="980" t="s">
        <v>1303</v>
      </c>
      <c r="I4068" s="1259"/>
    </row>
    <row r="4069" spans="1:10" s="515" customFormat="1" ht="18" customHeight="1">
      <c r="A4069" s="514"/>
      <c r="B4069" s="390" t="s">
        <v>1702</v>
      </c>
      <c r="C4069" s="415">
        <v>12</v>
      </c>
      <c r="D4069" s="416">
        <v>4.8</v>
      </c>
      <c r="E4069" s="416">
        <v>0.15</v>
      </c>
      <c r="F4069" s="492"/>
      <c r="G4069" s="742">
        <f t="shared" si="122"/>
        <v>8.64</v>
      </c>
      <c r="H4069" s="980" t="s">
        <v>1303</v>
      </c>
      <c r="I4069" s="1260"/>
      <c r="J4069" s="500"/>
    </row>
    <row r="4070" spans="1:10" s="500" customFormat="1" ht="18" customHeight="1">
      <c r="A4070" s="513"/>
      <c r="B4070" s="431" t="s">
        <v>1694</v>
      </c>
      <c r="C4070" s="589">
        <v>2</v>
      </c>
      <c r="D4070" s="593">
        <v>20.437999999999999</v>
      </c>
      <c r="E4070" s="416">
        <v>0.15</v>
      </c>
      <c r="F4070" s="492"/>
      <c r="G4070" s="742">
        <f t="shared" si="122"/>
        <v>6.13</v>
      </c>
      <c r="H4070" s="980" t="s">
        <v>1303</v>
      </c>
      <c r="I4070" s="1259"/>
    </row>
    <row r="4071" spans="1:10" s="515" customFormat="1" ht="18" customHeight="1">
      <c r="A4071" s="514"/>
      <c r="B4071" s="431" t="s">
        <v>1703</v>
      </c>
      <c r="C4071" s="589">
        <v>-14</v>
      </c>
      <c r="D4071" s="590">
        <v>0.9</v>
      </c>
      <c r="E4071" s="416">
        <v>0.15</v>
      </c>
      <c r="F4071" s="492"/>
      <c r="G4071" s="742">
        <f t="shared" si="122"/>
        <v>-1.89</v>
      </c>
      <c r="H4071" s="980" t="s">
        <v>1303</v>
      </c>
      <c r="I4071" s="1260"/>
      <c r="J4071" s="500"/>
    </row>
    <row r="4072" spans="1:10" s="500" customFormat="1" ht="18" customHeight="1">
      <c r="A4072" s="514"/>
      <c r="B4072" s="382" t="s">
        <v>1712</v>
      </c>
      <c r="C4072" s="591">
        <v>0</v>
      </c>
      <c r="D4072" s="592"/>
      <c r="E4072" s="592"/>
      <c r="F4072" s="492"/>
      <c r="G4072" s="742">
        <f t="shared" si="122"/>
        <v>0</v>
      </c>
      <c r="H4072" s="980" t="s">
        <v>1303</v>
      </c>
      <c r="I4072" s="1259"/>
    </row>
    <row r="4073" spans="1:10" s="515" customFormat="1" ht="18" customHeight="1">
      <c r="A4073" s="514"/>
      <c r="B4073" s="390" t="s">
        <v>1702</v>
      </c>
      <c r="C4073" s="415">
        <v>6</v>
      </c>
      <c r="D4073" s="416">
        <v>4.8</v>
      </c>
      <c r="E4073" s="416">
        <v>0.15</v>
      </c>
      <c r="F4073" s="492"/>
      <c r="G4073" s="742">
        <f t="shared" si="122"/>
        <v>4.32</v>
      </c>
      <c r="H4073" s="980" t="s">
        <v>1303</v>
      </c>
      <c r="I4073" s="1260"/>
      <c r="J4073" s="500"/>
    </row>
    <row r="4074" spans="1:10" s="500" customFormat="1" ht="18" customHeight="1">
      <c r="A4074" s="513"/>
      <c r="B4074" s="431" t="s">
        <v>1694</v>
      </c>
      <c r="C4074" s="589">
        <v>2</v>
      </c>
      <c r="D4074" s="593">
        <v>20.437999999999999</v>
      </c>
      <c r="E4074" s="416">
        <v>0.15</v>
      </c>
      <c r="F4074" s="492"/>
      <c r="G4074" s="742">
        <f t="shared" si="122"/>
        <v>6.13</v>
      </c>
      <c r="H4074" s="980" t="s">
        <v>1303</v>
      </c>
      <c r="I4074" s="1259"/>
    </row>
    <row r="4075" spans="1:10" s="515" customFormat="1" ht="18" customHeight="1">
      <c r="A4075" s="514"/>
      <c r="B4075" s="431" t="s">
        <v>1699</v>
      </c>
      <c r="C4075" s="589">
        <v>-8</v>
      </c>
      <c r="D4075" s="590">
        <v>0.9</v>
      </c>
      <c r="E4075" s="416">
        <v>0.15</v>
      </c>
      <c r="F4075" s="492"/>
      <c r="G4075" s="742">
        <f t="shared" si="122"/>
        <v>-1.08</v>
      </c>
      <c r="H4075" s="980" t="s">
        <v>1303</v>
      </c>
      <c r="I4075" s="1260"/>
      <c r="J4075" s="500"/>
    </row>
    <row r="4076" spans="1:10" s="515" customFormat="1" ht="18" customHeight="1">
      <c r="A4076" s="514"/>
      <c r="B4076" s="431" t="s">
        <v>1705</v>
      </c>
      <c r="C4076" s="589">
        <v>-4</v>
      </c>
      <c r="D4076" s="590">
        <v>1</v>
      </c>
      <c r="E4076" s="416">
        <v>0.15</v>
      </c>
      <c r="F4076" s="492"/>
      <c r="G4076" s="742">
        <f t="shared" si="122"/>
        <v>-0.6</v>
      </c>
      <c r="H4076" s="980" t="s">
        <v>1303</v>
      </c>
      <c r="I4076" s="1260"/>
      <c r="J4076" s="500"/>
    </row>
    <row r="4077" spans="1:10" s="500" customFormat="1" ht="18" customHeight="1">
      <c r="A4077" s="513"/>
      <c r="B4077" s="382" t="s">
        <v>1706</v>
      </c>
      <c r="C4077" s="591">
        <v>0</v>
      </c>
      <c r="D4077" s="592"/>
      <c r="E4077" s="592"/>
      <c r="F4077" s="492"/>
      <c r="G4077" s="742">
        <f t="shared" si="122"/>
        <v>0</v>
      </c>
      <c r="H4077" s="980" t="s">
        <v>1303</v>
      </c>
      <c r="I4077" s="1259"/>
    </row>
    <row r="4078" spans="1:10" s="515" customFormat="1" ht="18" customHeight="1">
      <c r="A4078" s="514"/>
      <c r="B4078" s="390" t="s">
        <v>1702</v>
      </c>
      <c r="C4078" s="415">
        <v>12</v>
      </c>
      <c r="D4078" s="416">
        <v>4.8</v>
      </c>
      <c r="E4078" s="416">
        <v>0.15</v>
      </c>
      <c r="F4078" s="492"/>
      <c r="G4078" s="742">
        <f t="shared" ref="G4078:G4101" si="123">IF(C4078&lt;&gt;0,ROUND(PRODUCT(D4078:F4078)*C4078,2),)</f>
        <v>8.64</v>
      </c>
      <c r="H4078" s="980" t="s">
        <v>1303</v>
      </c>
      <c r="I4078" s="1260"/>
      <c r="J4078" s="500"/>
    </row>
    <row r="4079" spans="1:10" s="500" customFormat="1" ht="18" customHeight="1">
      <c r="A4079" s="513"/>
      <c r="B4079" s="431" t="s">
        <v>1694</v>
      </c>
      <c r="C4079" s="589">
        <v>2</v>
      </c>
      <c r="D4079" s="593">
        <v>20.437999999999999</v>
      </c>
      <c r="E4079" s="416">
        <v>0.15</v>
      </c>
      <c r="F4079" s="492"/>
      <c r="G4079" s="742">
        <f t="shared" si="123"/>
        <v>6.13</v>
      </c>
      <c r="H4079" s="980" t="s">
        <v>1303</v>
      </c>
      <c r="I4079" s="1259"/>
    </row>
    <row r="4080" spans="1:10" s="515" customFormat="1" ht="18" customHeight="1">
      <c r="A4080" s="514"/>
      <c r="B4080" s="431" t="s">
        <v>1703</v>
      </c>
      <c r="C4080" s="589">
        <v>-14</v>
      </c>
      <c r="D4080" s="590">
        <v>0.9</v>
      </c>
      <c r="E4080" s="416">
        <v>0.15</v>
      </c>
      <c r="F4080" s="492"/>
      <c r="G4080" s="742">
        <f t="shared" si="123"/>
        <v>-1.89</v>
      </c>
      <c r="H4080" s="980" t="s">
        <v>1303</v>
      </c>
      <c r="I4080" s="1260"/>
      <c r="J4080" s="500"/>
    </row>
    <row r="4081" spans="1:10" s="500" customFormat="1" ht="18" customHeight="1">
      <c r="A4081" s="513"/>
      <c r="B4081" s="382" t="s">
        <v>1713</v>
      </c>
      <c r="C4081" s="591">
        <v>0</v>
      </c>
      <c r="D4081" s="592"/>
      <c r="E4081" s="592"/>
      <c r="F4081" s="492"/>
      <c r="G4081" s="742">
        <f t="shared" si="123"/>
        <v>0</v>
      </c>
      <c r="H4081" s="980" t="s">
        <v>1303</v>
      </c>
      <c r="I4081" s="1259"/>
    </row>
    <row r="4082" spans="1:10" s="515" customFormat="1" ht="18" customHeight="1">
      <c r="A4082" s="514"/>
      <c r="B4082" s="390" t="s">
        <v>1702</v>
      </c>
      <c r="C4082" s="415">
        <v>8</v>
      </c>
      <c r="D4082" s="416">
        <v>4.8</v>
      </c>
      <c r="E4082" s="416">
        <v>0.15</v>
      </c>
      <c r="F4082" s="492"/>
      <c r="G4082" s="742">
        <f t="shared" si="123"/>
        <v>5.76</v>
      </c>
      <c r="H4082" s="980" t="s">
        <v>1303</v>
      </c>
      <c r="I4082" s="1260"/>
      <c r="J4082" s="500"/>
    </row>
    <row r="4083" spans="1:10" s="515" customFormat="1" ht="18" customHeight="1">
      <c r="A4083" s="514"/>
      <c r="B4083" s="431" t="s">
        <v>1694</v>
      </c>
      <c r="C4083" s="589">
        <v>2</v>
      </c>
      <c r="D4083" s="593">
        <v>20.437999999999999</v>
      </c>
      <c r="E4083" s="416">
        <v>0.15</v>
      </c>
      <c r="F4083" s="492"/>
      <c r="G4083" s="742">
        <f t="shared" si="123"/>
        <v>6.13</v>
      </c>
      <c r="H4083" s="980" t="s">
        <v>1303</v>
      </c>
      <c r="I4083" s="1260"/>
      <c r="J4083" s="500"/>
    </row>
    <row r="4084" spans="1:10" s="500" customFormat="1" ht="18" customHeight="1">
      <c r="A4084" s="513"/>
      <c r="B4084" s="431" t="s">
        <v>1699</v>
      </c>
      <c r="C4084" s="589">
        <v>-8</v>
      </c>
      <c r="D4084" s="590">
        <v>0.9</v>
      </c>
      <c r="E4084" s="416">
        <v>0.15</v>
      </c>
      <c r="F4084" s="492"/>
      <c r="G4084" s="742">
        <f t="shared" si="123"/>
        <v>-1.08</v>
      </c>
      <c r="H4084" s="980" t="s">
        <v>1303</v>
      </c>
      <c r="I4084" s="1259"/>
    </row>
    <row r="4085" spans="1:10" s="515" customFormat="1" ht="18" customHeight="1">
      <c r="A4085" s="514"/>
      <c r="B4085" s="431" t="s">
        <v>1705</v>
      </c>
      <c r="C4085" s="589">
        <v>-4</v>
      </c>
      <c r="D4085" s="590">
        <v>1</v>
      </c>
      <c r="E4085" s="416">
        <v>0.15</v>
      </c>
      <c r="F4085" s="492"/>
      <c r="G4085" s="742">
        <f t="shared" si="123"/>
        <v>-0.6</v>
      </c>
      <c r="H4085" s="980" t="s">
        <v>1303</v>
      </c>
      <c r="I4085" s="1260"/>
      <c r="J4085" s="500"/>
    </row>
    <row r="4086" spans="1:10" s="500" customFormat="1" ht="18" customHeight="1">
      <c r="A4086" s="513"/>
      <c r="B4086" s="382" t="s">
        <v>1714</v>
      </c>
      <c r="C4086" s="591">
        <v>0</v>
      </c>
      <c r="D4086" s="592"/>
      <c r="E4086" s="592"/>
      <c r="F4086" s="492"/>
      <c r="G4086" s="742">
        <f t="shared" si="123"/>
        <v>0</v>
      </c>
      <c r="H4086" s="980" t="s">
        <v>1303</v>
      </c>
      <c r="I4086" s="1259"/>
    </row>
    <row r="4087" spans="1:10" s="515" customFormat="1" ht="18" customHeight="1">
      <c r="A4087" s="514"/>
      <c r="B4087" s="390" t="s">
        <v>1693</v>
      </c>
      <c r="C4087" s="415">
        <v>4</v>
      </c>
      <c r="D4087" s="416">
        <v>4.8</v>
      </c>
      <c r="E4087" s="416">
        <v>0.15</v>
      </c>
      <c r="F4087" s="492"/>
      <c r="G4087" s="742">
        <f t="shared" si="123"/>
        <v>2.88</v>
      </c>
      <c r="H4087" s="980" t="s">
        <v>1303</v>
      </c>
      <c r="I4087" s="1260"/>
      <c r="J4087" s="500"/>
    </row>
    <row r="4088" spans="1:10" s="500" customFormat="1" ht="18" customHeight="1">
      <c r="A4088" s="513"/>
      <c r="B4088" s="431" t="s">
        <v>1694</v>
      </c>
      <c r="C4088" s="589">
        <v>2</v>
      </c>
      <c r="D4088" s="593">
        <v>9.25</v>
      </c>
      <c r="E4088" s="416">
        <v>0.15</v>
      </c>
      <c r="F4088" s="492"/>
      <c r="G4088" s="742">
        <f t="shared" si="123"/>
        <v>2.78</v>
      </c>
      <c r="H4088" s="980" t="s">
        <v>1303</v>
      </c>
      <c r="I4088" s="1259"/>
    </row>
    <row r="4089" spans="1:10" s="515" customFormat="1" ht="18" customHeight="1">
      <c r="A4089" s="514"/>
      <c r="B4089" s="431" t="s">
        <v>1695</v>
      </c>
      <c r="C4089" s="589">
        <v>-6</v>
      </c>
      <c r="D4089" s="590">
        <v>0.9</v>
      </c>
      <c r="E4089" s="416">
        <v>0.15</v>
      </c>
      <c r="F4089" s="492"/>
      <c r="G4089" s="742">
        <f t="shared" si="123"/>
        <v>-0.81</v>
      </c>
      <c r="H4089" s="980" t="s">
        <v>1303</v>
      </c>
      <c r="I4089" s="1260"/>
      <c r="J4089" s="500"/>
    </row>
    <row r="4090" spans="1:10" s="500" customFormat="1" ht="18" customHeight="1">
      <c r="A4090" s="513"/>
      <c r="B4090" s="382" t="s">
        <v>1715</v>
      </c>
      <c r="C4090" s="591">
        <v>0</v>
      </c>
      <c r="D4090" s="592"/>
      <c r="E4090" s="592"/>
      <c r="F4090" s="492"/>
      <c r="G4090" s="742">
        <f t="shared" si="123"/>
        <v>0</v>
      </c>
      <c r="H4090" s="980" t="s">
        <v>1303</v>
      </c>
      <c r="I4090" s="1259"/>
    </row>
    <row r="4091" spans="1:10" s="515" customFormat="1" ht="18" customHeight="1">
      <c r="A4091" s="514"/>
      <c r="B4091" s="390" t="s">
        <v>1693</v>
      </c>
      <c r="C4091" s="415">
        <v>6</v>
      </c>
      <c r="D4091" s="416">
        <v>4.8</v>
      </c>
      <c r="E4091" s="416">
        <v>0.15</v>
      </c>
      <c r="F4091" s="492"/>
      <c r="G4091" s="742">
        <f t="shared" si="123"/>
        <v>4.32</v>
      </c>
      <c r="H4091" s="980" t="s">
        <v>1303</v>
      </c>
      <c r="I4091" s="1260"/>
      <c r="J4091" s="500"/>
    </row>
    <row r="4092" spans="1:10" s="500" customFormat="1" ht="18" customHeight="1">
      <c r="A4092" s="513"/>
      <c r="B4092" s="431" t="s">
        <v>1694</v>
      </c>
      <c r="C4092" s="589">
        <v>2</v>
      </c>
      <c r="D4092" s="593">
        <v>12.238</v>
      </c>
      <c r="E4092" s="416">
        <v>0.15</v>
      </c>
      <c r="F4092" s="492"/>
      <c r="G4092" s="742">
        <f t="shared" si="123"/>
        <v>3.67</v>
      </c>
      <c r="H4092" s="980" t="s">
        <v>1303</v>
      </c>
      <c r="I4092" s="1259"/>
    </row>
    <row r="4093" spans="1:10" s="515" customFormat="1" ht="18" customHeight="1">
      <c r="A4093" s="514"/>
      <c r="B4093" s="431" t="s">
        <v>1699</v>
      </c>
      <c r="C4093" s="589">
        <v>-8</v>
      </c>
      <c r="D4093" s="590">
        <v>0.9</v>
      </c>
      <c r="E4093" s="416">
        <v>0.15</v>
      </c>
      <c r="F4093" s="492"/>
      <c r="G4093" s="742">
        <f t="shared" si="123"/>
        <v>-1.08</v>
      </c>
      <c r="H4093" s="980" t="s">
        <v>1303</v>
      </c>
      <c r="I4093" s="1260"/>
      <c r="J4093" s="500"/>
    </row>
    <row r="4094" spans="1:10" s="500" customFormat="1" ht="18" customHeight="1">
      <c r="A4094" s="513"/>
      <c r="B4094" s="382" t="s">
        <v>1716</v>
      </c>
      <c r="C4094" s="591">
        <v>0</v>
      </c>
      <c r="D4094" s="592"/>
      <c r="E4094" s="592"/>
      <c r="F4094" s="492"/>
      <c r="G4094" s="742">
        <f t="shared" si="123"/>
        <v>0</v>
      </c>
      <c r="H4094" s="980" t="s">
        <v>1303</v>
      </c>
      <c r="I4094" s="1259"/>
    </row>
    <row r="4095" spans="1:10" s="515" customFormat="1" ht="18" customHeight="1">
      <c r="A4095" s="514"/>
      <c r="B4095" s="390" t="s">
        <v>1693</v>
      </c>
      <c r="C4095" s="415">
        <v>4</v>
      </c>
      <c r="D4095" s="416">
        <v>4.8</v>
      </c>
      <c r="E4095" s="416">
        <v>0.15</v>
      </c>
      <c r="F4095" s="492"/>
      <c r="G4095" s="742">
        <f t="shared" si="123"/>
        <v>2.88</v>
      </c>
      <c r="H4095" s="980" t="s">
        <v>1303</v>
      </c>
      <c r="I4095" s="1260"/>
      <c r="J4095" s="500"/>
    </row>
    <row r="4096" spans="1:10" s="500" customFormat="1" ht="18" customHeight="1">
      <c r="A4096" s="513"/>
      <c r="B4096" s="431" t="s">
        <v>1694</v>
      </c>
      <c r="C4096" s="589">
        <v>2</v>
      </c>
      <c r="D4096" s="593">
        <v>9.25</v>
      </c>
      <c r="E4096" s="416">
        <v>0.15</v>
      </c>
      <c r="F4096" s="492"/>
      <c r="G4096" s="742">
        <f t="shared" si="123"/>
        <v>2.78</v>
      </c>
      <c r="H4096" s="980" t="s">
        <v>1303</v>
      </c>
      <c r="I4096" s="1259"/>
    </row>
    <row r="4097" spans="1:10" s="515" customFormat="1" ht="18" customHeight="1">
      <c r="A4097" s="514"/>
      <c r="B4097" s="431" t="s">
        <v>1695</v>
      </c>
      <c r="C4097" s="589">
        <v>-6</v>
      </c>
      <c r="D4097" s="590">
        <v>0.9</v>
      </c>
      <c r="E4097" s="416">
        <v>0.15</v>
      </c>
      <c r="F4097" s="492"/>
      <c r="G4097" s="742">
        <f t="shared" si="123"/>
        <v>-0.81</v>
      </c>
      <c r="H4097" s="980" t="s">
        <v>1303</v>
      </c>
      <c r="I4097" s="1260"/>
      <c r="J4097" s="500"/>
    </row>
    <row r="4098" spans="1:10" s="500" customFormat="1" ht="18" customHeight="1">
      <c r="A4098" s="513"/>
      <c r="B4098" s="382" t="s">
        <v>1717</v>
      </c>
      <c r="C4098" s="591">
        <v>0</v>
      </c>
      <c r="D4098" s="592"/>
      <c r="E4098" s="592"/>
      <c r="F4098" s="492"/>
      <c r="G4098" s="742">
        <f t="shared" si="123"/>
        <v>0</v>
      </c>
      <c r="H4098" s="980" t="s">
        <v>1303</v>
      </c>
      <c r="I4098" s="1259"/>
    </row>
    <row r="4099" spans="1:10" s="515" customFormat="1" ht="18" customHeight="1">
      <c r="A4099" s="514"/>
      <c r="B4099" s="390" t="s">
        <v>1693</v>
      </c>
      <c r="C4099" s="415">
        <v>6</v>
      </c>
      <c r="D4099" s="416">
        <v>4.8</v>
      </c>
      <c r="E4099" s="416">
        <v>0.15</v>
      </c>
      <c r="F4099" s="492"/>
      <c r="G4099" s="742">
        <f t="shared" si="123"/>
        <v>4.32</v>
      </c>
      <c r="H4099" s="980" t="s">
        <v>1303</v>
      </c>
      <c r="I4099" s="1260"/>
      <c r="J4099" s="500"/>
    </row>
    <row r="4100" spans="1:10" s="500" customFormat="1" ht="18" customHeight="1">
      <c r="A4100" s="513"/>
      <c r="B4100" s="431" t="s">
        <v>1694</v>
      </c>
      <c r="C4100" s="589">
        <v>2</v>
      </c>
      <c r="D4100" s="593">
        <v>12.238</v>
      </c>
      <c r="E4100" s="416">
        <v>0.15</v>
      </c>
      <c r="F4100" s="492"/>
      <c r="G4100" s="742">
        <f t="shared" si="123"/>
        <v>3.67</v>
      </c>
      <c r="H4100" s="980" t="s">
        <v>1303</v>
      </c>
      <c r="I4100" s="1259"/>
    </row>
    <row r="4101" spans="1:10" s="515" customFormat="1" ht="18" customHeight="1">
      <c r="A4101" s="514"/>
      <c r="B4101" s="431" t="s">
        <v>1699</v>
      </c>
      <c r="C4101" s="589">
        <v>-8</v>
      </c>
      <c r="D4101" s="590">
        <v>0.9</v>
      </c>
      <c r="E4101" s="416">
        <v>0.15</v>
      </c>
      <c r="F4101" s="492"/>
      <c r="G4101" s="742">
        <f t="shared" si="123"/>
        <v>-1.08</v>
      </c>
      <c r="H4101" s="980" t="s">
        <v>1303</v>
      </c>
      <c r="I4101" s="1260"/>
      <c r="J4101" s="500"/>
    </row>
    <row r="4102" spans="1:10" s="500" customFormat="1" ht="18" customHeight="1">
      <c r="A4102" s="1017"/>
      <c r="B4102" s="874" t="s">
        <v>2188</v>
      </c>
      <c r="C4102" s="1017"/>
      <c r="D4102" s="1017"/>
      <c r="E4102" s="1017"/>
      <c r="F4102" s="1017"/>
      <c r="G4102" s="968">
        <f>SUM(G3948:G4101)</f>
        <v>284.13999999999993</v>
      </c>
      <c r="H4102" s="1018" t="s">
        <v>350</v>
      </c>
      <c r="I4102" s="1232" t="s">
        <v>2304</v>
      </c>
    </row>
    <row r="4103" spans="1:10" s="1016" customFormat="1" ht="18" customHeight="1">
      <c r="A4103" s="1013"/>
      <c r="B4103" s="916"/>
      <c r="C4103" s="1014"/>
      <c r="D4103" s="1014"/>
      <c r="E4103" s="1014"/>
      <c r="F4103" s="1015"/>
      <c r="G4103" s="707"/>
      <c r="H4103" s="972"/>
      <c r="I4103" s="1261"/>
    </row>
    <row r="4104" spans="1:10" ht="18" customHeight="1">
      <c r="A4104" s="380" t="s">
        <v>2305</v>
      </c>
      <c r="B4104" s="387" t="s">
        <v>1941</v>
      </c>
      <c r="C4104" s="70"/>
      <c r="D4104" s="68"/>
      <c r="E4104" s="68"/>
      <c r="F4104" s="68"/>
      <c r="G4104" s="68"/>
      <c r="H4104" s="929"/>
    </row>
    <row r="4105" spans="1:10" ht="18" customHeight="1">
      <c r="A4105" s="354"/>
      <c r="B4105" s="64" t="s">
        <v>1808</v>
      </c>
      <c r="C4105" s="70"/>
      <c r="D4105" s="68"/>
      <c r="E4105" s="68"/>
      <c r="F4105" s="68"/>
      <c r="G4105" s="68"/>
      <c r="H4105" s="929"/>
    </row>
    <row r="4106" spans="1:10" ht="18" customHeight="1">
      <c r="A4106" s="128" t="s">
        <v>1909</v>
      </c>
      <c r="B4106" s="63" t="s">
        <v>1809</v>
      </c>
      <c r="C4106" s="70">
        <v>42</v>
      </c>
      <c r="D4106" s="68">
        <v>0.55000000000000004</v>
      </c>
      <c r="E4106" s="68">
        <v>0.4</v>
      </c>
      <c r="F4106" s="68">
        <v>0.05</v>
      </c>
      <c r="G4106" s="68">
        <f>IF(C4106&lt;&gt;0,ROUND(PRODUCT(D4106:F4106)*C4106,3)," ")</f>
        <v>0.46200000000000002</v>
      </c>
      <c r="H4106" s="929"/>
    </row>
    <row r="4107" spans="1:10" ht="18" customHeight="1">
      <c r="A4107" s="128" t="s">
        <v>1909</v>
      </c>
      <c r="B4107" s="63" t="s">
        <v>1810</v>
      </c>
      <c r="C4107" s="70">
        <v>40</v>
      </c>
      <c r="D4107" s="68">
        <v>0.55000000000000004</v>
      </c>
      <c r="E4107" s="68">
        <v>0.4</v>
      </c>
      <c r="F4107" s="68">
        <v>0.05</v>
      </c>
      <c r="G4107" s="68">
        <f t="shared" ref="G4107:G4112" si="124">IF(C4107&lt;&gt;0,ROUND(PRODUCT(D4107:F4107)*C4107,3)," ")</f>
        <v>0.44</v>
      </c>
      <c r="H4107" s="929"/>
    </row>
    <row r="4108" spans="1:10" ht="18" customHeight="1">
      <c r="A4108" s="128" t="s">
        <v>1909</v>
      </c>
      <c r="B4108" s="63" t="s">
        <v>1885</v>
      </c>
      <c r="C4108" s="70">
        <v>18</v>
      </c>
      <c r="D4108" s="68">
        <v>0.55000000000000004</v>
      </c>
      <c r="E4108" s="68">
        <v>0.4</v>
      </c>
      <c r="F4108" s="68">
        <v>0.05</v>
      </c>
      <c r="G4108" s="68">
        <f t="shared" si="124"/>
        <v>0.19800000000000001</v>
      </c>
      <c r="H4108" s="929"/>
    </row>
    <row r="4109" spans="1:10" ht="18" customHeight="1">
      <c r="A4109" s="128" t="s">
        <v>1909</v>
      </c>
      <c r="B4109" s="63" t="s">
        <v>1886</v>
      </c>
      <c r="C4109" s="70">
        <v>4</v>
      </c>
      <c r="D4109" s="68">
        <v>0.55000000000000004</v>
      </c>
      <c r="E4109" s="68">
        <v>0.4</v>
      </c>
      <c r="F4109" s="68">
        <v>0.05</v>
      </c>
      <c r="G4109" s="68">
        <f t="shared" si="124"/>
        <v>4.3999999999999997E-2</v>
      </c>
      <c r="H4109" s="929"/>
    </row>
    <row r="4110" spans="1:10" ht="18" customHeight="1">
      <c r="A4110" s="128" t="s">
        <v>1909</v>
      </c>
      <c r="B4110" s="63" t="s">
        <v>1887</v>
      </c>
      <c r="C4110" s="70">
        <v>4</v>
      </c>
      <c r="D4110" s="68">
        <v>0.55000000000000004</v>
      </c>
      <c r="E4110" s="68">
        <v>0.4</v>
      </c>
      <c r="F4110" s="68">
        <v>0.05</v>
      </c>
      <c r="G4110" s="68">
        <f t="shared" si="124"/>
        <v>4.3999999999999997E-2</v>
      </c>
      <c r="H4110" s="929"/>
    </row>
    <row r="4111" spans="1:10" ht="18" customHeight="1">
      <c r="A4111" s="128" t="s">
        <v>1909</v>
      </c>
      <c r="B4111" s="63" t="s">
        <v>1888</v>
      </c>
      <c r="C4111" s="70">
        <v>20</v>
      </c>
      <c r="D4111" s="68">
        <v>0.55000000000000004</v>
      </c>
      <c r="E4111" s="68">
        <v>0.4</v>
      </c>
      <c r="F4111" s="68">
        <v>0.05</v>
      </c>
      <c r="G4111" s="68">
        <f t="shared" si="124"/>
        <v>0.22</v>
      </c>
      <c r="H4111" s="929"/>
    </row>
    <row r="4112" spans="1:10" ht="18" customHeight="1">
      <c r="A4112" s="128" t="s">
        <v>1909</v>
      </c>
      <c r="B4112" s="63" t="s">
        <v>1889</v>
      </c>
      <c r="C4112" s="70">
        <v>4</v>
      </c>
      <c r="D4112" s="68">
        <v>0.55000000000000004</v>
      </c>
      <c r="E4112" s="68">
        <v>0.4</v>
      </c>
      <c r="F4112" s="68">
        <v>0.05</v>
      </c>
      <c r="G4112" s="68">
        <f t="shared" si="124"/>
        <v>4.3999999999999997E-2</v>
      </c>
      <c r="H4112" s="929"/>
    </row>
    <row r="4113" spans="1:10" ht="18" customHeight="1">
      <c r="A4113" s="1017"/>
      <c r="B4113" s="874" t="s">
        <v>2188</v>
      </c>
      <c r="C4113" s="1017"/>
      <c r="D4113" s="1017"/>
      <c r="E4113" s="1017"/>
      <c r="F4113" s="1017"/>
      <c r="G4113" s="994">
        <f>SUM(G4104:G4112)</f>
        <v>1.4520000000000002</v>
      </c>
      <c r="H4113" s="1018" t="s">
        <v>347</v>
      </c>
      <c r="I4113" s="1226" t="s">
        <v>2305</v>
      </c>
    </row>
    <row r="4114" spans="1:10" ht="18" customHeight="1">
      <c r="A4114" s="354"/>
      <c r="B4114" s="63"/>
      <c r="C4114" s="70"/>
      <c r="D4114" s="68"/>
      <c r="E4114" s="68"/>
      <c r="F4114" s="68"/>
      <c r="G4114" s="67"/>
      <c r="H4114" s="929"/>
    </row>
    <row r="4115" spans="1:10" s="659" customFormat="1" ht="20.25" customHeight="1">
      <c r="A4115" s="1026" t="s">
        <v>2306</v>
      </c>
      <c r="B4115" s="1027" t="s">
        <v>2125</v>
      </c>
      <c r="C4115" s="661"/>
      <c r="D4115" s="555"/>
      <c r="E4115" s="555"/>
      <c r="F4115" s="555"/>
      <c r="G4115" s="555"/>
      <c r="H4115" s="981"/>
      <c r="I4115" s="1262"/>
    </row>
    <row r="4116" spans="1:10" s="659" customFormat="1" ht="20.25" customHeight="1">
      <c r="A4116" s="660"/>
      <c r="B4116" s="662" t="s">
        <v>1808</v>
      </c>
      <c r="C4116" s="661"/>
      <c r="D4116" s="555"/>
      <c r="E4116" s="555"/>
      <c r="F4116" s="555"/>
      <c r="G4116" s="555"/>
      <c r="H4116" s="981"/>
      <c r="I4116" s="1262"/>
    </row>
    <row r="4117" spans="1:10" s="659" customFormat="1" ht="20.25" customHeight="1">
      <c r="A4117" s="660"/>
      <c r="B4117" s="663" t="s">
        <v>1809</v>
      </c>
      <c r="C4117" s="661">
        <v>42</v>
      </c>
      <c r="D4117" s="555">
        <v>4</v>
      </c>
      <c r="E4117" s="555"/>
      <c r="F4117" s="555"/>
      <c r="G4117" s="633">
        <f t="shared" ref="G4117:G4123" si="125">IF(C4117&lt;&gt;0,ROUND(PRODUCT(D4117:F4117)*C4117,2),)</f>
        <v>168</v>
      </c>
      <c r="H4117" s="981"/>
      <c r="I4117" s="1262"/>
    </row>
    <row r="4118" spans="1:10" s="659" customFormat="1" ht="20.25" customHeight="1">
      <c r="A4118" s="660"/>
      <c r="B4118" s="663" t="s">
        <v>1810</v>
      </c>
      <c r="C4118" s="661">
        <v>40</v>
      </c>
      <c r="D4118" s="555">
        <v>4</v>
      </c>
      <c r="E4118" s="555"/>
      <c r="F4118" s="555"/>
      <c r="G4118" s="633">
        <f t="shared" si="125"/>
        <v>160</v>
      </c>
      <c r="H4118" s="981"/>
      <c r="I4118" s="1262"/>
    </row>
    <row r="4119" spans="1:10" s="659" customFormat="1" ht="20.25" customHeight="1">
      <c r="A4119" s="660"/>
      <c r="B4119" s="663" t="s">
        <v>1885</v>
      </c>
      <c r="C4119" s="661">
        <v>18</v>
      </c>
      <c r="D4119" s="555">
        <v>4</v>
      </c>
      <c r="E4119" s="555"/>
      <c r="F4119" s="555"/>
      <c r="G4119" s="633">
        <f t="shared" si="125"/>
        <v>72</v>
      </c>
      <c r="H4119" s="981"/>
      <c r="I4119" s="1262"/>
    </row>
    <row r="4120" spans="1:10" s="659" customFormat="1" ht="20.25" customHeight="1">
      <c r="A4120" s="660"/>
      <c r="B4120" s="663" t="s">
        <v>1886</v>
      </c>
      <c r="C4120" s="661">
        <v>4</v>
      </c>
      <c r="D4120" s="555">
        <v>4</v>
      </c>
      <c r="E4120" s="555"/>
      <c r="F4120" s="555"/>
      <c r="G4120" s="633">
        <f t="shared" si="125"/>
        <v>16</v>
      </c>
      <c r="H4120" s="981"/>
      <c r="I4120" s="1262"/>
    </row>
    <row r="4121" spans="1:10" s="659" customFormat="1" ht="20.25" customHeight="1">
      <c r="A4121" s="660"/>
      <c r="B4121" s="663" t="s">
        <v>1887</v>
      </c>
      <c r="C4121" s="661">
        <v>4</v>
      </c>
      <c r="D4121" s="555">
        <v>4</v>
      </c>
      <c r="E4121" s="555"/>
      <c r="F4121" s="555"/>
      <c r="G4121" s="633">
        <f t="shared" si="125"/>
        <v>16</v>
      </c>
      <c r="H4121" s="981"/>
      <c r="I4121" s="1262"/>
    </row>
    <row r="4122" spans="1:10" s="659" customFormat="1" ht="20.25" customHeight="1">
      <c r="A4122" s="660"/>
      <c r="B4122" s="663" t="s">
        <v>1888</v>
      </c>
      <c r="C4122" s="661">
        <v>20</v>
      </c>
      <c r="D4122" s="555">
        <v>4</v>
      </c>
      <c r="E4122" s="555"/>
      <c r="F4122" s="555"/>
      <c r="G4122" s="633">
        <f t="shared" si="125"/>
        <v>80</v>
      </c>
      <c r="H4122" s="981"/>
      <c r="I4122" s="1262"/>
    </row>
    <row r="4123" spans="1:10" s="659" customFormat="1" ht="20.25" customHeight="1">
      <c r="A4123" s="660"/>
      <c r="B4123" s="663" t="s">
        <v>1889</v>
      </c>
      <c r="C4123" s="661">
        <v>4</v>
      </c>
      <c r="D4123" s="555">
        <v>4</v>
      </c>
      <c r="E4123" s="555"/>
      <c r="F4123" s="555"/>
      <c r="G4123" s="633">
        <f t="shared" si="125"/>
        <v>16</v>
      </c>
      <c r="H4123" s="981"/>
      <c r="I4123" s="1262"/>
    </row>
    <row r="4124" spans="1:10" s="659" customFormat="1" ht="14.25">
      <c r="A4124" s="660"/>
      <c r="B4124" s="663"/>
      <c r="C4124" s="661"/>
      <c r="D4124" s="555"/>
      <c r="E4124" s="555"/>
      <c r="F4124" s="555"/>
      <c r="G4124" s="555"/>
      <c r="H4124" s="981"/>
      <c r="I4124" s="1262"/>
    </row>
    <row r="4125" spans="1:10" s="659" customFormat="1" ht="20.25" customHeight="1">
      <c r="A4125" s="1017"/>
      <c r="B4125" s="874" t="s">
        <v>2188</v>
      </c>
      <c r="C4125" s="1017"/>
      <c r="D4125" s="1017"/>
      <c r="E4125" s="1017"/>
      <c r="F4125" s="1017"/>
      <c r="G4125" s="968">
        <f>SUM(G4116:G4124)</f>
        <v>528</v>
      </c>
      <c r="H4125" s="1018" t="s">
        <v>414</v>
      </c>
      <c r="I4125" s="1262" t="s">
        <v>2306</v>
      </c>
    </row>
    <row r="4126" spans="1:10" s="1025" customFormat="1" ht="20.25" customHeight="1">
      <c r="A4126" s="1020"/>
      <c r="B4126" s="1021"/>
      <c r="C4126" s="1022"/>
      <c r="D4126" s="1022"/>
      <c r="E4126" s="1022"/>
      <c r="F4126" s="1022"/>
      <c r="G4126" s="1023"/>
      <c r="H4126" s="1024"/>
      <c r="I4126" s="1263"/>
    </row>
    <row r="4127" spans="1:10" s="357" customFormat="1" ht="18" customHeight="1">
      <c r="A4127" s="388" t="s">
        <v>2308</v>
      </c>
      <c r="B4127" s="389" t="s">
        <v>1204</v>
      </c>
      <c r="C4127" s="383"/>
      <c r="D4127" s="384"/>
      <c r="E4127" s="384"/>
      <c r="F4127" s="384"/>
      <c r="G4127" s="384"/>
      <c r="H4127" s="936"/>
      <c r="I4127" s="1232"/>
      <c r="J4127" s="65"/>
    </row>
    <row r="4128" spans="1:10" s="357" customFormat="1" ht="18" customHeight="1">
      <c r="A4128" s="417"/>
      <c r="B4128" s="412" t="s">
        <v>1205</v>
      </c>
      <c r="C4128" s="415"/>
      <c r="D4128" s="416"/>
      <c r="E4128" s="416"/>
      <c r="F4128" s="416"/>
      <c r="G4128" s="416"/>
      <c r="H4128" s="972"/>
      <c r="I4128" s="1232"/>
    </row>
    <row r="4129" spans="1:10" s="357" customFormat="1" ht="18" customHeight="1">
      <c r="A4129" s="381"/>
      <c r="B4129" s="382" t="s">
        <v>1206</v>
      </c>
      <c r="C4129" s="383"/>
      <c r="D4129" s="384"/>
      <c r="E4129" s="384"/>
      <c r="F4129" s="384"/>
      <c r="G4129" s="476">
        <f>+Abstract!G107</f>
        <v>3983.8499999999963</v>
      </c>
      <c r="H4129" s="936"/>
      <c r="I4129" s="1232"/>
    </row>
    <row r="4130" spans="1:10" s="357" customFormat="1" ht="18" customHeight="1">
      <c r="A4130" s="381"/>
      <c r="B4130" s="594" t="s">
        <v>1780</v>
      </c>
      <c r="C4130" s="595"/>
      <c r="D4130" s="457"/>
      <c r="E4130" s="457"/>
      <c r="F4130" s="457"/>
      <c r="G4130" s="596">
        <f>-G4129*20%</f>
        <v>-796.7699999999993</v>
      </c>
      <c r="H4130" s="936"/>
      <c r="I4130" s="1232"/>
    </row>
    <row r="4131" spans="1:10" s="357" customFormat="1" ht="18" customHeight="1">
      <c r="A4131" s="381"/>
      <c r="B4131" s="382" t="s">
        <v>1207</v>
      </c>
      <c r="C4131" s="383"/>
      <c r="D4131" s="384"/>
      <c r="E4131" s="384"/>
      <c r="F4131" s="384"/>
      <c r="G4131" s="476">
        <f>+Abstract!G111</f>
        <v>3784.659999999998</v>
      </c>
      <c r="H4131" s="936"/>
      <c r="I4131" s="1232"/>
    </row>
    <row r="4132" spans="1:10" s="357" customFormat="1" ht="18" customHeight="1">
      <c r="A4132" s="381"/>
      <c r="B4132" s="594" t="s">
        <v>1780</v>
      </c>
      <c r="C4132" s="595"/>
      <c r="D4132" s="457"/>
      <c r="E4132" s="457"/>
      <c r="F4132" s="457"/>
      <c r="G4132" s="596">
        <f>-G4131*20%</f>
        <v>-756.93199999999968</v>
      </c>
      <c r="H4132" s="936"/>
      <c r="I4132" s="1232"/>
    </row>
    <row r="4133" spans="1:10" s="426" customFormat="1" ht="18" customHeight="1">
      <c r="A4133" s="381"/>
      <c r="B4133" s="382"/>
      <c r="C4133" s="423"/>
      <c r="D4133" s="424"/>
      <c r="E4133" s="358"/>
      <c r="F4133" s="358"/>
      <c r="G4133" s="425">
        <v>0</v>
      </c>
      <c r="H4133" s="978"/>
      <c r="I4133" s="1257"/>
      <c r="J4133" s="357"/>
    </row>
    <row r="4134" spans="1:10" s="357" customFormat="1" ht="18" customHeight="1">
      <c r="A4134" s="1017"/>
      <c r="B4134" s="874" t="s">
        <v>2188</v>
      </c>
      <c r="C4134" s="1017"/>
      <c r="D4134" s="1017"/>
      <c r="E4134" s="1017"/>
      <c r="F4134" s="1017"/>
      <c r="G4134" s="968">
        <f>SUM(G4127:G4133)</f>
        <v>6214.8079999999954</v>
      </c>
      <c r="H4134" s="1018" t="s">
        <v>350</v>
      </c>
      <c r="I4134" s="1232" t="s">
        <v>2308</v>
      </c>
    </row>
    <row r="4135" spans="1:10" s="704" customFormat="1" ht="18" customHeight="1">
      <c r="A4135" s="934"/>
      <c r="B4135" s="566"/>
      <c r="C4135" s="565"/>
      <c r="D4135" s="254"/>
      <c r="E4135" s="254"/>
      <c r="F4135" s="254"/>
      <c r="G4135" s="707"/>
      <c r="H4135" s="972"/>
      <c r="I4135" s="1250"/>
    </row>
    <row r="4136" spans="1:10" s="357" customFormat="1" ht="18" customHeight="1">
      <c r="A4136" s="388" t="s">
        <v>2307</v>
      </c>
      <c r="B4136" s="389" t="s">
        <v>1727</v>
      </c>
      <c r="C4136" s="383"/>
      <c r="D4136" s="384"/>
      <c r="E4136" s="384"/>
      <c r="F4136" s="384"/>
      <c r="G4136" s="384"/>
      <c r="H4136" s="936"/>
      <c r="I4136" s="1232"/>
    </row>
    <row r="4137" spans="1:10" s="357" customFormat="1" ht="14.25">
      <c r="A4137" s="982"/>
      <c r="B4137" s="385" t="s">
        <v>2209</v>
      </c>
      <c r="C4137" s="383"/>
      <c r="D4137" s="384"/>
      <c r="E4137" s="384"/>
      <c r="F4137" s="384"/>
      <c r="G4137" s="384"/>
      <c r="H4137" s="936"/>
      <c r="I4137" s="1232"/>
      <c r="J4137" s="686" t="s">
        <v>2187</v>
      </c>
    </row>
    <row r="4138" spans="1:10" s="704" customFormat="1" ht="18" customHeight="1">
      <c r="A4138" s="417" t="s">
        <v>1303</v>
      </c>
      <c r="B4138" s="703" t="s">
        <v>2210</v>
      </c>
      <c r="C4138" s="415"/>
      <c r="D4138" s="416"/>
      <c r="E4138" s="416"/>
      <c r="F4138" s="416"/>
      <c r="G4138" s="416">
        <f>+PRODUCT(C4138:F4138)</f>
        <v>0</v>
      </c>
      <c r="H4138" s="972"/>
      <c r="I4138" s="1250"/>
      <c r="J4138" s="700"/>
    </row>
    <row r="4139" spans="1:10" s="704" customFormat="1" ht="18" customHeight="1">
      <c r="A4139" s="417"/>
      <c r="B4139" s="703" t="s">
        <v>2211</v>
      </c>
      <c r="C4139" s="415">
        <f>2</f>
        <v>2</v>
      </c>
      <c r="D4139" s="416">
        <v>2.2250000000000001</v>
      </c>
      <c r="E4139" s="416">
        <v>3.8250000000000002</v>
      </c>
      <c r="F4139" s="416"/>
      <c r="G4139" s="67">
        <f t="shared" ref="G4139:G4171" si="126">IF(C4139&lt;&gt;0,ROUND(PRODUCT(D4139:F4139)*C4139,2)," ")</f>
        <v>17.02</v>
      </c>
      <c r="H4139" s="972" t="s">
        <v>1303</v>
      </c>
      <c r="I4139" s="1250"/>
      <c r="J4139" s="700"/>
    </row>
    <row r="4140" spans="1:10" s="704" customFormat="1" ht="18" customHeight="1">
      <c r="A4140" s="417"/>
      <c r="B4140" s="703" t="s">
        <v>2212</v>
      </c>
      <c r="C4140" s="415">
        <f>2</f>
        <v>2</v>
      </c>
      <c r="D4140" s="416">
        <v>5.2</v>
      </c>
      <c r="E4140" s="416">
        <v>3.8250000000000002</v>
      </c>
      <c r="F4140" s="416"/>
      <c r="G4140" s="67">
        <f t="shared" si="126"/>
        <v>39.78</v>
      </c>
      <c r="H4140" s="972" t="s">
        <v>1303</v>
      </c>
      <c r="I4140" s="1250"/>
      <c r="J4140" s="700"/>
    </row>
    <row r="4141" spans="1:10" s="704" customFormat="1" ht="18" customHeight="1">
      <c r="A4141" s="417"/>
      <c r="B4141" s="703" t="s">
        <v>2213</v>
      </c>
      <c r="C4141" s="415"/>
      <c r="D4141" s="416"/>
      <c r="E4141" s="416"/>
      <c r="F4141" s="416"/>
      <c r="G4141" s="67" t="str">
        <f t="shared" si="126"/>
        <v xml:space="preserve"> </v>
      </c>
      <c r="H4141" s="972" t="s">
        <v>1303</v>
      </c>
      <c r="I4141" s="1250"/>
      <c r="J4141" s="700"/>
    </row>
    <row r="4142" spans="1:10" s="704" customFormat="1" ht="18" customHeight="1">
      <c r="A4142" s="417"/>
      <c r="B4142" s="703" t="s">
        <v>2214</v>
      </c>
      <c r="C4142" s="415">
        <f>2</f>
        <v>2</v>
      </c>
      <c r="D4142" s="416">
        <v>2.2250000000000001</v>
      </c>
      <c r="E4142" s="416">
        <v>3.8250000000000002</v>
      </c>
      <c r="F4142" s="416"/>
      <c r="G4142" s="67">
        <f t="shared" si="126"/>
        <v>17.02</v>
      </c>
      <c r="H4142" s="972" t="s">
        <v>1303</v>
      </c>
      <c r="I4142" s="1250"/>
      <c r="J4142" s="700"/>
    </row>
    <row r="4143" spans="1:10" s="704" customFormat="1" ht="18" customHeight="1">
      <c r="A4143" s="417"/>
      <c r="B4143" s="703" t="s">
        <v>2212</v>
      </c>
      <c r="C4143" s="415">
        <f>2</f>
        <v>2</v>
      </c>
      <c r="D4143" s="416">
        <v>5.2</v>
      </c>
      <c r="E4143" s="416">
        <v>3.8250000000000002</v>
      </c>
      <c r="F4143" s="416"/>
      <c r="G4143" s="67">
        <f t="shared" si="126"/>
        <v>39.78</v>
      </c>
      <c r="H4143" s="972" t="s">
        <v>1303</v>
      </c>
      <c r="I4143" s="1250"/>
      <c r="J4143" s="700"/>
    </row>
    <row r="4144" spans="1:10" s="704" customFormat="1" ht="18" customHeight="1">
      <c r="A4144" s="417"/>
      <c r="B4144" s="703" t="s">
        <v>2215</v>
      </c>
      <c r="C4144" s="415"/>
      <c r="D4144" s="416"/>
      <c r="E4144" s="416"/>
      <c r="F4144" s="416"/>
      <c r="G4144" s="67" t="str">
        <f t="shared" si="126"/>
        <v xml:space="preserve"> </v>
      </c>
      <c r="H4144" s="972" t="s">
        <v>1303</v>
      </c>
      <c r="I4144" s="1250"/>
      <c r="J4144" s="700"/>
    </row>
    <row r="4145" spans="1:10" s="704" customFormat="1" ht="18" customHeight="1">
      <c r="A4145" s="417"/>
      <c r="B4145" s="703" t="s">
        <v>2214</v>
      </c>
      <c r="C4145" s="415">
        <f>2</f>
        <v>2</v>
      </c>
      <c r="D4145" s="416">
        <v>2.2250000000000001</v>
      </c>
      <c r="E4145" s="416">
        <v>3.8250000000000002</v>
      </c>
      <c r="F4145" s="416"/>
      <c r="G4145" s="67">
        <f t="shared" si="126"/>
        <v>17.02</v>
      </c>
      <c r="H4145" s="972" t="s">
        <v>1303</v>
      </c>
      <c r="I4145" s="1250"/>
      <c r="J4145" s="700"/>
    </row>
    <row r="4146" spans="1:10" s="704" customFormat="1" ht="18" customHeight="1">
      <c r="A4146" s="417"/>
      <c r="B4146" s="703" t="s">
        <v>2212</v>
      </c>
      <c r="C4146" s="415">
        <f>2</f>
        <v>2</v>
      </c>
      <c r="D4146" s="416">
        <v>5.2</v>
      </c>
      <c r="E4146" s="416">
        <v>3.8250000000000002</v>
      </c>
      <c r="F4146" s="416"/>
      <c r="G4146" s="67">
        <f t="shared" si="126"/>
        <v>39.78</v>
      </c>
      <c r="H4146" s="972" t="s">
        <v>1303</v>
      </c>
      <c r="I4146" s="1250"/>
      <c r="J4146" s="700"/>
    </row>
    <row r="4147" spans="1:10" s="704" customFormat="1" ht="18" customHeight="1">
      <c r="A4147" s="417"/>
      <c r="B4147" s="703" t="s">
        <v>2216</v>
      </c>
      <c r="C4147" s="415">
        <v>6</v>
      </c>
      <c r="D4147" s="416">
        <v>1.5249999999999999</v>
      </c>
      <c r="E4147" s="416">
        <v>2.25</v>
      </c>
      <c r="F4147" s="416"/>
      <c r="G4147" s="67">
        <f t="shared" si="126"/>
        <v>20.59</v>
      </c>
      <c r="H4147" s="972" t="s">
        <v>1303</v>
      </c>
      <c r="I4147" s="1250"/>
      <c r="J4147" s="700"/>
    </row>
    <row r="4148" spans="1:10" s="704" customFormat="1" ht="18" customHeight="1">
      <c r="A4148" s="417"/>
      <c r="B4148" s="703"/>
      <c r="C4148" s="415"/>
      <c r="D4148" s="416"/>
      <c r="E4148" s="416"/>
      <c r="F4148" s="416"/>
      <c r="G4148" s="67" t="str">
        <f t="shared" si="126"/>
        <v xml:space="preserve"> </v>
      </c>
      <c r="H4148" s="972"/>
      <c r="I4148" s="1250"/>
      <c r="J4148" s="700"/>
    </row>
    <row r="4149" spans="1:10" s="704" customFormat="1" ht="18" customHeight="1">
      <c r="A4149" s="417" t="s">
        <v>1306</v>
      </c>
      <c r="B4149" s="504" t="s">
        <v>2217</v>
      </c>
      <c r="C4149" s="415">
        <v>1</v>
      </c>
      <c r="D4149" s="416">
        <f>6.3-0.2</f>
        <v>6.1</v>
      </c>
      <c r="E4149" s="416">
        <f>2.025+4.6-0.2</f>
        <v>6.4249999999999998</v>
      </c>
      <c r="F4149" s="416"/>
      <c r="G4149" s="67">
        <f t="shared" si="126"/>
        <v>39.19</v>
      </c>
      <c r="H4149" s="972" t="s">
        <v>1306</v>
      </c>
      <c r="I4149" s="1250"/>
      <c r="J4149" s="700"/>
    </row>
    <row r="4150" spans="1:10" s="704" customFormat="1" ht="18" customHeight="1">
      <c r="A4150" s="417"/>
      <c r="B4150" s="703" t="s">
        <v>2218</v>
      </c>
      <c r="C4150" s="415">
        <v>3</v>
      </c>
      <c r="D4150" s="416">
        <f>6.3-0.2</f>
        <v>6.1</v>
      </c>
      <c r="E4150" s="416">
        <f>2.25+0.2</f>
        <v>2.4500000000000002</v>
      </c>
      <c r="F4150" s="416"/>
      <c r="G4150" s="67">
        <f t="shared" si="126"/>
        <v>44.84</v>
      </c>
      <c r="H4150" s="972" t="s">
        <v>1306</v>
      </c>
      <c r="I4150" s="1250"/>
      <c r="J4150" s="700"/>
    </row>
    <row r="4151" spans="1:10" s="704" customFormat="1" ht="18" customHeight="1">
      <c r="A4151" s="417"/>
      <c r="B4151" s="703" t="s">
        <v>2219</v>
      </c>
      <c r="C4151" s="415">
        <v>3</v>
      </c>
      <c r="D4151" s="416">
        <v>1.5</v>
      </c>
      <c r="E4151" s="416">
        <v>3</v>
      </c>
      <c r="F4151" s="416"/>
      <c r="G4151" s="67">
        <f t="shared" si="126"/>
        <v>13.5</v>
      </c>
      <c r="H4151" s="972" t="s">
        <v>1306</v>
      </c>
      <c r="I4151" s="1250"/>
      <c r="J4151" s="700"/>
    </row>
    <row r="4152" spans="1:10" s="704" customFormat="1" ht="18" customHeight="1">
      <c r="A4152" s="417"/>
      <c r="B4152" s="703" t="s">
        <v>2220</v>
      </c>
      <c r="C4152" s="415">
        <v>1</v>
      </c>
      <c r="D4152" s="416">
        <f>3.2+6.3+3.2-0.2</f>
        <v>12.5</v>
      </c>
      <c r="E4152" s="416">
        <v>3.1</v>
      </c>
      <c r="F4152" s="416"/>
      <c r="G4152" s="67">
        <f t="shared" si="126"/>
        <v>38.75</v>
      </c>
      <c r="H4152" s="972" t="s">
        <v>1306</v>
      </c>
      <c r="I4152" s="1250"/>
      <c r="J4152" s="700"/>
    </row>
    <row r="4153" spans="1:10" s="704" customFormat="1" ht="18" customHeight="1">
      <c r="A4153" s="417"/>
      <c r="B4153" s="703" t="s">
        <v>2221</v>
      </c>
      <c r="C4153" s="415">
        <v>1</v>
      </c>
      <c r="D4153" s="416">
        <f>3.2+6.3+3.2-0.2</f>
        <v>12.5</v>
      </c>
      <c r="E4153" s="416">
        <v>3.1</v>
      </c>
      <c r="F4153" s="416"/>
      <c r="G4153" s="67">
        <f t="shared" si="126"/>
        <v>38.75</v>
      </c>
      <c r="H4153" s="972" t="s">
        <v>1306</v>
      </c>
      <c r="I4153" s="1250"/>
      <c r="J4153" s="700"/>
    </row>
    <row r="4154" spans="1:10" s="704" customFormat="1" ht="18" customHeight="1">
      <c r="A4154" s="417"/>
      <c r="B4154" s="703" t="s">
        <v>1357</v>
      </c>
      <c r="C4154" s="415">
        <v>1</v>
      </c>
      <c r="D4154" s="416">
        <f>6.3+3.2-0.2</f>
        <v>9.3000000000000007</v>
      </c>
      <c r="E4154" s="416">
        <v>4.8</v>
      </c>
      <c r="F4154" s="416"/>
      <c r="G4154" s="67">
        <f t="shared" si="126"/>
        <v>44.64</v>
      </c>
      <c r="H4154" s="972" t="s">
        <v>1306</v>
      </c>
      <c r="I4154" s="1250"/>
      <c r="J4154" s="700"/>
    </row>
    <row r="4155" spans="1:10" s="704" customFormat="1" ht="18" customHeight="1">
      <c r="A4155" s="417"/>
      <c r="B4155" s="703" t="s">
        <v>2222</v>
      </c>
      <c r="C4155" s="415">
        <v>1</v>
      </c>
      <c r="D4155" s="416">
        <f>3.2+6.3+3.2-0.2</f>
        <v>12.5</v>
      </c>
      <c r="E4155" s="416">
        <f>2.25-0.2</f>
        <v>2.0499999999999998</v>
      </c>
      <c r="F4155" s="416"/>
      <c r="G4155" s="67">
        <f t="shared" si="126"/>
        <v>25.63</v>
      </c>
      <c r="H4155" s="972" t="s">
        <v>1306</v>
      </c>
      <c r="I4155" s="1250"/>
      <c r="J4155" s="700"/>
    </row>
    <row r="4156" spans="1:10" s="391" customFormat="1" ht="18" customHeight="1">
      <c r="A4156" s="430"/>
      <c r="B4156" s="390" t="s">
        <v>2223</v>
      </c>
      <c r="C4156" s="392">
        <v>6</v>
      </c>
      <c r="D4156" s="393">
        <v>4.7</v>
      </c>
      <c r="E4156" s="384">
        <v>3.05</v>
      </c>
      <c r="F4156" s="384"/>
      <c r="G4156" s="67">
        <f t="shared" si="126"/>
        <v>86.01</v>
      </c>
      <c r="H4156" s="972" t="s">
        <v>1306</v>
      </c>
      <c r="I4156" s="1254"/>
      <c r="J4156" s="705"/>
    </row>
    <row r="4157" spans="1:10" s="357" customFormat="1" ht="18" customHeight="1">
      <c r="A4157" s="501"/>
      <c r="B4157" s="431" t="s">
        <v>2224</v>
      </c>
      <c r="C4157" s="392">
        <v>6</v>
      </c>
      <c r="D4157" s="393">
        <v>3.1</v>
      </c>
      <c r="E4157" s="384">
        <v>3.1</v>
      </c>
      <c r="F4157" s="384"/>
      <c r="G4157" s="67">
        <f t="shared" si="126"/>
        <v>57.66</v>
      </c>
      <c r="H4157" s="972" t="s">
        <v>1306</v>
      </c>
      <c r="I4157" s="1232"/>
      <c r="J4157" s="700"/>
    </row>
    <row r="4158" spans="1:10" s="391" customFormat="1" ht="18" customHeight="1">
      <c r="A4158" s="430"/>
      <c r="B4158" s="390" t="s">
        <v>2225</v>
      </c>
      <c r="C4158" s="392">
        <v>2</v>
      </c>
      <c r="D4158" s="393">
        <v>3</v>
      </c>
      <c r="E4158" s="384">
        <v>4.7</v>
      </c>
      <c r="F4158" s="384"/>
      <c r="G4158" s="67">
        <f t="shared" si="126"/>
        <v>28.2</v>
      </c>
      <c r="H4158" s="972" t="s">
        <v>1306</v>
      </c>
      <c r="I4158" s="1254"/>
      <c r="J4158" s="705"/>
    </row>
    <row r="4159" spans="1:10" s="391" customFormat="1" ht="18" customHeight="1">
      <c r="A4159" s="430"/>
      <c r="B4159" s="382" t="s">
        <v>2226</v>
      </c>
      <c r="C4159" s="392"/>
      <c r="D4159" s="393"/>
      <c r="E4159" s="384"/>
      <c r="F4159" s="384"/>
      <c r="G4159" s="67" t="str">
        <f t="shared" si="126"/>
        <v xml:space="preserve"> </v>
      </c>
      <c r="H4159" s="972" t="s">
        <v>1306</v>
      </c>
      <c r="I4159" s="1254"/>
      <c r="J4159" s="705"/>
    </row>
    <row r="4160" spans="1:10" s="391" customFormat="1" ht="18" customHeight="1">
      <c r="A4160" s="430"/>
      <c r="B4160" s="390" t="s">
        <v>2227</v>
      </c>
      <c r="C4160" s="392">
        <v>1</v>
      </c>
      <c r="D4160" s="393">
        <f>6.3+3.2</f>
        <v>9.5</v>
      </c>
      <c r="E4160" s="384">
        <f>2.462+1.388</f>
        <v>3.85</v>
      </c>
      <c r="F4160" s="384"/>
      <c r="G4160" s="67">
        <f t="shared" si="126"/>
        <v>36.58</v>
      </c>
      <c r="H4160" s="972" t="s">
        <v>1306</v>
      </c>
      <c r="I4160" s="1254"/>
      <c r="J4160" s="705"/>
    </row>
    <row r="4161" spans="1:10" s="391" customFormat="1" ht="18" customHeight="1">
      <c r="A4161" s="430"/>
      <c r="B4161" s="390" t="s">
        <v>2228</v>
      </c>
      <c r="C4161" s="392">
        <v>2</v>
      </c>
      <c r="D4161" s="393">
        <v>12.5</v>
      </c>
      <c r="E4161" s="384">
        <v>1.5</v>
      </c>
      <c r="F4161" s="384"/>
      <c r="G4161" s="67">
        <f t="shared" si="126"/>
        <v>37.5</v>
      </c>
      <c r="H4161" s="972" t="s">
        <v>1306</v>
      </c>
      <c r="I4161" s="1254"/>
      <c r="J4161" s="705"/>
    </row>
    <row r="4162" spans="1:10" s="391" customFormat="1" ht="18" customHeight="1">
      <c r="A4162" s="430"/>
      <c r="B4162" s="390"/>
      <c r="C4162" s="392">
        <v>2</v>
      </c>
      <c r="D4162" s="393">
        <v>8.25</v>
      </c>
      <c r="E4162" s="384">
        <v>1.5</v>
      </c>
      <c r="F4162" s="384"/>
      <c r="G4162" s="67">
        <f t="shared" si="126"/>
        <v>24.75</v>
      </c>
      <c r="H4162" s="972" t="s">
        <v>1306</v>
      </c>
      <c r="I4162" s="1254"/>
      <c r="J4162" s="705"/>
    </row>
    <row r="4163" spans="1:10" s="391" customFormat="1" ht="18" customHeight="1">
      <c r="A4163" s="430"/>
      <c r="B4163" s="390" t="s">
        <v>2229</v>
      </c>
      <c r="C4163" s="392">
        <v>2</v>
      </c>
      <c r="D4163" s="393">
        <v>3.1</v>
      </c>
      <c r="E4163" s="384">
        <v>4.8</v>
      </c>
      <c r="F4163" s="384"/>
      <c r="G4163" s="67">
        <f t="shared" si="126"/>
        <v>29.76</v>
      </c>
      <c r="H4163" s="972" t="s">
        <v>1306</v>
      </c>
      <c r="I4163" s="1254"/>
      <c r="J4163" s="705"/>
    </row>
    <row r="4164" spans="1:10" s="78" customFormat="1" ht="18" customHeight="1">
      <c r="A4164" s="432"/>
      <c r="B4164" s="63"/>
      <c r="C4164" s="76"/>
      <c r="D4164" s="77"/>
      <c r="E4164" s="68"/>
      <c r="F4164" s="68"/>
      <c r="G4164" s="67" t="str">
        <f t="shared" si="126"/>
        <v xml:space="preserve"> </v>
      </c>
      <c r="H4164" s="972" t="s">
        <v>1306</v>
      </c>
      <c r="I4164" s="1227"/>
      <c r="J4164" s="706"/>
    </row>
    <row r="4165" spans="1:10" s="391" customFormat="1" ht="18" customHeight="1">
      <c r="A4165" s="430"/>
      <c r="B4165" s="382" t="s">
        <v>2230</v>
      </c>
      <c r="C4165" s="392">
        <v>2</v>
      </c>
      <c r="D4165" s="393">
        <f>6.475-3.2</f>
        <v>3.2749999999999995</v>
      </c>
      <c r="E4165" s="457">
        <v>6.5</v>
      </c>
      <c r="F4165" s="384"/>
      <c r="G4165" s="67">
        <f t="shared" si="126"/>
        <v>42.58</v>
      </c>
      <c r="H4165" s="972" t="s">
        <v>1306</v>
      </c>
      <c r="I4165" s="1254"/>
      <c r="J4165" s="705"/>
    </row>
    <row r="4166" spans="1:10" ht="18" customHeight="1">
      <c r="A4166" s="407" t="s">
        <v>1442</v>
      </c>
      <c r="B4166" s="478" t="s">
        <v>1494</v>
      </c>
      <c r="C4166" s="404"/>
      <c r="D4166" s="405"/>
      <c r="E4166" s="405"/>
      <c r="F4166" s="405"/>
      <c r="G4166" s="67" t="str">
        <f t="shared" si="126"/>
        <v xml:space="preserve"> </v>
      </c>
      <c r="H4166" s="935"/>
    </row>
    <row r="4167" spans="1:10" ht="18" customHeight="1">
      <c r="A4167" s="407"/>
      <c r="B4167" s="451" t="s">
        <v>1360</v>
      </c>
      <c r="C4167" s="542">
        <v>4</v>
      </c>
      <c r="D4167" s="543">
        <f>4.125-0.2</f>
        <v>3.9249999999999998</v>
      </c>
      <c r="E4167" s="543">
        <v>0.6</v>
      </c>
      <c r="F4167" s="405"/>
      <c r="G4167" s="67">
        <f t="shared" si="126"/>
        <v>9.42</v>
      </c>
      <c r="H4167" s="935" t="s">
        <v>1442</v>
      </c>
    </row>
    <row r="4168" spans="1:10" ht="18" customHeight="1">
      <c r="A4168" s="407"/>
      <c r="B4168" s="451"/>
      <c r="C4168" s="542">
        <v>4</v>
      </c>
      <c r="D4168" s="543">
        <f>5.798-1.2</f>
        <v>4.5979999999999999</v>
      </c>
      <c r="E4168" s="543">
        <v>0.6</v>
      </c>
      <c r="F4168" s="405"/>
      <c r="G4168" s="67">
        <f t="shared" si="126"/>
        <v>11.04</v>
      </c>
      <c r="H4168" s="935" t="s">
        <v>1442</v>
      </c>
    </row>
    <row r="4169" spans="1:10" ht="18" customHeight="1">
      <c r="A4169" s="407"/>
      <c r="B4169" s="451" t="s">
        <v>1361</v>
      </c>
      <c r="C4169" s="542">
        <v>4</v>
      </c>
      <c r="D4169" s="543">
        <f>1.875-0.1</f>
        <v>1.7749999999999999</v>
      </c>
      <c r="E4169" s="543">
        <v>0.6</v>
      </c>
      <c r="F4169" s="405"/>
      <c r="G4169" s="67">
        <f t="shared" si="126"/>
        <v>4.26</v>
      </c>
      <c r="H4169" s="935" t="s">
        <v>1442</v>
      </c>
    </row>
    <row r="4170" spans="1:10" ht="18" customHeight="1">
      <c r="A4170" s="407"/>
      <c r="B4170" s="451"/>
      <c r="C4170" s="542">
        <v>4</v>
      </c>
      <c r="D4170" s="543">
        <f>4.725-1.2</f>
        <v>3.5249999999999995</v>
      </c>
      <c r="E4170" s="543">
        <v>0.6</v>
      </c>
      <c r="F4170" s="405"/>
      <c r="G4170" s="67">
        <f t="shared" si="126"/>
        <v>8.4600000000000009</v>
      </c>
      <c r="H4170" s="935" t="s">
        <v>1442</v>
      </c>
    </row>
    <row r="4171" spans="1:10" ht="18" customHeight="1">
      <c r="A4171" s="407"/>
      <c r="B4171" s="451" t="s">
        <v>1362</v>
      </c>
      <c r="C4171" s="542">
        <v>4</v>
      </c>
      <c r="D4171" s="543">
        <f>2.25-0.1-0.225</f>
        <v>1.9249999999999998</v>
      </c>
      <c r="E4171" s="543">
        <v>0.6</v>
      </c>
      <c r="F4171" s="405"/>
      <c r="G4171" s="67">
        <f t="shared" si="126"/>
        <v>4.62</v>
      </c>
      <c r="H4171" s="935" t="s">
        <v>1442</v>
      </c>
    </row>
    <row r="4172" spans="1:10" s="357" customFormat="1" ht="18" customHeight="1">
      <c r="A4172" s="417"/>
      <c r="B4172" s="504"/>
      <c r="C4172" s="415"/>
      <c r="D4172" s="416"/>
      <c r="E4172" s="546"/>
      <c r="F4172" s="416"/>
      <c r="G4172" s="416">
        <f>+PRODUCT(C4172:F4172)</f>
        <v>0</v>
      </c>
      <c r="H4172" s="972"/>
      <c r="I4172" s="1232"/>
    </row>
    <row r="4173" spans="1:10" s="357" customFormat="1" ht="18" customHeight="1">
      <c r="A4173" s="1017"/>
      <c r="B4173" s="874" t="s">
        <v>2188</v>
      </c>
      <c r="C4173" s="1017"/>
      <c r="D4173" s="1017"/>
      <c r="E4173" s="1017"/>
      <c r="F4173" s="1017"/>
      <c r="G4173" s="968">
        <f>SUM(G4136:G4172)</f>
        <v>817.13</v>
      </c>
      <c r="H4173" s="1018" t="s">
        <v>350</v>
      </c>
      <c r="I4173" s="1232" t="s">
        <v>2307</v>
      </c>
    </row>
    <row r="4174" spans="1:10" s="704" customFormat="1" ht="18" customHeight="1">
      <c r="A4174" s="934"/>
      <c r="B4174" s="566"/>
      <c r="C4174" s="565"/>
      <c r="D4174" s="254"/>
      <c r="E4174" s="254"/>
      <c r="F4174" s="254"/>
      <c r="G4174" s="707"/>
      <c r="H4174" s="972"/>
      <c r="I4174" s="1250"/>
    </row>
    <row r="4175" spans="1:10" s="357" customFormat="1" ht="18" customHeight="1">
      <c r="A4175" s="388" t="s">
        <v>2309</v>
      </c>
      <c r="B4175" s="389" t="s">
        <v>1209</v>
      </c>
      <c r="C4175" s="383"/>
      <c r="D4175" s="384"/>
      <c r="E4175" s="384"/>
      <c r="F4175" s="384"/>
      <c r="G4175" s="384"/>
      <c r="H4175" s="936"/>
      <c r="I4175" s="1232"/>
      <c r="J4175" s="686" t="s">
        <v>2187</v>
      </c>
    </row>
    <row r="4176" spans="1:10" s="704" customFormat="1" ht="18" customHeight="1">
      <c r="A4176" s="417"/>
      <c r="B4176" s="504" t="s">
        <v>2231</v>
      </c>
      <c r="C4176" s="415"/>
      <c r="D4176" s="416"/>
      <c r="E4176" s="416"/>
      <c r="F4176" s="416"/>
      <c r="G4176" s="416">
        <f>+PRODUCT(C4176:F4176)</f>
        <v>0</v>
      </c>
      <c r="H4176" s="972"/>
      <c r="I4176" s="1250"/>
      <c r="J4176" s="700"/>
    </row>
    <row r="4177" spans="1:10" s="704" customFormat="1" ht="18" customHeight="1">
      <c r="A4177" s="417" t="s">
        <v>1303</v>
      </c>
      <c r="B4177" s="703" t="s">
        <v>1305</v>
      </c>
      <c r="C4177" s="415">
        <f>1</f>
        <v>1</v>
      </c>
      <c r="D4177" s="416">
        <v>655</v>
      </c>
      <c r="E4177" s="416"/>
      <c r="F4177" s="416"/>
      <c r="G4177" s="67">
        <f t="shared" ref="G4177:G4199" si="127">IF(C4177&lt;&gt;0,ROUND(PRODUCT(D4177:F4177)*C4177,2)," ")</f>
        <v>655</v>
      </c>
      <c r="H4177" s="972"/>
      <c r="I4177" s="1250"/>
      <c r="J4177" s="700"/>
    </row>
    <row r="4178" spans="1:10" s="704" customFormat="1" ht="18" customHeight="1">
      <c r="A4178" s="417"/>
      <c r="B4178" s="703" t="s">
        <v>1327</v>
      </c>
      <c r="C4178" s="415">
        <f>2</f>
        <v>2</v>
      </c>
      <c r="D4178" s="416">
        <v>67.084000000000003</v>
      </c>
      <c r="E4178" s="416"/>
      <c r="F4178" s="416"/>
      <c r="G4178" s="67">
        <f t="shared" si="127"/>
        <v>134.16999999999999</v>
      </c>
      <c r="H4178" s="972"/>
      <c r="I4178" s="1250"/>
      <c r="J4178" s="700"/>
    </row>
    <row r="4179" spans="1:10" s="704" customFormat="1" ht="18" customHeight="1">
      <c r="A4179" s="417"/>
      <c r="B4179" s="703" t="s">
        <v>1328</v>
      </c>
      <c r="C4179" s="415">
        <v>1</v>
      </c>
      <c r="D4179" s="416">
        <v>113.32</v>
      </c>
      <c r="E4179" s="416"/>
      <c r="F4179" s="416"/>
      <c r="G4179" s="67">
        <f t="shared" si="127"/>
        <v>113.32</v>
      </c>
      <c r="H4179" s="972"/>
      <c r="I4179" s="1250"/>
      <c r="J4179" s="700"/>
    </row>
    <row r="4180" spans="1:10" s="704" customFormat="1" ht="18" customHeight="1">
      <c r="A4180" s="417"/>
      <c r="B4180" s="703"/>
      <c r="C4180" s="415"/>
      <c r="D4180" s="416"/>
      <c r="E4180" s="416"/>
      <c r="F4180" s="416"/>
      <c r="G4180" s="67" t="str">
        <f t="shared" si="127"/>
        <v xml:space="preserve"> </v>
      </c>
      <c r="H4180" s="972"/>
      <c r="I4180" s="1250"/>
      <c r="J4180" s="700"/>
    </row>
    <row r="4181" spans="1:10" s="357" customFormat="1" ht="18" customHeight="1">
      <c r="A4181" s="401"/>
      <c r="B4181" s="382" t="s">
        <v>2232</v>
      </c>
      <c r="C4181" s="383"/>
      <c r="D4181" s="384"/>
      <c r="E4181" s="384"/>
      <c r="F4181" s="384"/>
      <c r="G4181" s="67" t="str">
        <f t="shared" si="127"/>
        <v xml:space="preserve"> </v>
      </c>
      <c r="H4181" s="936"/>
      <c r="I4181" s="1232"/>
      <c r="J4181" s="700"/>
    </row>
    <row r="4182" spans="1:10" s="357" customFormat="1" ht="18" customHeight="1">
      <c r="A4182" s="401"/>
      <c r="B4182" s="390" t="s">
        <v>1349</v>
      </c>
      <c r="C4182" s="383">
        <v>1</v>
      </c>
      <c r="D4182" s="384">
        <f>6.45+6.45+6.3+6.45+6.45+2</f>
        <v>34.1</v>
      </c>
      <c r="E4182" s="384">
        <v>1.2</v>
      </c>
      <c r="F4182" s="384"/>
      <c r="G4182" s="67">
        <f t="shared" si="127"/>
        <v>40.92</v>
      </c>
      <c r="H4182" s="936"/>
      <c r="I4182" s="1232"/>
      <c r="J4182" s="700"/>
    </row>
    <row r="4183" spans="1:10" s="357" customFormat="1" ht="18" customHeight="1">
      <c r="A4183" s="401"/>
      <c r="B4183" s="390" t="s">
        <v>1350</v>
      </c>
      <c r="C4183" s="383">
        <v>1</v>
      </c>
      <c r="D4183" s="384">
        <f>6.4+6.4+1.475+1.825</f>
        <v>16.100000000000001</v>
      </c>
      <c r="E4183" s="384">
        <v>1.2</v>
      </c>
      <c r="F4183" s="384"/>
      <c r="G4183" s="67">
        <f t="shared" si="127"/>
        <v>19.32</v>
      </c>
      <c r="H4183" s="936"/>
      <c r="I4183" s="1232"/>
      <c r="J4183" s="700"/>
    </row>
    <row r="4184" spans="1:10" s="357" customFormat="1" ht="18" customHeight="1">
      <c r="A4184" s="401"/>
      <c r="B4184" s="390" t="s">
        <v>1351</v>
      </c>
      <c r="C4184" s="383">
        <v>1</v>
      </c>
      <c r="D4184" s="384">
        <f>1.775+6.4+4.925</f>
        <v>13.100000000000001</v>
      </c>
      <c r="E4184" s="384">
        <v>1.5</v>
      </c>
      <c r="F4184" s="384"/>
      <c r="G4184" s="67">
        <f t="shared" si="127"/>
        <v>19.649999999999999</v>
      </c>
      <c r="H4184" s="936"/>
      <c r="I4184" s="1232"/>
      <c r="J4184" s="700"/>
    </row>
    <row r="4185" spans="1:10" s="357" customFormat="1" ht="18" customHeight="1">
      <c r="A4185" s="401"/>
      <c r="B4185" s="390" t="s">
        <v>1352</v>
      </c>
      <c r="C4185" s="383">
        <v>1</v>
      </c>
      <c r="D4185" s="384">
        <v>10.5</v>
      </c>
      <c r="E4185" s="384">
        <v>1.2</v>
      </c>
      <c r="F4185" s="384"/>
      <c r="G4185" s="67">
        <f t="shared" si="127"/>
        <v>12.6</v>
      </c>
      <c r="H4185" s="936"/>
      <c r="I4185" s="1232"/>
      <c r="J4185" s="700"/>
    </row>
    <row r="4186" spans="1:10" s="357" customFormat="1" ht="18" customHeight="1">
      <c r="A4186" s="401"/>
      <c r="B4186" s="390" t="s">
        <v>1353</v>
      </c>
      <c r="C4186" s="383">
        <v>1</v>
      </c>
      <c r="D4186" s="384">
        <f>1.6+1.775+6.4+6.4+1.475+1.825</f>
        <v>19.475000000000001</v>
      </c>
      <c r="E4186" s="384">
        <v>1.2</v>
      </c>
      <c r="F4186" s="384"/>
      <c r="G4186" s="67">
        <f t="shared" si="127"/>
        <v>23.37</v>
      </c>
      <c r="H4186" s="936"/>
      <c r="I4186" s="1232"/>
      <c r="J4186" s="700"/>
    </row>
    <row r="4187" spans="1:10" s="357" customFormat="1" ht="18" customHeight="1">
      <c r="A4187" s="401"/>
      <c r="B4187" s="385" t="s">
        <v>1194</v>
      </c>
      <c r="C4187" s="383"/>
      <c r="D4187" s="384"/>
      <c r="E4187" s="384"/>
      <c r="F4187" s="384"/>
      <c r="G4187" s="67" t="str">
        <f t="shared" si="127"/>
        <v xml:space="preserve"> </v>
      </c>
      <c r="H4187" s="936"/>
      <c r="I4187" s="1232"/>
    </row>
    <row r="4188" spans="1:10" s="357" customFormat="1" ht="18" customHeight="1">
      <c r="A4188" s="401"/>
      <c r="B4188" s="413" t="s">
        <v>1339</v>
      </c>
      <c r="C4188" s="547">
        <v>1</v>
      </c>
      <c r="D4188" s="545">
        <f>2.298+4.6+3.825+3.2+6.45+6.45+6.45+6.45+3.2+3.825+4.6+2.298</f>
        <v>53.646000000000008</v>
      </c>
      <c r="E4188" s="545">
        <f>0.6+0.075</f>
        <v>0.67499999999999993</v>
      </c>
      <c r="F4188" s="384"/>
      <c r="G4188" s="67">
        <f t="shared" si="127"/>
        <v>36.21</v>
      </c>
      <c r="H4188" s="936" t="s">
        <v>1306</v>
      </c>
      <c r="I4188" s="1232"/>
    </row>
    <row r="4189" spans="1:10" s="357" customFormat="1" ht="18" customHeight="1">
      <c r="A4189" s="401"/>
      <c r="B4189" s="413" t="s">
        <v>1193</v>
      </c>
      <c r="C4189" s="547">
        <v>1</v>
      </c>
      <c r="D4189" s="545">
        <f>2.298+4.6+3.825+3.2+6.45+6.45+6.3+6.45+6.45+3.2+3.825+4.6+2.298</f>
        <v>59.946000000000012</v>
      </c>
      <c r="E4189" s="545">
        <f t="shared" ref="E4189:E4192" si="128">0.6+0.075</f>
        <v>0.67499999999999993</v>
      </c>
      <c r="F4189" s="384"/>
      <c r="G4189" s="67">
        <f t="shared" si="127"/>
        <v>40.46</v>
      </c>
      <c r="H4189" s="936" t="s">
        <v>1306</v>
      </c>
      <c r="I4189" s="1232"/>
    </row>
    <row r="4190" spans="1:10" s="357" customFormat="1" ht="18" customHeight="1">
      <c r="A4190" s="401"/>
      <c r="B4190" s="413" t="s">
        <v>1340</v>
      </c>
      <c r="C4190" s="547">
        <v>1</v>
      </c>
      <c r="D4190" s="545">
        <f>2.025+4.6+3.775+6.45+6.4+6.4+3.25+3.175+4.125+5.187+6.622</f>
        <v>52.008999999999993</v>
      </c>
      <c r="E4190" s="545">
        <f t="shared" si="128"/>
        <v>0.67499999999999993</v>
      </c>
      <c r="F4190" s="384"/>
      <c r="G4190" s="67">
        <f t="shared" si="127"/>
        <v>35.11</v>
      </c>
      <c r="H4190" s="936" t="s">
        <v>1306</v>
      </c>
      <c r="I4190" s="1232"/>
    </row>
    <row r="4191" spans="1:10" s="357" customFormat="1" ht="18" customHeight="1">
      <c r="A4191" s="401"/>
      <c r="B4191" s="413" t="s">
        <v>1341</v>
      </c>
      <c r="C4191" s="547">
        <v>1</v>
      </c>
      <c r="D4191" s="545">
        <f>2.025+4.6+3.775+6.45+6.4+6.4+3.25+3.175+4.125+5.187+6.622</f>
        <v>52.008999999999993</v>
      </c>
      <c r="E4191" s="545">
        <f t="shared" si="128"/>
        <v>0.67499999999999993</v>
      </c>
      <c r="F4191" s="384"/>
      <c r="G4191" s="67">
        <f t="shared" si="127"/>
        <v>35.11</v>
      </c>
      <c r="H4191" s="936" t="s">
        <v>1306</v>
      </c>
      <c r="I4191" s="1232"/>
    </row>
    <row r="4192" spans="1:10" s="357" customFormat="1" ht="18" customHeight="1">
      <c r="A4192" s="401"/>
      <c r="B4192" s="413" t="s">
        <v>1342</v>
      </c>
      <c r="C4192" s="983">
        <v>1</v>
      </c>
      <c r="D4192" s="557">
        <v>2.2879999999999998</v>
      </c>
      <c r="E4192" s="557">
        <f t="shared" si="128"/>
        <v>0.67499999999999993</v>
      </c>
      <c r="F4192" s="384"/>
      <c r="G4192" s="67">
        <f t="shared" si="127"/>
        <v>1.54</v>
      </c>
      <c r="H4192" s="936" t="s">
        <v>1306</v>
      </c>
      <c r="I4192" s="1232"/>
    </row>
    <row r="4193" spans="1:10" s="357" customFormat="1" ht="18" customHeight="1">
      <c r="A4193" s="401"/>
      <c r="B4193" s="385" t="s">
        <v>1195</v>
      </c>
      <c r="C4193" s="383"/>
      <c r="D4193" s="384"/>
      <c r="E4193" s="384"/>
      <c r="F4193" s="384"/>
      <c r="G4193" s="67" t="str">
        <f t="shared" si="127"/>
        <v xml:space="preserve"> </v>
      </c>
      <c r="H4193" s="936" t="s">
        <v>1306</v>
      </c>
      <c r="I4193" s="1232"/>
    </row>
    <row r="4194" spans="1:10" s="357" customFormat="1" ht="18" customHeight="1">
      <c r="A4194" s="401"/>
      <c r="B4194" s="413" t="s">
        <v>1196</v>
      </c>
      <c r="C4194" s="547">
        <v>1</v>
      </c>
      <c r="D4194" s="545">
        <f>6.45+6.45+6.3+6.45+6.45+1.6+1.6-0.2</f>
        <v>35.1</v>
      </c>
      <c r="E4194" s="545">
        <f t="shared" ref="E4194:E4197" si="129">0.6+0.075</f>
        <v>0.67499999999999993</v>
      </c>
      <c r="F4194" s="384"/>
      <c r="G4194" s="67">
        <f t="shared" si="127"/>
        <v>23.69</v>
      </c>
      <c r="H4194" s="936" t="s">
        <v>1306</v>
      </c>
      <c r="I4194" s="1232"/>
    </row>
    <row r="4195" spans="1:10" s="357" customFormat="1" ht="18" customHeight="1">
      <c r="A4195" s="401"/>
      <c r="B4195" s="413" t="s">
        <v>1197</v>
      </c>
      <c r="C4195" s="547">
        <v>1</v>
      </c>
      <c r="D4195" s="545">
        <f>32.1+1.475+1.825+1.475+1.825-0.2</f>
        <v>38.500000000000007</v>
      </c>
      <c r="E4195" s="545">
        <f t="shared" si="129"/>
        <v>0.67499999999999993</v>
      </c>
      <c r="F4195" s="384"/>
      <c r="G4195" s="67">
        <f t="shared" si="127"/>
        <v>25.99</v>
      </c>
      <c r="H4195" s="936" t="s">
        <v>1306</v>
      </c>
      <c r="I4195" s="1232"/>
    </row>
    <row r="4196" spans="1:10" s="357" customFormat="1" ht="18" customHeight="1">
      <c r="A4196" s="401"/>
      <c r="B4196" s="390" t="s">
        <v>1198</v>
      </c>
      <c r="C4196" s="547">
        <v>1</v>
      </c>
      <c r="D4196" s="545">
        <f>1.6+1.775+6.4+6.4+1.825-(0.278+0.273+0.675+0.675)</f>
        <v>16.099</v>
      </c>
      <c r="E4196" s="545">
        <f t="shared" si="129"/>
        <v>0.67499999999999993</v>
      </c>
      <c r="F4196" s="384"/>
      <c r="G4196" s="67">
        <f t="shared" si="127"/>
        <v>10.87</v>
      </c>
      <c r="H4196" s="936" t="s">
        <v>1306</v>
      </c>
      <c r="I4196" s="1232"/>
    </row>
    <row r="4197" spans="1:10" s="357" customFormat="1" ht="18" customHeight="1">
      <c r="A4197" s="401"/>
      <c r="B4197" s="390" t="s">
        <v>1199</v>
      </c>
      <c r="C4197" s="547">
        <v>1</v>
      </c>
      <c r="D4197" s="545">
        <f>1.6+1.775+6.4+6.4+1.825-(0.278+0.273+0.675+0.675)</f>
        <v>16.099</v>
      </c>
      <c r="E4197" s="545">
        <f t="shared" si="129"/>
        <v>0.67499999999999993</v>
      </c>
      <c r="F4197" s="384"/>
      <c r="G4197" s="67">
        <f t="shared" si="127"/>
        <v>10.87</v>
      </c>
      <c r="H4197" s="936" t="s">
        <v>1306</v>
      </c>
      <c r="I4197" s="1232"/>
    </row>
    <row r="4198" spans="1:10" s="357" customFormat="1" ht="18" customHeight="1">
      <c r="A4198" s="381" t="s">
        <v>1442</v>
      </c>
      <c r="B4198" s="390" t="s">
        <v>1444</v>
      </c>
      <c r="C4198" s="547">
        <v>1</v>
      </c>
      <c r="D4198" s="545">
        <v>2.5</v>
      </c>
      <c r="E4198" s="545">
        <v>2.5</v>
      </c>
      <c r="F4198" s="384"/>
      <c r="G4198" s="67">
        <f t="shared" si="127"/>
        <v>6.25</v>
      </c>
      <c r="H4198" s="936" t="s">
        <v>1442</v>
      </c>
      <c r="I4198" s="1249"/>
    </row>
    <row r="4199" spans="1:10" s="357" customFormat="1" ht="18" customHeight="1">
      <c r="A4199" s="401"/>
      <c r="B4199" s="390" t="s">
        <v>1444</v>
      </c>
      <c r="C4199" s="547">
        <v>1</v>
      </c>
      <c r="D4199" s="545">
        <f>2.4+0.2</f>
        <v>2.6</v>
      </c>
      <c r="E4199" s="545">
        <f>3.6+0.2</f>
        <v>3.8000000000000003</v>
      </c>
      <c r="F4199" s="384"/>
      <c r="G4199" s="67">
        <f t="shared" si="127"/>
        <v>9.8800000000000008</v>
      </c>
      <c r="H4199" s="936" t="s">
        <v>1442</v>
      </c>
      <c r="I4199" s="1232"/>
    </row>
    <row r="4200" spans="1:10" s="357" customFormat="1" ht="18" customHeight="1">
      <c r="A4200" s="1017"/>
      <c r="B4200" s="874" t="s">
        <v>2188</v>
      </c>
      <c r="C4200" s="1017"/>
      <c r="D4200" s="1017"/>
      <c r="E4200" s="1017"/>
      <c r="F4200" s="1017"/>
      <c r="G4200" s="968">
        <f>SUM(G4175:G4199)</f>
        <v>1254.3299999999997</v>
      </c>
      <c r="H4200" s="1018" t="s">
        <v>350</v>
      </c>
      <c r="I4200" s="1232" t="s">
        <v>2309</v>
      </c>
    </row>
    <row r="4201" spans="1:10" s="704" customFormat="1" ht="18" customHeight="1">
      <c r="A4201" s="934"/>
      <c r="B4201" s="566"/>
      <c r="C4201" s="565"/>
      <c r="D4201" s="254"/>
      <c r="E4201" s="254"/>
      <c r="F4201" s="254"/>
      <c r="G4201" s="707"/>
      <c r="H4201" s="972"/>
      <c r="I4201" s="1250"/>
    </row>
    <row r="4202" spans="1:10" s="357" customFormat="1" ht="18" customHeight="1">
      <c r="A4202" s="388" t="s">
        <v>2310</v>
      </c>
      <c r="B4202" s="389" t="s">
        <v>1224</v>
      </c>
      <c r="C4202" s="383"/>
      <c r="D4202" s="384"/>
      <c r="E4202" s="384"/>
      <c r="F4202" s="384"/>
      <c r="G4202" s="384"/>
      <c r="H4202" s="936"/>
      <c r="I4202" s="1232"/>
      <c r="J4202" s="65"/>
    </row>
    <row r="4203" spans="1:10" s="357" customFormat="1" ht="18" customHeight="1">
      <c r="A4203" s="417" t="s">
        <v>1303</v>
      </c>
      <c r="B4203" s="703" t="s">
        <v>1329</v>
      </c>
      <c r="C4203" s="415">
        <f>8</f>
        <v>8</v>
      </c>
      <c r="D4203" s="416">
        <f>1+0.3+0.3</f>
        <v>1.6</v>
      </c>
      <c r="E4203" s="416">
        <v>8.4499999999999993</v>
      </c>
      <c r="F4203" s="416"/>
      <c r="G4203" s="67">
        <f t="shared" ref="G4203:G4219" si="130">IF(C4203&lt;&gt;0,ROUND(PRODUCT(D4203:F4203)*C4203,2)," ")</f>
        <v>108.16</v>
      </c>
      <c r="H4203" s="972" t="s">
        <v>1442</v>
      </c>
      <c r="I4203" s="1232"/>
    </row>
    <row r="4204" spans="1:10" s="357" customFormat="1" ht="18" customHeight="1">
      <c r="A4204" s="417"/>
      <c r="B4204" s="703" t="s">
        <v>1730</v>
      </c>
      <c r="C4204" s="415">
        <v>2</v>
      </c>
      <c r="D4204" s="416">
        <v>1.2</v>
      </c>
      <c r="E4204" s="416">
        <v>7.2</v>
      </c>
      <c r="F4204" s="416"/>
      <c r="G4204" s="67">
        <f t="shared" si="130"/>
        <v>17.28</v>
      </c>
      <c r="H4204" s="972" t="s">
        <v>1442</v>
      </c>
      <c r="I4204" s="1232"/>
    </row>
    <row r="4205" spans="1:10" s="357" customFormat="1" ht="18" customHeight="1">
      <c r="A4205" s="417"/>
      <c r="B4205" s="703" t="s">
        <v>1731</v>
      </c>
      <c r="C4205" s="415">
        <v>2</v>
      </c>
      <c r="D4205" s="416">
        <v>1.2</v>
      </c>
      <c r="E4205" s="416">
        <v>10</v>
      </c>
      <c r="F4205" s="416"/>
      <c r="G4205" s="67">
        <f t="shared" si="130"/>
        <v>24</v>
      </c>
      <c r="H4205" s="972" t="s">
        <v>1442</v>
      </c>
      <c r="I4205" s="1232"/>
    </row>
    <row r="4206" spans="1:10" s="357" customFormat="1" ht="18" customHeight="1">
      <c r="A4206" s="417"/>
      <c r="B4206" s="703" t="s">
        <v>1732</v>
      </c>
      <c r="C4206" s="415">
        <v>2</v>
      </c>
      <c r="D4206" s="416">
        <f>0.25+0.3</f>
        <v>0.55000000000000004</v>
      </c>
      <c r="E4206" s="416">
        <v>2.7</v>
      </c>
      <c r="F4206" s="416"/>
      <c r="G4206" s="67">
        <f t="shared" si="130"/>
        <v>2.97</v>
      </c>
      <c r="H4206" s="972" t="s">
        <v>1442</v>
      </c>
      <c r="I4206" s="1232"/>
    </row>
    <row r="4207" spans="1:10" s="357" customFormat="1" ht="18" customHeight="1">
      <c r="A4207" s="417"/>
      <c r="B4207" s="703" t="s">
        <v>1728</v>
      </c>
      <c r="C4207" s="415">
        <v>1</v>
      </c>
      <c r="D4207" s="416">
        <v>6</v>
      </c>
      <c r="E4207" s="416">
        <v>0.75</v>
      </c>
      <c r="F4207" s="416"/>
      <c r="G4207" s="67">
        <f t="shared" si="130"/>
        <v>4.5</v>
      </c>
      <c r="H4207" s="972" t="s">
        <v>1442</v>
      </c>
      <c r="I4207" s="1232"/>
    </row>
    <row r="4208" spans="1:10" s="357" customFormat="1" ht="18" customHeight="1">
      <c r="A4208" s="417"/>
      <c r="B4208" s="703" t="s">
        <v>1729</v>
      </c>
      <c r="C4208" s="415">
        <v>2</v>
      </c>
      <c r="D4208" s="416">
        <f>0.75*4</f>
        <v>3</v>
      </c>
      <c r="E4208" s="416">
        <v>2.7</v>
      </c>
      <c r="F4208" s="416"/>
      <c r="G4208" s="67">
        <f t="shared" si="130"/>
        <v>16.2</v>
      </c>
      <c r="H4208" s="972" t="s">
        <v>1442</v>
      </c>
      <c r="I4208" s="1232"/>
    </row>
    <row r="4209" spans="1:10" s="357" customFormat="1" ht="18" customHeight="1">
      <c r="A4209" s="417"/>
      <c r="B4209" s="703" t="s">
        <v>1330</v>
      </c>
      <c r="C4209" s="415">
        <f>6</f>
        <v>6</v>
      </c>
      <c r="D4209" s="416">
        <v>1.6</v>
      </c>
      <c r="E4209" s="416">
        <v>8.4499999999999993</v>
      </c>
      <c r="F4209" s="416"/>
      <c r="G4209" s="67">
        <f t="shared" si="130"/>
        <v>81.12</v>
      </c>
      <c r="H4209" s="972" t="s">
        <v>1442</v>
      </c>
      <c r="I4209" s="1232"/>
    </row>
    <row r="4210" spans="1:10" s="357" customFormat="1" ht="18" customHeight="1">
      <c r="A4210" s="417"/>
      <c r="B4210" s="703" t="s">
        <v>1331</v>
      </c>
      <c r="C4210" s="415">
        <f>6</f>
        <v>6</v>
      </c>
      <c r="D4210" s="416">
        <v>1.6</v>
      </c>
      <c r="E4210" s="416">
        <v>8.4499999999999993</v>
      </c>
      <c r="F4210" s="416"/>
      <c r="G4210" s="67">
        <f t="shared" si="130"/>
        <v>81.12</v>
      </c>
      <c r="H4210" s="972" t="s">
        <v>1442</v>
      </c>
      <c r="I4210" s="1232"/>
    </row>
    <row r="4211" spans="1:10" s="357" customFormat="1" ht="18" customHeight="1">
      <c r="A4211" s="417"/>
      <c r="B4211" s="703" t="s">
        <v>1332</v>
      </c>
      <c r="C4211" s="415">
        <f>6</f>
        <v>6</v>
      </c>
      <c r="D4211" s="416">
        <v>1.6</v>
      </c>
      <c r="E4211" s="416">
        <v>8.4499999999999993</v>
      </c>
      <c r="F4211" s="416"/>
      <c r="G4211" s="67">
        <f t="shared" si="130"/>
        <v>81.12</v>
      </c>
      <c r="H4211" s="972" t="s">
        <v>1442</v>
      </c>
      <c r="I4211" s="1232"/>
    </row>
    <row r="4212" spans="1:10" s="357" customFormat="1" ht="18" customHeight="1">
      <c r="A4212" s="417"/>
      <c r="B4212" s="703" t="s">
        <v>1722</v>
      </c>
      <c r="C4212" s="415"/>
      <c r="D4212" s="416"/>
      <c r="E4212" s="416"/>
      <c r="F4212" s="416"/>
      <c r="G4212" s="67" t="str">
        <f t="shared" si="130"/>
        <v xml:space="preserve"> </v>
      </c>
      <c r="H4212" s="972" t="s">
        <v>1442</v>
      </c>
      <c r="I4212" s="1232"/>
    </row>
    <row r="4213" spans="1:10" s="357" customFormat="1" ht="18" customHeight="1">
      <c r="A4213" s="417"/>
      <c r="B4213" s="703" t="s">
        <v>1333</v>
      </c>
      <c r="C4213" s="415">
        <f>8</f>
        <v>8</v>
      </c>
      <c r="D4213" s="416">
        <v>1.6</v>
      </c>
      <c r="E4213" s="416">
        <f>10.45-2.6</f>
        <v>7.85</v>
      </c>
      <c r="F4213" s="416"/>
      <c r="G4213" s="67">
        <f t="shared" si="130"/>
        <v>100.48</v>
      </c>
      <c r="H4213" s="972" t="s">
        <v>1442</v>
      </c>
      <c r="I4213" s="1232"/>
    </row>
    <row r="4214" spans="1:10" s="357" customFormat="1" ht="18" customHeight="1">
      <c r="A4214" s="417"/>
      <c r="B4214" s="703" t="s">
        <v>1334</v>
      </c>
      <c r="C4214" s="415">
        <v>3</v>
      </c>
      <c r="D4214" s="416">
        <v>1.6</v>
      </c>
      <c r="E4214" s="416">
        <f>10.45-2.6</f>
        <v>7.85</v>
      </c>
      <c r="F4214" s="416"/>
      <c r="G4214" s="67">
        <f t="shared" si="130"/>
        <v>37.68</v>
      </c>
      <c r="H4214" s="972" t="s">
        <v>1442</v>
      </c>
      <c r="I4214" s="1232"/>
    </row>
    <row r="4215" spans="1:10" s="357" customFormat="1" ht="18" customHeight="1">
      <c r="A4215" s="417"/>
      <c r="B4215" s="703" t="s">
        <v>1335</v>
      </c>
      <c r="C4215" s="415">
        <f>6</f>
        <v>6</v>
      </c>
      <c r="D4215" s="416">
        <v>1.6</v>
      </c>
      <c r="E4215" s="416">
        <f>10.45-2.6</f>
        <v>7.85</v>
      </c>
      <c r="F4215" s="416"/>
      <c r="G4215" s="67">
        <f t="shared" si="130"/>
        <v>75.36</v>
      </c>
      <c r="H4215" s="972" t="s">
        <v>1442</v>
      </c>
      <c r="I4215" s="1232"/>
    </row>
    <row r="4216" spans="1:10" s="357" customFormat="1" ht="18" customHeight="1">
      <c r="A4216" s="417"/>
      <c r="B4216" s="703" t="s">
        <v>1723</v>
      </c>
      <c r="C4216" s="415">
        <v>1</v>
      </c>
      <c r="D4216" s="416">
        <v>1.2</v>
      </c>
      <c r="E4216" s="416">
        <v>4</v>
      </c>
      <c r="F4216" s="416"/>
      <c r="G4216" s="67">
        <f t="shared" si="130"/>
        <v>4.8</v>
      </c>
      <c r="H4216" s="972" t="s">
        <v>1442</v>
      </c>
      <c r="I4216" s="1232"/>
    </row>
    <row r="4217" spans="1:10" s="357" customFormat="1" ht="18" customHeight="1">
      <c r="A4217" s="417"/>
      <c r="B4217" s="703" t="s">
        <v>1733</v>
      </c>
      <c r="C4217" s="415">
        <v>2</v>
      </c>
      <c r="D4217" s="416">
        <v>1.2</v>
      </c>
      <c r="E4217" s="416">
        <v>4</v>
      </c>
      <c r="F4217" s="416"/>
      <c r="G4217" s="67">
        <f t="shared" si="130"/>
        <v>9.6</v>
      </c>
      <c r="H4217" s="972" t="s">
        <v>1442</v>
      </c>
      <c r="I4217" s="1232"/>
    </row>
    <row r="4218" spans="1:10" s="357" customFormat="1" ht="18" customHeight="1">
      <c r="A4218" s="417"/>
      <c r="B4218" s="703" t="s">
        <v>1734</v>
      </c>
      <c r="C4218" s="415">
        <v>2</v>
      </c>
      <c r="D4218" s="416">
        <v>1.2</v>
      </c>
      <c r="E4218" s="416">
        <v>5</v>
      </c>
      <c r="F4218" s="416"/>
      <c r="G4218" s="67">
        <f t="shared" si="130"/>
        <v>12</v>
      </c>
      <c r="H4218" s="972" t="s">
        <v>1442</v>
      </c>
      <c r="I4218" s="1232"/>
    </row>
    <row r="4219" spans="1:10" s="357" customFormat="1" ht="18" customHeight="1">
      <c r="A4219" s="417"/>
      <c r="B4219" s="703" t="s">
        <v>1336</v>
      </c>
      <c r="C4219" s="415">
        <f>3</f>
        <v>3</v>
      </c>
      <c r="D4219" s="416">
        <v>1.6</v>
      </c>
      <c r="E4219" s="416">
        <f>10.45-2.6</f>
        <v>7.85</v>
      </c>
      <c r="F4219" s="416"/>
      <c r="G4219" s="67">
        <f t="shared" si="130"/>
        <v>37.68</v>
      </c>
      <c r="H4219" s="972" t="s">
        <v>1442</v>
      </c>
      <c r="I4219" s="1232"/>
    </row>
    <row r="4220" spans="1:10" s="357" customFormat="1" ht="18" customHeight="1">
      <c r="A4220" s="417"/>
      <c r="B4220" s="703"/>
      <c r="C4220" s="415"/>
      <c r="D4220" s="416"/>
      <c r="E4220" s="416"/>
      <c r="F4220" s="416"/>
      <c r="G4220" s="67"/>
      <c r="H4220" s="972"/>
      <c r="I4220" s="1232"/>
    </row>
    <row r="4221" spans="1:10" s="357" customFormat="1" ht="18" customHeight="1">
      <c r="A4221" s="1017"/>
      <c r="B4221" s="874" t="s">
        <v>2188</v>
      </c>
      <c r="C4221" s="1017"/>
      <c r="D4221" s="1017"/>
      <c r="E4221" s="1017"/>
      <c r="F4221" s="1017"/>
      <c r="G4221" s="968">
        <f>SUM(G4202:G4220)</f>
        <v>694.06999999999994</v>
      </c>
      <c r="H4221" s="1018" t="s">
        <v>350</v>
      </c>
      <c r="I4221" s="1232" t="s">
        <v>2310</v>
      </c>
    </row>
    <row r="4222" spans="1:10" s="704" customFormat="1" ht="18" customHeight="1">
      <c r="A4222" s="934"/>
      <c r="B4222" s="566"/>
      <c r="C4222" s="565"/>
      <c r="D4222" s="254"/>
      <c r="E4222" s="254"/>
      <c r="F4222" s="254"/>
      <c r="G4222" s="707"/>
      <c r="H4222" s="972"/>
      <c r="I4222" s="1250"/>
    </row>
    <row r="4223" spans="1:10" s="357" customFormat="1" ht="28.5">
      <c r="A4223" s="1028" t="s">
        <v>2233</v>
      </c>
      <c r="B4223" s="389" t="s">
        <v>1225</v>
      </c>
      <c r="C4223" s="383"/>
      <c r="D4223" s="384"/>
      <c r="E4223" s="384"/>
      <c r="F4223" s="384"/>
      <c r="G4223" s="384"/>
      <c r="H4223" s="936"/>
      <c r="I4223" s="1232"/>
      <c r="J4223" s="686" t="s">
        <v>2187</v>
      </c>
    </row>
    <row r="4224" spans="1:10" s="704" customFormat="1" ht="18" customHeight="1">
      <c r="A4224" s="417" t="s">
        <v>1303</v>
      </c>
      <c r="B4224" s="703" t="s">
        <v>2234</v>
      </c>
      <c r="C4224" s="415">
        <v>55</v>
      </c>
      <c r="D4224" s="416">
        <f>0.31+0.48</f>
        <v>0.79</v>
      </c>
      <c r="E4224" s="416">
        <v>2.8</v>
      </c>
      <c r="F4224" s="416"/>
      <c r="G4224" s="67">
        <f t="shared" ref="G4224:G4230" si="131">IF(C4224&lt;&gt;0,ROUND(PRODUCT(D4224:F4224)*C4224,2)," ")</f>
        <v>121.66</v>
      </c>
      <c r="H4224" s="972" t="s">
        <v>1303</v>
      </c>
      <c r="I4224" s="1250"/>
    </row>
    <row r="4225" spans="1:10" s="704" customFormat="1" ht="18" customHeight="1">
      <c r="A4225" s="708"/>
      <c r="B4225" s="703" t="s">
        <v>2163</v>
      </c>
      <c r="C4225" s="415">
        <v>55</v>
      </c>
      <c r="D4225" s="416">
        <f t="shared" ref="D4225:D4226" si="132">0.31+0.48</f>
        <v>0.79</v>
      </c>
      <c r="E4225" s="416">
        <v>2.8</v>
      </c>
      <c r="F4225" s="416"/>
      <c r="G4225" s="67">
        <f t="shared" si="131"/>
        <v>121.66</v>
      </c>
      <c r="H4225" s="972" t="s">
        <v>1303</v>
      </c>
      <c r="I4225" s="1250"/>
    </row>
    <row r="4226" spans="1:10" s="704" customFormat="1" ht="18" customHeight="1">
      <c r="A4226" s="708"/>
      <c r="B4226" s="703" t="s">
        <v>2164</v>
      </c>
      <c r="C4226" s="415">
        <v>55</v>
      </c>
      <c r="D4226" s="416">
        <f t="shared" si="132"/>
        <v>0.79</v>
      </c>
      <c r="E4226" s="416">
        <v>3.5</v>
      </c>
      <c r="F4226" s="416"/>
      <c r="G4226" s="67">
        <f t="shared" si="131"/>
        <v>152.08000000000001</v>
      </c>
      <c r="H4226" s="972" t="s">
        <v>1303</v>
      </c>
      <c r="I4226" s="1250"/>
    </row>
    <row r="4227" spans="1:10" s="704" customFormat="1" ht="18" customHeight="1">
      <c r="A4227" s="708"/>
      <c r="B4227" s="703"/>
      <c r="C4227" s="415"/>
      <c r="D4227" s="416"/>
      <c r="E4227" s="416"/>
      <c r="F4227" s="416"/>
      <c r="G4227" s="67" t="str">
        <f t="shared" si="131"/>
        <v xml:space="preserve"> </v>
      </c>
      <c r="H4227" s="972"/>
      <c r="I4227" s="1250"/>
    </row>
    <row r="4228" spans="1:10" s="704" customFormat="1" ht="18" customHeight="1">
      <c r="A4228" s="417" t="s">
        <v>1306</v>
      </c>
      <c r="B4228" s="703" t="s">
        <v>2235</v>
      </c>
      <c r="C4228" s="415">
        <v>1</v>
      </c>
      <c r="D4228" s="416">
        <f>6.3-0.2</f>
        <v>6.1</v>
      </c>
      <c r="E4228" s="416">
        <v>0.55000000000000004</v>
      </c>
      <c r="F4228" s="416"/>
      <c r="G4228" s="67">
        <f t="shared" si="131"/>
        <v>3.36</v>
      </c>
      <c r="H4228" s="972" t="s">
        <v>1306</v>
      </c>
      <c r="I4228" s="1250"/>
    </row>
    <row r="4229" spans="1:10" s="704" customFormat="1" ht="18" customHeight="1">
      <c r="A4229" s="708"/>
      <c r="B4229" s="703" t="s">
        <v>2236</v>
      </c>
      <c r="C4229" s="415">
        <v>6</v>
      </c>
      <c r="D4229" s="457">
        <v>3.7749999999999999</v>
      </c>
      <c r="E4229" s="416">
        <v>0.55000000000000004</v>
      </c>
      <c r="F4229" s="416"/>
      <c r="G4229" s="67">
        <f t="shared" si="131"/>
        <v>12.46</v>
      </c>
      <c r="H4229" s="972" t="s">
        <v>1306</v>
      </c>
      <c r="I4229" s="1250"/>
    </row>
    <row r="4230" spans="1:10" s="704" customFormat="1" ht="18" customHeight="1">
      <c r="A4230" s="708"/>
      <c r="B4230" s="703" t="s">
        <v>2237</v>
      </c>
      <c r="C4230" s="415">
        <v>6</v>
      </c>
      <c r="D4230" s="457">
        <v>3.9249999999999998</v>
      </c>
      <c r="E4230" s="416">
        <v>0.55000000000000004</v>
      </c>
      <c r="F4230" s="416"/>
      <c r="G4230" s="67">
        <f t="shared" si="131"/>
        <v>12.95</v>
      </c>
      <c r="H4230" s="972" t="s">
        <v>1306</v>
      </c>
      <c r="I4230" s="1250"/>
    </row>
    <row r="4231" spans="1:10" s="704" customFormat="1" ht="18" customHeight="1">
      <c r="A4231" s="1017"/>
      <c r="B4231" s="874" t="s">
        <v>2188</v>
      </c>
      <c r="C4231" s="1017"/>
      <c r="D4231" s="1017"/>
      <c r="E4231" s="1017"/>
      <c r="F4231" s="1017"/>
      <c r="G4231" s="968">
        <f>SUM(G4223:G4230)</f>
        <v>424.16999999999996</v>
      </c>
      <c r="H4231" s="1018" t="s">
        <v>350</v>
      </c>
      <c r="I4231" s="1250" t="s">
        <v>2233</v>
      </c>
    </row>
    <row r="4232" spans="1:10" s="704" customFormat="1" ht="18" customHeight="1">
      <c r="A4232" s="934"/>
      <c r="B4232" s="984"/>
      <c r="C4232" s="254"/>
      <c r="D4232" s="254"/>
      <c r="E4232" s="254"/>
      <c r="F4232" s="254"/>
      <c r="G4232" s="707"/>
      <c r="H4232" s="972"/>
      <c r="I4232" s="1250"/>
    </row>
    <row r="4233" spans="1:10" s="357" customFormat="1" ht="18" customHeight="1">
      <c r="A4233" s="388" t="s">
        <v>1615</v>
      </c>
      <c r="B4233" s="389" t="s">
        <v>1616</v>
      </c>
      <c r="C4233" s="491"/>
      <c r="D4233" s="492"/>
      <c r="E4233" s="492"/>
      <c r="F4233" s="492"/>
      <c r="G4233" s="492"/>
      <c r="H4233" s="979"/>
      <c r="I4233" s="1232"/>
    </row>
    <row r="4234" spans="1:10" s="704" customFormat="1" ht="18" customHeight="1">
      <c r="A4234" s="417"/>
      <c r="B4234" s="703" t="s">
        <v>1327</v>
      </c>
      <c r="C4234" s="415">
        <f>2</f>
        <v>2</v>
      </c>
      <c r="D4234" s="416">
        <v>67.084000000000003</v>
      </c>
      <c r="E4234" s="416"/>
      <c r="F4234" s="416"/>
      <c r="G4234" s="67">
        <f t="shared" ref="G4234:G4245" si="133">IF(C4234&lt;&gt;0,ROUND(PRODUCT(D4234:F4234)*C4234,2)," ")</f>
        <v>134.16999999999999</v>
      </c>
      <c r="H4234" s="972" t="s">
        <v>1303</v>
      </c>
      <c r="I4234" s="1250"/>
      <c r="J4234" s="700"/>
    </row>
    <row r="4235" spans="1:10" s="704" customFormat="1" ht="18" customHeight="1">
      <c r="A4235" s="417"/>
      <c r="B4235" s="703" t="s">
        <v>1328</v>
      </c>
      <c r="C4235" s="415">
        <v>1</v>
      </c>
      <c r="D4235" s="416">
        <v>113.32</v>
      </c>
      <c r="E4235" s="416"/>
      <c r="F4235" s="416"/>
      <c r="G4235" s="67">
        <f t="shared" si="133"/>
        <v>113.32</v>
      </c>
      <c r="H4235" s="972" t="s">
        <v>1303</v>
      </c>
      <c r="I4235" s="1250"/>
      <c r="J4235" s="700"/>
    </row>
    <row r="4236" spans="1:10" s="357" customFormat="1" ht="18" customHeight="1">
      <c r="A4236" s="401"/>
      <c r="B4236" s="390"/>
      <c r="C4236" s="383"/>
      <c r="D4236" s="384"/>
      <c r="E4236" s="384"/>
      <c r="F4236" s="384"/>
      <c r="G4236" s="67" t="str">
        <f t="shared" si="133"/>
        <v xml:space="preserve"> </v>
      </c>
      <c r="H4236" s="936"/>
      <c r="I4236" s="1232"/>
      <c r="J4236" s="700"/>
    </row>
    <row r="4237" spans="1:10" s="357" customFormat="1" ht="18" customHeight="1">
      <c r="A4237" s="401"/>
      <c r="B4237" s="382" t="s">
        <v>2238</v>
      </c>
      <c r="C4237" s="383"/>
      <c r="D4237" s="384"/>
      <c r="E4237" s="384"/>
      <c r="F4237" s="384"/>
      <c r="G4237" s="67" t="str">
        <f t="shared" si="133"/>
        <v xml:space="preserve"> </v>
      </c>
      <c r="H4237" s="936"/>
      <c r="I4237" s="1232"/>
      <c r="J4237" s="700"/>
    </row>
    <row r="4238" spans="1:10" s="357" customFormat="1" ht="18" customHeight="1">
      <c r="A4238" s="401"/>
      <c r="B4238" s="390" t="s">
        <v>1349</v>
      </c>
      <c r="C4238" s="383">
        <v>1</v>
      </c>
      <c r="D4238" s="384">
        <f>6.45+6.45+6.3+6.45+6.45+2</f>
        <v>34.1</v>
      </c>
      <c r="E4238" s="384">
        <v>1.2</v>
      </c>
      <c r="F4238" s="384"/>
      <c r="G4238" s="67">
        <f t="shared" si="133"/>
        <v>40.92</v>
      </c>
      <c r="H4238" s="936" t="s">
        <v>1306</v>
      </c>
      <c r="I4238" s="1232"/>
      <c r="J4238" s="700"/>
    </row>
    <row r="4239" spans="1:10" s="357" customFormat="1" ht="18" customHeight="1">
      <c r="A4239" s="401"/>
      <c r="B4239" s="390" t="s">
        <v>1350</v>
      </c>
      <c r="C4239" s="383">
        <v>1</v>
      </c>
      <c r="D4239" s="384">
        <f>6.4+6.4+1.475+1.825</f>
        <v>16.100000000000001</v>
      </c>
      <c r="E4239" s="384">
        <v>1.2</v>
      </c>
      <c r="F4239" s="384"/>
      <c r="G4239" s="67">
        <f t="shared" si="133"/>
        <v>19.32</v>
      </c>
      <c r="H4239" s="936" t="s">
        <v>1306</v>
      </c>
      <c r="I4239" s="1232"/>
      <c r="J4239" s="700"/>
    </row>
    <row r="4240" spans="1:10" s="357" customFormat="1" ht="18" customHeight="1">
      <c r="A4240" s="401"/>
      <c r="B4240" s="390" t="s">
        <v>1351</v>
      </c>
      <c r="C4240" s="383">
        <v>1</v>
      </c>
      <c r="D4240" s="384">
        <f>1.775+6.4+4.925</f>
        <v>13.100000000000001</v>
      </c>
      <c r="E4240" s="384">
        <v>1.5</v>
      </c>
      <c r="F4240" s="384"/>
      <c r="G4240" s="67">
        <f t="shared" si="133"/>
        <v>19.649999999999999</v>
      </c>
      <c r="H4240" s="936" t="s">
        <v>1306</v>
      </c>
      <c r="I4240" s="1232"/>
      <c r="J4240" s="700"/>
    </row>
    <row r="4241" spans="1:10" s="357" customFormat="1" ht="18" customHeight="1">
      <c r="A4241" s="401"/>
      <c r="B4241" s="390" t="s">
        <v>1352</v>
      </c>
      <c r="C4241" s="383">
        <v>1</v>
      </c>
      <c r="D4241" s="384">
        <v>10.5</v>
      </c>
      <c r="E4241" s="384">
        <v>1.2</v>
      </c>
      <c r="F4241" s="384"/>
      <c r="G4241" s="67">
        <f t="shared" si="133"/>
        <v>12.6</v>
      </c>
      <c r="H4241" s="936" t="s">
        <v>1306</v>
      </c>
      <c r="I4241" s="1232"/>
      <c r="J4241" s="700"/>
    </row>
    <row r="4242" spans="1:10" s="357" customFormat="1" ht="18" customHeight="1">
      <c r="A4242" s="401"/>
      <c r="B4242" s="390" t="s">
        <v>1353</v>
      </c>
      <c r="C4242" s="383">
        <v>1</v>
      </c>
      <c r="D4242" s="384">
        <f>1.6+1.775+6.4+6.4+1.475+1.825</f>
        <v>19.475000000000001</v>
      </c>
      <c r="E4242" s="384">
        <v>1.2</v>
      </c>
      <c r="F4242" s="384"/>
      <c r="G4242" s="67">
        <f t="shared" si="133"/>
        <v>23.37</v>
      </c>
      <c r="H4242" s="936" t="s">
        <v>1306</v>
      </c>
      <c r="I4242" s="1232"/>
      <c r="J4242" s="700"/>
    </row>
    <row r="4243" spans="1:10" s="500" customFormat="1" ht="18" customHeight="1">
      <c r="A4243" s="985" t="s">
        <v>1442</v>
      </c>
      <c r="B4243" s="508" t="s">
        <v>1617</v>
      </c>
      <c r="C4243" s="597">
        <v>1</v>
      </c>
      <c r="D4243" s="599">
        <f>11.5-0.23</f>
        <v>11.27</v>
      </c>
      <c r="E4243" s="598">
        <f>10.97-0.46</f>
        <v>10.51</v>
      </c>
      <c r="F4243" s="499"/>
      <c r="G4243" s="67">
        <f t="shared" si="133"/>
        <v>118.45</v>
      </c>
      <c r="H4243" s="986" t="s">
        <v>1442</v>
      </c>
      <c r="I4243" s="1259"/>
    </row>
    <row r="4244" spans="1:10" s="500" customFormat="1" ht="18" customHeight="1">
      <c r="A4244" s="987"/>
      <c r="B4244" s="562"/>
      <c r="C4244" s="597">
        <v>1</v>
      </c>
      <c r="D4244" s="457">
        <f>15.75-0.46</f>
        <v>15.29</v>
      </c>
      <c r="E4244" s="598">
        <f>2.2-0.46</f>
        <v>1.7400000000000002</v>
      </c>
      <c r="F4244" s="499"/>
      <c r="G4244" s="67">
        <f t="shared" si="133"/>
        <v>26.6</v>
      </c>
      <c r="H4244" s="986" t="s">
        <v>1442</v>
      </c>
      <c r="I4244" s="1259"/>
    </row>
    <row r="4245" spans="1:10" s="500" customFormat="1" ht="18" customHeight="1">
      <c r="A4245" s="987"/>
      <c r="B4245" s="563" t="s">
        <v>1618</v>
      </c>
      <c r="C4245" s="597">
        <v>1</v>
      </c>
      <c r="D4245" s="416">
        <v>20</v>
      </c>
      <c r="E4245" s="598">
        <v>6</v>
      </c>
      <c r="F4245" s="499"/>
      <c r="G4245" s="67">
        <f t="shared" si="133"/>
        <v>120</v>
      </c>
      <c r="H4245" s="986" t="s">
        <v>1442</v>
      </c>
      <c r="I4245" s="1259"/>
    </row>
    <row r="4246" spans="1:10" s="357" customFormat="1" ht="18" customHeight="1">
      <c r="A4246" s="1017"/>
      <c r="B4246" s="874" t="s">
        <v>2188</v>
      </c>
      <c r="C4246" s="1017"/>
      <c r="D4246" s="1017"/>
      <c r="E4246" s="1017"/>
      <c r="F4246" s="1017"/>
      <c r="G4246" s="968">
        <f>SUM(G4233:G4245)</f>
        <v>628.4</v>
      </c>
      <c r="H4246" s="1018" t="s">
        <v>350</v>
      </c>
      <c r="I4246" s="1232" t="s">
        <v>1615</v>
      </c>
    </row>
    <row r="4247" spans="1:10" s="704" customFormat="1" ht="18" customHeight="1">
      <c r="A4247" s="709"/>
      <c r="B4247" s="710"/>
      <c r="C4247" s="710"/>
      <c r="D4247" s="710"/>
      <c r="E4247" s="710"/>
      <c r="F4247" s="710"/>
      <c r="G4247" s="711"/>
      <c r="H4247" s="988"/>
      <c r="I4247" s="1250"/>
    </row>
    <row r="4248" spans="1:10" s="357" customFormat="1" ht="18" customHeight="1">
      <c r="A4248" s="388" t="s">
        <v>1398</v>
      </c>
      <c r="B4248" s="389" t="s">
        <v>1409</v>
      </c>
      <c r="C4248" s="383"/>
      <c r="D4248" s="384"/>
      <c r="E4248" s="384"/>
      <c r="F4248" s="384"/>
      <c r="G4248" s="384"/>
      <c r="H4248" s="936"/>
      <c r="I4248" s="1232"/>
    </row>
    <row r="4249" spans="1:10" s="357" customFormat="1" ht="18" customHeight="1">
      <c r="A4249" s="381" t="s">
        <v>1306</v>
      </c>
      <c r="B4249" s="561" t="s">
        <v>1776</v>
      </c>
      <c r="C4249" s="383"/>
      <c r="D4249" s="384"/>
      <c r="E4249" s="384"/>
      <c r="F4249" s="384"/>
      <c r="G4249" s="384"/>
      <c r="H4249" s="936"/>
      <c r="I4249" s="1232"/>
    </row>
    <row r="4250" spans="1:10" s="391" customFormat="1" ht="18" customHeight="1">
      <c r="A4250" s="430"/>
      <c r="B4250" s="440" t="s">
        <v>1200</v>
      </c>
      <c r="C4250" s="600">
        <v>153</v>
      </c>
      <c r="D4250" s="590">
        <v>0.9</v>
      </c>
      <c r="E4250" s="384"/>
      <c r="F4250" s="384"/>
      <c r="G4250" s="67">
        <f t="shared" ref="G4250:G4261" si="134">IF(C4250&lt;&gt;0,ROUND(PRODUCT(D4250:F4250)*C4250,2)," ")</f>
        <v>137.69999999999999</v>
      </c>
      <c r="H4250" s="973" t="s">
        <v>1306</v>
      </c>
      <c r="I4250" s="1254"/>
    </row>
    <row r="4251" spans="1:10" s="357" customFormat="1" ht="18" customHeight="1">
      <c r="A4251" s="381"/>
      <c r="B4251" s="390" t="s">
        <v>1202</v>
      </c>
      <c r="C4251" s="600">
        <f>+C4250*2</f>
        <v>306</v>
      </c>
      <c r="D4251" s="593">
        <f>2.1-0.025</f>
        <v>2.0750000000000002</v>
      </c>
      <c r="E4251" s="384"/>
      <c r="F4251" s="384"/>
      <c r="G4251" s="67">
        <f t="shared" si="134"/>
        <v>634.95000000000005</v>
      </c>
      <c r="H4251" s="973" t="s">
        <v>1306</v>
      </c>
      <c r="I4251" s="1232"/>
    </row>
    <row r="4252" spans="1:10" s="391" customFormat="1" ht="18" customHeight="1">
      <c r="A4252" s="430"/>
      <c r="B4252" s="440" t="s">
        <v>1210</v>
      </c>
      <c r="C4252" s="600">
        <v>1</v>
      </c>
      <c r="D4252" s="590">
        <v>1.2</v>
      </c>
      <c r="E4252" s="384"/>
      <c r="F4252" s="384"/>
      <c r="G4252" s="67">
        <f t="shared" si="134"/>
        <v>1.2</v>
      </c>
      <c r="H4252" s="973" t="s">
        <v>1306</v>
      </c>
      <c r="I4252" s="1254"/>
    </row>
    <row r="4253" spans="1:10" s="357" customFormat="1" ht="18" customHeight="1">
      <c r="A4253" s="381"/>
      <c r="B4253" s="390" t="s">
        <v>1202</v>
      </c>
      <c r="C4253" s="600">
        <f>+C4252*2</f>
        <v>2</v>
      </c>
      <c r="D4253" s="593">
        <f>2.1-0.025</f>
        <v>2.0750000000000002</v>
      </c>
      <c r="E4253" s="384"/>
      <c r="F4253" s="384"/>
      <c r="G4253" s="67">
        <f t="shared" si="134"/>
        <v>4.1500000000000004</v>
      </c>
      <c r="H4253" s="973" t="s">
        <v>1306</v>
      </c>
      <c r="I4253" s="1232"/>
    </row>
    <row r="4254" spans="1:10" s="391" customFormat="1" ht="18" customHeight="1">
      <c r="A4254" s="430"/>
      <c r="B4254" s="440" t="s">
        <v>1211</v>
      </c>
      <c r="C4254" s="600">
        <v>4</v>
      </c>
      <c r="D4254" s="590">
        <v>0.8</v>
      </c>
      <c r="E4254" s="384"/>
      <c r="F4254" s="384"/>
      <c r="G4254" s="67">
        <f t="shared" si="134"/>
        <v>3.2</v>
      </c>
      <c r="H4254" s="973" t="s">
        <v>1306</v>
      </c>
      <c r="I4254" s="1254"/>
    </row>
    <row r="4255" spans="1:10" s="357" customFormat="1" ht="18" customHeight="1">
      <c r="A4255" s="381"/>
      <c r="B4255" s="390" t="s">
        <v>1202</v>
      </c>
      <c r="C4255" s="600">
        <f>+C4254*2</f>
        <v>8</v>
      </c>
      <c r="D4255" s="593">
        <f>2.1-0.025</f>
        <v>2.0750000000000002</v>
      </c>
      <c r="E4255" s="384"/>
      <c r="F4255" s="384"/>
      <c r="G4255" s="67">
        <f t="shared" si="134"/>
        <v>16.600000000000001</v>
      </c>
      <c r="H4255" s="973" t="s">
        <v>1306</v>
      </c>
      <c r="I4255" s="1232"/>
    </row>
    <row r="4256" spans="1:10" s="391" customFormat="1" ht="18" customHeight="1">
      <c r="A4256" s="430"/>
      <c r="B4256" s="440" t="s">
        <v>1212</v>
      </c>
      <c r="C4256" s="600">
        <v>6</v>
      </c>
      <c r="D4256" s="590">
        <v>0.8</v>
      </c>
      <c r="E4256" s="384"/>
      <c r="F4256" s="384"/>
      <c r="G4256" s="67">
        <f t="shared" si="134"/>
        <v>4.8</v>
      </c>
      <c r="H4256" s="973" t="s">
        <v>1306</v>
      </c>
      <c r="I4256" s="1254"/>
    </row>
    <row r="4257" spans="1:10" s="357" customFormat="1" ht="18" customHeight="1">
      <c r="A4257" s="381"/>
      <c r="B4257" s="390" t="s">
        <v>1202</v>
      </c>
      <c r="C4257" s="600">
        <f>+C4256*2</f>
        <v>12</v>
      </c>
      <c r="D4257" s="593">
        <f>2.1-0.025</f>
        <v>2.0750000000000002</v>
      </c>
      <c r="E4257" s="384"/>
      <c r="F4257" s="384"/>
      <c r="G4257" s="67">
        <f t="shared" si="134"/>
        <v>24.9</v>
      </c>
      <c r="H4257" s="973" t="s">
        <v>1306</v>
      </c>
      <c r="I4257" s="1232"/>
    </row>
    <row r="4258" spans="1:10" s="391" customFormat="1" ht="18" customHeight="1">
      <c r="A4258" s="430"/>
      <c r="B4258" s="440" t="s">
        <v>1213</v>
      </c>
      <c r="C4258" s="600">
        <v>1</v>
      </c>
      <c r="D4258" s="590">
        <v>0.9</v>
      </c>
      <c r="E4258" s="384"/>
      <c r="F4258" s="384"/>
      <c r="G4258" s="67">
        <f t="shared" si="134"/>
        <v>0.9</v>
      </c>
      <c r="H4258" s="973" t="s">
        <v>1306</v>
      </c>
      <c r="I4258" s="1254"/>
    </row>
    <row r="4259" spans="1:10" s="357" customFormat="1" ht="18" customHeight="1">
      <c r="A4259" s="381"/>
      <c r="B4259" s="390" t="s">
        <v>1202</v>
      </c>
      <c r="C4259" s="600">
        <f>+C4258*2</f>
        <v>2</v>
      </c>
      <c r="D4259" s="593">
        <f>2.1-0.025</f>
        <v>2.0750000000000002</v>
      </c>
      <c r="E4259" s="384"/>
      <c r="F4259" s="384"/>
      <c r="G4259" s="67">
        <f t="shared" si="134"/>
        <v>4.1500000000000004</v>
      </c>
      <c r="H4259" s="973" t="s">
        <v>1306</v>
      </c>
      <c r="I4259" s="1232"/>
    </row>
    <row r="4260" spans="1:10" s="357" customFormat="1" ht="18" customHeight="1">
      <c r="A4260" s="381" t="s">
        <v>1442</v>
      </c>
      <c r="B4260" s="484" t="s">
        <v>1495</v>
      </c>
      <c r="C4260" s="415">
        <v>32</v>
      </c>
      <c r="D4260" s="416">
        <v>1</v>
      </c>
      <c r="E4260" s="384"/>
      <c r="F4260" s="384"/>
      <c r="G4260" s="67">
        <f t="shared" si="134"/>
        <v>32</v>
      </c>
      <c r="H4260" s="936" t="s">
        <v>1442</v>
      </c>
      <c r="I4260" s="1232"/>
    </row>
    <row r="4261" spans="1:10" s="357" customFormat="1" ht="18" customHeight="1">
      <c r="A4261" s="381"/>
      <c r="B4261" s="390"/>
      <c r="C4261" s="589">
        <v>32</v>
      </c>
      <c r="D4261" s="593">
        <f>1.8-0.025</f>
        <v>1.7750000000000001</v>
      </c>
      <c r="E4261" s="384"/>
      <c r="F4261" s="384"/>
      <c r="G4261" s="67">
        <f t="shared" si="134"/>
        <v>56.8</v>
      </c>
      <c r="H4261" s="936" t="s">
        <v>1442</v>
      </c>
      <c r="I4261" s="1232"/>
    </row>
    <row r="4262" spans="1:10" s="426" customFormat="1" ht="18" customHeight="1">
      <c r="A4262" s="1017"/>
      <c r="B4262" s="874" t="s">
        <v>2188</v>
      </c>
      <c r="C4262" s="1017"/>
      <c r="D4262" s="1017"/>
      <c r="E4262" s="1017"/>
      <c r="F4262" s="1017"/>
      <c r="G4262" s="968">
        <f>SUM(G4248:G4261)</f>
        <v>921.35</v>
      </c>
      <c r="H4262" s="1018" t="s">
        <v>356</v>
      </c>
      <c r="I4262" s="1257" t="s">
        <v>1398</v>
      </c>
    </row>
    <row r="4263" spans="1:10" s="426" customFormat="1" ht="18" customHeight="1">
      <c r="A4263" s="381"/>
      <c r="B4263" s="382"/>
      <c r="C4263" s="423"/>
      <c r="D4263" s="424"/>
      <c r="E4263" s="358"/>
      <c r="F4263" s="358"/>
      <c r="G4263" s="358"/>
      <c r="H4263" s="978"/>
      <c r="I4263" s="1257"/>
      <c r="J4263" s="357"/>
    </row>
    <row r="4264" spans="1:10" s="357" customFormat="1" ht="18" customHeight="1">
      <c r="A4264" s="388" t="s">
        <v>1410</v>
      </c>
      <c r="B4264" s="389" t="s">
        <v>2316</v>
      </c>
      <c r="C4264" s="383"/>
      <c r="D4264" s="384"/>
      <c r="E4264" s="384"/>
      <c r="F4264" s="384"/>
      <c r="G4264" s="384"/>
      <c r="H4264" s="936"/>
      <c r="I4264" s="1232"/>
    </row>
    <row r="4265" spans="1:10" s="357" customFormat="1" ht="18" customHeight="1">
      <c r="A4265" s="381"/>
      <c r="B4265" s="390" t="s">
        <v>2239</v>
      </c>
      <c r="C4265" s="392">
        <v>1</v>
      </c>
      <c r="D4265" s="393">
        <v>3.2</v>
      </c>
      <c r="E4265" s="384">
        <f>3.3+2.95</f>
        <v>6.25</v>
      </c>
      <c r="F4265" s="384"/>
      <c r="G4265" s="67">
        <f t="shared" ref="G4265:G4267" si="135">IF(C4265&lt;&gt;0,ROUND(PRODUCT(D4265:F4265)*C4265,2)," ")</f>
        <v>20</v>
      </c>
      <c r="H4265" s="973" t="s">
        <v>1306</v>
      </c>
      <c r="I4265" s="1232"/>
    </row>
    <row r="4266" spans="1:10" s="357" customFormat="1" ht="18" customHeight="1">
      <c r="A4266" s="381" t="s">
        <v>1442</v>
      </c>
      <c r="B4266" s="382" t="s">
        <v>1453</v>
      </c>
      <c r="C4266" s="392"/>
      <c r="D4266" s="393"/>
      <c r="E4266" s="384"/>
      <c r="F4266" s="384"/>
      <c r="G4266" s="67" t="str">
        <f t="shared" si="135"/>
        <v xml:space="preserve"> </v>
      </c>
      <c r="H4266" s="973"/>
      <c r="I4266" s="1232"/>
    </row>
    <row r="4267" spans="1:10" s="357" customFormat="1" ht="18" customHeight="1">
      <c r="A4267" s="381"/>
      <c r="B4267" s="390" t="s">
        <v>1496</v>
      </c>
      <c r="C4267" s="589">
        <f>2</f>
        <v>2</v>
      </c>
      <c r="D4267" s="590">
        <v>3.2</v>
      </c>
      <c r="E4267" s="416">
        <v>0.9</v>
      </c>
      <c r="F4267" s="384"/>
      <c r="G4267" s="67">
        <f t="shared" si="135"/>
        <v>5.76</v>
      </c>
      <c r="H4267" s="973" t="s">
        <v>1442</v>
      </c>
      <c r="I4267" s="1232"/>
    </row>
    <row r="4268" spans="1:10" s="357" customFormat="1" ht="18" customHeight="1">
      <c r="A4268" s="1017"/>
      <c r="B4268" s="874" t="s">
        <v>2188</v>
      </c>
      <c r="C4268" s="1017"/>
      <c r="D4268" s="1017"/>
      <c r="E4268" s="1017"/>
      <c r="F4268" s="1017"/>
      <c r="G4268" s="968">
        <f>SUM(G4264:G4267)</f>
        <v>25.759999999999998</v>
      </c>
      <c r="H4268" s="1018" t="s">
        <v>356</v>
      </c>
      <c r="I4268" s="1232" t="s">
        <v>1410</v>
      </c>
    </row>
    <row r="4269" spans="1:10" s="704" customFormat="1" ht="18" customHeight="1">
      <c r="A4269" s="934"/>
      <c r="B4269" s="566"/>
      <c r="C4269" s="565"/>
      <c r="D4269" s="254"/>
      <c r="E4269" s="254"/>
      <c r="F4269" s="254"/>
      <c r="G4269" s="707"/>
      <c r="H4269" s="975"/>
      <c r="I4269" s="1250"/>
    </row>
    <row r="4270" spans="1:10" s="704" customFormat="1" ht="18" customHeight="1">
      <c r="A4270" s="934"/>
      <c r="B4270" s="566"/>
      <c r="C4270" s="565"/>
      <c r="D4270" s="254"/>
      <c r="E4270" s="254"/>
      <c r="F4270" s="254"/>
      <c r="G4270" s="707"/>
      <c r="H4270" s="975"/>
      <c r="I4270" s="1250"/>
    </row>
    <row r="4271" spans="1:10" s="357" customFormat="1" ht="18" customHeight="1">
      <c r="A4271" s="388" t="s">
        <v>2240</v>
      </c>
      <c r="B4271" s="389" t="s">
        <v>2241</v>
      </c>
      <c r="C4271" s="383"/>
      <c r="D4271" s="384"/>
      <c r="E4271" s="384"/>
      <c r="F4271" s="384"/>
      <c r="G4271" s="384"/>
      <c r="H4271" s="936"/>
      <c r="I4271" s="1232"/>
      <c r="J4271" s="700" t="s">
        <v>2187</v>
      </c>
    </row>
    <row r="4272" spans="1:10" s="357" customFormat="1" ht="18" customHeight="1">
      <c r="A4272" s="381" t="s">
        <v>1306</v>
      </c>
      <c r="B4272" s="561" t="s">
        <v>1145</v>
      </c>
      <c r="C4272" s="383"/>
      <c r="D4272" s="384"/>
      <c r="E4272" s="384"/>
      <c r="F4272" s="384"/>
      <c r="G4272" s="384"/>
      <c r="H4272" s="936"/>
      <c r="I4272" s="1232"/>
    </row>
    <row r="4273" spans="1:9" s="357" customFormat="1" ht="18" customHeight="1">
      <c r="A4273" s="381"/>
      <c r="B4273" s="390" t="s">
        <v>2239</v>
      </c>
      <c r="C4273" s="392">
        <v>11</v>
      </c>
      <c r="D4273" s="393">
        <v>6.25</v>
      </c>
      <c r="E4273" s="384"/>
      <c r="F4273" s="384"/>
      <c r="G4273" s="67">
        <f t="shared" ref="G4273" si="136">IF(C4273&lt;&gt;0,ROUND(PRODUCT(D4273:F4273)*C4273,2)," ")</f>
        <v>68.75</v>
      </c>
      <c r="H4273" s="973" t="s">
        <v>1306</v>
      </c>
      <c r="I4273" s="1232"/>
    </row>
    <row r="4274" spans="1:9" s="357" customFormat="1" ht="18" customHeight="1">
      <c r="A4274" s="381"/>
      <c r="B4274" s="390"/>
      <c r="C4274" s="392"/>
      <c r="D4274" s="393"/>
      <c r="E4274" s="384"/>
      <c r="F4274" s="384"/>
      <c r="G4274" s="384"/>
      <c r="H4274" s="936"/>
      <c r="I4274" s="1232"/>
    </row>
    <row r="4275" spans="1:9" s="426" customFormat="1" ht="18" customHeight="1">
      <c r="A4275" s="1017"/>
      <c r="B4275" s="874" t="s">
        <v>2188</v>
      </c>
      <c r="C4275" s="1017"/>
      <c r="D4275" s="1017"/>
      <c r="E4275" s="1017"/>
      <c r="F4275" s="1017"/>
      <c r="G4275" s="968">
        <f>SUM(G4271:G4274)</f>
        <v>68.75</v>
      </c>
      <c r="H4275" s="1018" t="s">
        <v>356</v>
      </c>
      <c r="I4275" s="1257" t="s">
        <v>2240</v>
      </c>
    </row>
    <row r="4276" spans="1:9" s="704" customFormat="1" ht="18" customHeight="1">
      <c r="A4276" s="934"/>
      <c r="B4276" s="566"/>
      <c r="C4276" s="565"/>
      <c r="D4276" s="254"/>
      <c r="E4276" s="254"/>
      <c r="F4276" s="254"/>
      <c r="G4276" s="707"/>
      <c r="H4276" s="975"/>
      <c r="I4276" s="1250"/>
    </row>
    <row r="4277" spans="1:9" s="357" customFormat="1" ht="18" customHeight="1">
      <c r="A4277" s="388" t="s">
        <v>1497</v>
      </c>
      <c r="B4277" s="503" t="s">
        <v>1498</v>
      </c>
      <c r="C4277" s="383"/>
      <c r="D4277" s="384"/>
      <c r="E4277" s="384"/>
      <c r="F4277" s="384"/>
      <c r="G4277" s="384"/>
      <c r="H4277" s="936"/>
      <c r="I4277" s="1232"/>
    </row>
    <row r="4278" spans="1:9" s="357" customFormat="1" ht="18" customHeight="1">
      <c r="A4278" s="417" t="s">
        <v>1442</v>
      </c>
      <c r="B4278" s="504" t="s">
        <v>1499</v>
      </c>
      <c r="C4278" s="415"/>
      <c r="D4278" s="416"/>
      <c r="E4278" s="416"/>
      <c r="F4278" s="416"/>
      <c r="G4278" s="416">
        <f>+PRODUCT(C4278:F4278)</f>
        <v>0</v>
      </c>
      <c r="H4278" s="972"/>
      <c r="I4278" s="1232"/>
    </row>
    <row r="4279" spans="1:9" s="357" customFormat="1" ht="18" customHeight="1">
      <c r="A4279" s="417"/>
      <c r="B4279" s="703" t="s">
        <v>1500</v>
      </c>
      <c r="C4279" s="415">
        <v>1</v>
      </c>
      <c r="D4279" s="416">
        <v>20.75</v>
      </c>
      <c r="E4279" s="416">
        <v>2.6</v>
      </c>
      <c r="F4279" s="416"/>
      <c r="G4279" s="67">
        <f t="shared" ref="G4279:G4282" si="137">IF(C4279&lt;&gt;0,ROUND(PRODUCT(D4279:F4279)*C4279,2)," ")</f>
        <v>53.95</v>
      </c>
      <c r="H4279" s="989" t="s">
        <v>1442</v>
      </c>
      <c r="I4279" s="1232"/>
    </row>
    <row r="4280" spans="1:9" s="357" customFormat="1" ht="18" customHeight="1">
      <c r="A4280" s="417"/>
      <c r="B4280" s="703" t="s">
        <v>1501</v>
      </c>
      <c r="C4280" s="415">
        <v>2</v>
      </c>
      <c r="D4280" s="416">
        <v>14.634</v>
      </c>
      <c r="E4280" s="416">
        <v>2.6</v>
      </c>
      <c r="F4280" s="416"/>
      <c r="G4280" s="67">
        <f t="shared" si="137"/>
        <v>76.099999999999994</v>
      </c>
      <c r="H4280" s="989" t="s">
        <v>1442</v>
      </c>
      <c r="I4280" s="1232"/>
    </row>
    <row r="4281" spans="1:9" s="357" customFormat="1" ht="18" customHeight="1">
      <c r="A4281" s="417"/>
      <c r="B4281" s="703" t="s">
        <v>1502</v>
      </c>
      <c r="C4281" s="415">
        <v>1</v>
      </c>
      <c r="D4281" s="416">
        <v>10.975</v>
      </c>
      <c r="E4281" s="416">
        <v>2.6</v>
      </c>
      <c r="F4281" s="416"/>
      <c r="G4281" s="67">
        <f t="shared" si="137"/>
        <v>28.54</v>
      </c>
      <c r="H4281" s="989" t="s">
        <v>1442</v>
      </c>
      <c r="I4281" s="1232"/>
    </row>
    <row r="4282" spans="1:9" s="357" customFormat="1" ht="18" customHeight="1">
      <c r="A4282" s="381"/>
      <c r="B4282" s="382"/>
      <c r="C4282" s="415">
        <v>1</v>
      </c>
      <c r="D4282" s="416">
        <v>6.71</v>
      </c>
      <c r="E4282" s="416">
        <v>2.6</v>
      </c>
      <c r="F4282" s="384"/>
      <c r="G4282" s="67">
        <f t="shared" si="137"/>
        <v>17.45</v>
      </c>
      <c r="H4282" s="989" t="s">
        <v>1442</v>
      </c>
      <c r="I4282" s="1232"/>
    </row>
    <row r="4283" spans="1:9" s="357" customFormat="1" ht="18" customHeight="1">
      <c r="A4283" s="1017"/>
      <c r="B4283" s="874" t="s">
        <v>2188</v>
      </c>
      <c r="C4283" s="1017"/>
      <c r="D4283" s="1017"/>
      <c r="E4283" s="1017"/>
      <c r="F4283" s="1017"/>
      <c r="G4283" s="968">
        <f>SUM(G4277:G4282)</f>
        <v>176.04</v>
      </c>
      <c r="H4283" s="1018" t="s">
        <v>350</v>
      </c>
      <c r="I4283" s="1232" t="s">
        <v>1497</v>
      </c>
    </row>
    <row r="4284" spans="1:9" s="704" customFormat="1" ht="18" customHeight="1">
      <c r="A4284" s="934"/>
      <c r="B4284" s="566"/>
      <c r="C4284" s="565"/>
      <c r="D4284" s="254"/>
      <c r="E4284" s="254"/>
      <c r="F4284" s="254"/>
      <c r="G4284" s="707"/>
      <c r="H4284" s="975"/>
      <c r="I4284" s="1250"/>
    </row>
    <row r="4285" spans="1:9" s="357" customFormat="1" ht="18" customHeight="1">
      <c r="A4285" s="388" t="s">
        <v>1503</v>
      </c>
      <c r="B4285" s="503" t="s">
        <v>1504</v>
      </c>
      <c r="C4285" s="383"/>
      <c r="D4285" s="384"/>
      <c r="E4285" s="384"/>
      <c r="F4285" s="384"/>
      <c r="G4285" s="384"/>
      <c r="H4285" s="936"/>
      <c r="I4285" s="1232"/>
    </row>
    <row r="4286" spans="1:9" s="357" customFormat="1" ht="18" customHeight="1">
      <c r="A4286" s="417" t="s">
        <v>1442</v>
      </c>
      <c r="B4286" s="504" t="s">
        <v>1505</v>
      </c>
      <c r="C4286" s="415"/>
      <c r="D4286" s="416"/>
      <c r="E4286" s="416"/>
      <c r="F4286" s="416"/>
      <c r="G4286" s="416">
        <f>+PRODUCT(C4286:F4286)</f>
        <v>0</v>
      </c>
      <c r="H4286" s="972"/>
      <c r="I4286" s="1232"/>
    </row>
    <row r="4287" spans="1:9" s="357" customFormat="1" ht="18" customHeight="1">
      <c r="A4287" s="417"/>
      <c r="B4287" s="703" t="s">
        <v>1506</v>
      </c>
      <c r="C4287" s="415">
        <f>57-8</f>
        <v>49</v>
      </c>
      <c r="D4287" s="416">
        <v>1.5</v>
      </c>
      <c r="E4287" s="416"/>
      <c r="F4287" s="416"/>
      <c r="G4287" s="67">
        <f t="shared" ref="G4287:G4297" si="138">IF(C4287&lt;&gt;0,ROUND(PRODUCT(D4287:F4287)*C4287,2)," ")</f>
        <v>73.5</v>
      </c>
      <c r="H4287" s="989" t="s">
        <v>1442</v>
      </c>
      <c r="I4287" s="1232"/>
    </row>
    <row r="4288" spans="1:9" s="357" customFormat="1" ht="18" customHeight="1">
      <c r="A4288" s="417"/>
      <c r="B4288" s="703" t="s">
        <v>1507</v>
      </c>
      <c r="C4288" s="415">
        <f>57-8</f>
        <v>49</v>
      </c>
      <c r="D4288" s="416">
        <v>1.5</v>
      </c>
      <c r="E4288" s="416"/>
      <c r="F4288" s="416"/>
      <c r="G4288" s="67">
        <f t="shared" si="138"/>
        <v>73.5</v>
      </c>
      <c r="H4288" s="989" t="s">
        <v>1442</v>
      </c>
      <c r="I4288" s="1232"/>
    </row>
    <row r="4289" spans="1:9" s="357" customFormat="1" ht="18" customHeight="1">
      <c r="A4289" s="417"/>
      <c r="B4289" s="703" t="s">
        <v>1508</v>
      </c>
      <c r="C4289" s="415">
        <v>99</v>
      </c>
      <c r="D4289" s="416">
        <v>1.5</v>
      </c>
      <c r="E4289" s="416"/>
      <c r="F4289" s="416"/>
      <c r="G4289" s="67">
        <f t="shared" si="138"/>
        <v>148.5</v>
      </c>
      <c r="H4289" s="989" t="s">
        <v>1442</v>
      </c>
      <c r="I4289" s="1232"/>
    </row>
    <row r="4290" spans="1:9" s="357" customFormat="1" ht="18" customHeight="1">
      <c r="A4290" s="381"/>
      <c r="B4290" s="382" t="s">
        <v>1509</v>
      </c>
      <c r="C4290" s="383"/>
      <c r="D4290" s="384"/>
      <c r="E4290" s="384"/>
      <c r="F4290" s="384"/>
      <c r="G4290" s="67" t="str">
        <f t="shared" si="138"/>
        <v xml:space="preserve"> </v>
      </c>
      <c r="H4290" s="989"/>
      <c r="I4290" s="1232"/>
    </row>
    <row r="4291" spans="1:9" s="357" customFormat="1" ht="18" customHeight="1">
      <c r="A4291" s="381"/>
      <c r="B4291" s="390" t="s">
        <v>1510</v>
      </c>
      <c r="C4291" s="415">
        <v>6</v>
      </c>
      <c r="D4291" s="416">
        <f>1.875+2.25-0.2</f>
        <v>3.9249999999999998</v>
      </c>
      <c r="E4291" s="384"/>
      <c r="F4291" s="384"/>
      <c r="G4291" s="67">
        <f t="shared" si="138"/>
        <v>23.55</v>
      </c>
      <c r="H4291" s="989" t="s">
        <v>1442</v>
      </c>
      <c r="I4291" s="1232"/>
    </row>
    <row r="4292" spans="1:9" s="357" customFormat="1" ht="18" customHeight="1">
      <c r="A4292" s="381"/>
      <c r="B4292" s="390"/>
      <c r="C4292" s="415">
        <v>6</v>
      </c>
      <c r="D4292" s="457">
        <f>2.298+3.6-0.33-0.6-0.095</f>
        <v>4.8730000000000002</v>
      </c>
      <c r="E4292" s="384"/>
      <c r="F4292" s="384"/>
      <c r="G4292" s="67">
        <f t="shared" si="138"/>
        <v>29.24</v>
      </c>
      <c r="H4292" s="989" t="s">
        <v>1442</v>
      </c>
      <c r="I4292" s="1232"/>
    </row>
    <row r="4293" spans="1:9" s="357" customFormat="1" ht="18" customHeight="1">
      <c r="A4293" s="381"/>
      <c r="B4293" s="390" t="s">
        <v>1511</v>
      </c>
      <c r="C4293" s="415">
        <v>2</v>
      </c>
      <c r="D4293" s="457">
        <v>4.7</v>
      </c>
      <c r="E4293" s="384"/>
      <c r="F4293" s="384"/>
      <c r="G4293" s="67">
        <f t="shared" si="138"/>
        <v>9.4</v>
      </c>
      <c r="H4293" s="989" t="s">
        <v>1442</v>
      </c>
      <c r="I4293" s="1232"/>
    </row>
    <row r="4294" spans="1:9" s="357" customFormat="1" ht="18" customHeight="1">
      <c r="A4294" s="381"/>
      <c r="B4294" s="390" t="s">
        <v>1512</v>
      </c>
      <c r="C4294" s="415">
        <v>1</v>
      </c>
      <c r="D4294" s="416">
        <f>4.9-0.2</f>
        <v>4.7</v>
      </c>
      <c r="E4294" s="384"/>
      <c r="F4294" s="384"/>
      <c r="G4294" s="67">
        <f t="shared" si="138"/>
        <v>4.7</v>
      </c>
      <c r="H4294" s="989" t="s">
        <v>1442</v>
      </c>
      <c r="I4294" s="1232"/>
    </row>
    <row r="4295" spans="1:9" s="357" customFormat="1" ht="18" customHeight="1">
      <c r="A4295" s="381"/>
      <c r="B4295" s="390"/>
      <c r="C4295" s="415">
        <v>1</v>
      </c>
      <c r="D4295" s="457">
        <v>1.9</v>
      </c>
      <c r="E4295" s="384"/>
      <c r="F4295" s="384"/>
      <c r="G4295" s="67">
        <f t="shared" si="138"/>
        <v>1.9</v>
      </c>
      <c r="H4295" s="989" t="s">
        <v>1442</v>
      </c>
      <c r="I4295" s="1232"/>
    </row>
    <row r="4296" spans="1:9" s="357" customFormat="1" ht="18" customHeight="1">
      <c r="A4296" s="381"/>
      <c r="B4296" s="390"/>
      <c r="C4296" s="415">
        <v>1</v>
      </c>
      <c r="D4296" s="416">
        <v>2.9</v>
      </c>
      <c r="E4296" s="384"/>
      <c r="F4296" s="384"/>
      <c r="G4296" s="67">
        <f t="shared" si="138"/>
        <v>2.9</v>
      </c>
      <c r="H4296" s="989" t="s">
        <v>1442</v>
      </c>
      <c r="I4296" s="1232"/>
    </row>
    <row r="4297" spans="1:9" s="357" customFormat="1" ht="18" customHeight="1">
      <c r="A4297" s="381"/>
      <c r="B4297" s="390" t="s">
        <v>1513</v>
      </c>
      <c r="C4297" s="415">
        <v>1</v>
      </c>
      <c r="D4297" s="416">
        <v>1</v>
      </c>
      <c r="E4297" s="384"/>
      <c r="F4297" s="384"/>
      <c r="G4297" s="67">
        <f t="shared" si="138"/>
        <v>1</v>
      </c>
      <c r="H4297" s="989" t="s">
        <v>1442</v>
      </c>
      <c r="I4297" s="1232"/>
    </row>
    <row r="4298" spans="1:9" s="357" customFormat="1" ht="18" customHeight="1">
      <c r="A4298" s="1017"/>
      <c r="B4298" s="874" t="s">
        <v>2188</v>
      </c>
      <c r="C4298" s="1017"/>
      <c r="D4298" s="1017"/>
      <c r="E4298" s="1017"/>
      <c r="F4298" s="1017"/>
      <c r="G4298" s="968">
        <f>SUM(G4285:G4297)</f>
        <v>368.18999999999994</v>
      </c>
      <c r="H4298" s="1018" t="s">
        <v>356</v>
      </c>
      <c r="I4298" s="1232" t="s">
        <v>1503</v>
      </c>
    </row>
    <row r="4299" spans="1:9" s="704" customFormat="1" ht="18" customHeight="1">
      <c r="A4299" s="934"/>
      <c r="B4299" s="566"/>
      <c r="C4299" s="565"/>
      <c r="D4299" s="254"/>
      <c r="E4299" s="254"/>
      <c r="F4299" s="254"/>
      <c r="G4299" s="707"/>
      <c r="H4299" s="975"/>
      <c r="I4299" s="1250"/>
    </row>
    <row r="4300" spans="1:9" s="357" customFormat="1" ht="28.5">
      <c r="A4300" s="1028" t="s">
        <v>2269</v>
      </c>
      <c r="B4300" s="505" t="s">
        <v>1514</v>
      </c>
      <c r="C4300" s="383"/>
      <c r="D4300" s="384"/>
      <c r="E4300" s="384"/>
      <c r="F4300" s="384"/>
      <c r="G4300" s="384"/>
      <c r="H4300" s="936"/>
      <c r="I4300" s="1232"/>
    </row>
    <row r="4301" spans="1:9" s="357" customFormat="1" ht="18" customHeight="1">
      <c r="A4301" s="417" t="s">
        <v>1442</v>
      </c>
      <c r="B4301" s="504" t="s">
        <v>1505</v>
      </c>
      <c r="C4301" s="415"/>
      <c r="D4301" s="416"/>
      <c r="E4301" s="416"/>
      <c r="F4301" s="416"/>
      <c r="G4301" s="416">
        <f>+PRODUCT(C4301:F4301)</f>
        <v>0</v>
      </c>
      <c r="H4301" s="972"/>
      <c r="I4301" s="1232"/>
    </row>
    <row r="4302" spans="1:9" s="357" customFormat="1" ht="18" customHeight="1">
      <c r="A4302" s="417"/>
      <c r="B4302" s="703" t="s">
        <v>1506</v>
      </c>
      <c r="C4302" s="415">
        <f>57-8</f>
        <v>49</v>
      </c>
      <c r="D4302" s="416">
        <v>1.5</v>
      </c>
      <c r="E4302" s="416">
        <v>0.32</v>
      </c>
      <c r="F4302" s="416"/>
      <c r="G4302" s="67">
        <f t="shared" ref="G4302:G4343" si="139">IF(C4302&lt;&gt;0,ROUND(PRODUCT(D4302:F4302)*C4302,2)," ")</f>
        <v>23.52</v>
      </c>
      <c r="H4302" s="989" t="s">
        <v>1442</v>
      </c>
      <c r="I4302" s="1232"/>
    </row>
    <row r="4303" spans="1:9" s="357" customFormat="1" ht="18" customHeight="1">
      <c r="A4303" s="417"/>
      <c r="B4303" s="703" t="s">
        <v>1507</v>
      </c>
      <c r="C4303" s="415">
        <f>57-8</f>
        <v>49</v>
      </c>
      <c r="D4303" s="416">
        <v>1.5</v>
      </c>
      <c r="E4303" s="416">
        <v>0.32</v>
      </c>
      <c r="F4303" s="416"/>
      <c r="G4303" s="67">
        <f t="shared" si="139"/>
        <v>23.52</v>
      </c>
      <c r="H4303" s="989" t="s">
        <v>1442</v>
      </c>
      <c r="I4303" s="1232"/>
    </row>
    <row r="4304" spans="1:9" s="357" customFormat="1" ht="18" customHeight="1">
      <c r="A4304" s="417"/>
      <c r="B4304" s="703" t="s">
        <v>1515</v>
      </c>
      <c r="C4304" s="415">
        <v>3</v>
      </c>
      <c r="D4304" s="416">
        <v>1.46</v>
      </c>
      <c r="E4304" s="416">
        <v>1.7</v>
      </c>
      <c r="F4304" s="416"/>
      <c r="G4304" s="67">
        <f t="shared" si="139"/>
        <v>7.45</v>
      </c>
      <c r="H4304" s="989" t="s">
        <v>1442</v>
      </c>
      <c r="I4304" s="1232"/>
    </row>
    <row r="4305" spans="1:9" s="357" customFormat="1" ht="18" customHeight="1">
      <c r="A4305" s="417"/>
      <c r="B4305" s="703" t="s">
        <v>1516</v>
      </c>
      <c r="C4305" s="415">
        <v>3</v>
      </c>
      <c r="D4305" s="416">
        <v>1.46</v>
      </c>
      <c r="E4305" s="416">
        <v>1.7</v>
      </c>
      <c r="F4305" s="416"/>
      <c r="G4305" s="67">
        <f t="shared" si="139"/>
        <v>7.45</v>
      </c>
      <c r="H4305" s="989" t="s">
        <v>1442</v>
      </c>
      <c r="I4305" s="1232"/>
    </row>
    <row r="4306" spans="1:9" s="357" customFormat="1" ht="18" customHeight="1">
      <c r="A4306" s="417"/>
      <c r="B4306" s="703" t="s">
        <v>1517</v>
      </c>
      <c r="C4306" s="415">
        <v>3</v>
      </c>
      <c r="D4306" s="416">
        <v>1.9</v>
      </c>
      <c r="E4306" s="416">
        <v>1.5</v>
      </c>
      <c r="F4306" s="416"/>
      <c r="G4306" s="67">
        <f t="shared" si="139"/>
        <v>8.5500000000000007</v>
      </c>
      <c r="H4306" s="989" t="s">
        <v>1442</v>
      </c>
      <c r="I4306" s="1232"/>
    </row>
    <row r="4307" spans="1:9" s="357" customFormat="1" ht="18" customHeight="1">
      <c r="A4307" s="417"/>
      <c r="B4307" s="703" t="s">
        <v>1517</v>
      </c>
      <c r="C4307" s="415">
        <v>3</v>
      </c>
      <c r="D4307" s="416">
        <v>2.7</v>
      </c>
      <c r="E4307" s="416">
        <v>1.2</v>
      </c>
      <c r="F4307" s="416"/>
      <c r="G4307" s="67">
        <f t="shared" si="139"/>
        <v>9.7200000000000006</v>
      </c>
      <c r="H4307" s="989" t="s">
        <v>1442</v>
      </c>
      <c r="I4307" s="1232"/>
    </row>
    <row r="4308" spans="1:9" s="357" customFormat="1" ht="18" customHeight="1">
      <c r="A4308" s="417"/>
      <c r="B4308" s="703" t="s">
        <v>1508</v>
      </c>
      <c r="C4308" s="415">
        <v>99</v>
      </c>
      <c r="D4308" s="416">
        <v>1.5</v>
      </c>
      <c r="E4308" s="416">
        <v>0.32</v>
      </c>
      <c r="F4308" s="416"/>
      <c r="G4308" s="67">
        <f t="shared" si="139"/>
        <v>47.52</v>
      </c>
      <c r="H4308" s="989" t="s">
        <v>1442</v>
      </c>
      <c r="I4308" s="1232"/>
    </row>
    <row r="4309" spans="1:9" s="357" customFormat="1" ht="18" customHeight="1">
      <c r="A4309" s="417"/>
      <c r="B4309" s="703" t="s">
        <v>1515</v>
      </c>
      <c r="C4309" s="415">
        <v>3</v>
      </c>
      <c r="D4309" s="416">
        <v>5.9</v>
      </c>
      <c r="E4309" s="416">
        <v>1.75</v>
      </c>
      <c r="F4309" s="416"/>
      <c r="G4309" s="67">
        <f t="shared" si="139"/>
        <v>30.98</v>
      </c>
      <c r="H4309" s="989" t="s">
        <v>1442</v>
      </c>
      <c r="I4309" s="1232"/>
    </row>
    <row r="4310" spans="1:9" s="357" customFormat="1" ht="18" customHeight="1">
      <c r="A4310" s="417"/>
      <c r="B4310" s="703" t="s">
        <v>1517</v>
      </c>
      <c r="C4310" s="415">
        <v>3</v>
      </c>
      <c r="D4310" s="416">
        <v>2.2000000000000002</v>
      </c>
      <c r="E4310" s="416">
        <v>1.75</v>
      </c>
      <c r="F4310" s="416"/>
      <c r="G4310" s="67">
        <f t="shared" si="139"/>
        <v>11.55</v>
      </c>
      <c r="H4310" s="989" t="s">
        <v>1442</v>
      </c>
      <c r="I4310" s="1232"/>
    </row>
    <row r="4311" spans="1:9" s="357" customFormat="1" ht="18" customHeight="1">
      <c r="A4311" s="381"/>
      <c r="B4311" s="382" t="s">
        <v>1518</v>
      </c>
      <c r="C4311" s="383"/>
      <c r="D4311" s="384"/>
      <c r="E4311" s="384"/>
      <c r="F4311" s="384"/>
      <c r="G4311" s="67" t="str">
        <f t="shared" si="139"/>
        <v xml:space="preserve"> </v>
      </c>
      <c r="H4311" s="989" t="s">
        <v>1442</v>
      </c>
      <c r="I4311" s="1232"/>
    </row>
    <row r="4312" spans="1:9" s="357" customFormat="1" ht="18" customHeight="1">
      <c r="A4312" s="381"/>
      <c r="B4312" s="390" t="s">
        <v>1519</v>
      </c>
      <c r="C4312" s="415">
        <v>1</v>
      </c>
      <c r="D4312" s="416">
        <f>6.3-0.2</f>
        <v>6.1</v>
      </c>
      <c r="E4312" s="457">
        <v>6.3</v>
      </c>
      <c r="F4312" s="384"/>
      <c r="G4312" s="67">
        <f t="shared" si="139"/>
        <v>38.43</v>
      </c>
      <c r="H4312" s="989" t="s">
        <v>1442</v>
      </c>
      <c r="I4312" s="1232"/>
    </row>
    <row r="4313" spans="1:9" s="357" customFormat="1" ht="18" customHeight="1">
      <c r="A4313" s="381"/>
      <c r="B4313" s="390" t="s">
        <v>1771</v>
      </c>
      <c r="C4313" s="415">
        <v>1</v>
      </c>
      <c r="D4313" s="416">
        <v>0.3</v>
      </c>
      <c r="E4313" s="416">
        <v>1.8</v>
      </c>
      <c r="F4313" s="384"/>
      <c r="G4313" s="67">
        <f t="shared" si="139"/>
        <v>0.54</v>
      </c>
      <c r="H4313" s="989"/>
      <c r="I4313" s="1232"/>
    </row>
    <row r="4314" spans="1:9" s="357" customFormat="1" ht="18" customHeight="1">
      <c r="A4314" s="381"/>
      <c r="B4314" s="558" t="s">
        <v>1762</v>
      </c>
      <c r="C4314" s="415">
        <v>2</v>
      </c>
      <c r="D4314" s="416">
        <v>2.9750000000000001</v>
      </c>
      <c r="E4314" s="416">
        <v>7.0229999999999997</v>
      </c>
      <c r="F4314" s="384"/>
      <c r="G4314" s="67">
        <f t="shared" si="139"/>
        <v>41.79</v>
      </c>
      <c r="H4314" s="989" t="s">
        <v>1442</v>
      </c>
      <c r="I4314" s="1232"/>
    </row>
    <row r="4315" spans="1:9" s="357" customFormat="1" ht="18" customHeight="1">
      <c r="A4315" s="381"/>
      <c r="B4315" s="390" t="s">
        <v>1520</v>
      </c>
      <c r="C4315" s="415">
        <v>-2</v>
      </c>
      <c r="D4315" s="416">
        <v>1.7</v>
      </c>
      <c r="E4315" s="416">
        <v>1.2</v>
      </c>
      <c r="F4315" s="384"/>
      <c r="G4315" s="67">
        <f t="shared" si="139"/>
        <v>-4.08</v>
      </c>
      <c r="H4315" s="989" t="s">
        <v>1442</v>
      </c>
      <c r="I4315" s="1232"/>
    </row>
    <row r="4316" spans="1:9" s="357" customFormat="1" ht="18" customHeight="1">
      <c r="A4316" s="381"/>
      <c r="B4316" s="382" t="s">
        <v>1521</v>
      </c>
      <c r="C4316" s="383"/>
      <c r="D4316" s="384"/>
      <c r="E4316" s="384"/>
      <c r="F4316" s="384"/>
      <c r="G4316" s="67" t="str">
        <f t="shared" si="139"/>
        <v xml:space="preserve"> </v>
      </c>
      <c r="H4316" s="989" t="s">
        <v>1442</v>
      </c>
      <c r="I4316" s="1232"/>
    </row>
    <row r="4317" spans="1:9" s="357" customFormat="1" ht="18" customHeight="1">
      <c r="A4317" s="381"/>
      <c r="B4317" s="390" t="s">
        <v>1522</v>
      </c>
      <c r="C4317" s="415">
        <v>1</v>
      </c>
      <c r="D4317" s="416">
        <v>3.95</v>
      </c>
      <c r="E4317" s="416">
        <f>3.085+1.485</f>
        <v>4.57</v>
      </c>
      <c r="F4317" s="384"/>
      <c r="G4317" s="67">
        <f t="shared" si="139"/>
        <v>18.05</v>
      </c>
      <c r="H4317" s="989" t="s">
        <v>1442</v>
      </c>
      <c r="I4317" s="1232"/>
    </row>
    <row r="4318" spans="1:9" s="357" customFormat="1" ht="18" customHeight="1">
      <c r="A4318" s="381"/>
      <c r="B4318" s="390" t="s">
        <v>1523</v>
      </c>
      <c r="C4318" s="415">
        <v>1</v>
      </c>
      <c r="D4318" s="416">
        <v>2.27</v>
      </c>
      <c r="E4318" s="416">
        <v>3.085</v>
      </c>
      <c r="F4318" s="384"/>
      <c r="G4318" s="67">
        <f t="shared" si="139"/>
        <v>7</v>
      </c>
      <c r="H4318" s="989" t="s">
        <v>1442</v>
      </c>
      <c r="I4318" s="1232"/>
    </row>
    <row r="4319" spans="1:9" s="357" customFormat="1" ht="18" customHeight="1">
      <c r="A4319" s="381"/>
      <c r="B4319" s="390" t="s">
        <v>1524</v>
      </c>
      <c r="C4319" s="415">
        <v>1</v>
      </c>
      <c r="D4319" s="416">
        <v>2.7650000000000001</v>
      </c>
      <c r="E4319" s="416">
        <v>3.085</v>
      </c>
      <c r="F4319" s="384"/>
      <c r="G4319" s="67">
        <f t="shared" si="139"/>
        <v>8.5299999999999994</v>
      </c>
      <c r="H4319" s="989" t="s">
        <v>1442</v>
      </c>
      <c r="I4319" s="1232"/>
    </row>
    <row r="4320" spans="1:9" s="357" customFormat="1" ht="18" customHeight="1">
      <c r="A4320" s="381"/>
      <c r="B4320" s="390" t="s">
        <v>1525</v>
      </c>
      <c r="C4320" s="415">
        <v>1</v>
      </c>
      <c r="D4320" s="416">
        <v>3.1</v>
      </c>
      <c r="E4320" s="416">
        <f>2.01+1.135</f>
        <v>3.1449999999999996</v>
      </c>
      <c r="F4320" s="384"/>
      <c r="G4320" s="67">
        <f t="shared" si="139"/>
        <v>9.75</v>
      </c>
      <c r="H4320" s="989" t="s">
        <v>1442</v>
      </c>
      <c r="I4320" s="1232"/>
    </row>
    <row r="4321" spans="1:9" s="357" customFormat="1" ht="18" customHeight="1">
      <c r="A4321" s="381"/>
      <c r="B4321" s="390" t="s">
        <v>1526</v>
      </c>
      <c r="C4321" s="415">
        <v>1</v>
      </c>
      <c r="D4321" s="416">
        <v>1.7849999999999999</v>
      </c>
      <c r="E4321" s="416">
        <v>3.1</v>
      </c>
      <c r="F4321" s="384"/>
      <c r="G4321" s="67">
        <f t="shared" si="139"/>
        <v>5.53</v>
      </c>
      <c r="H4321" s="989" t="s">
        <v>1442</v>
      </c>
      <c r="I4321" s="1232"/>
    </row>
    <row r="4322" spans="1:9" s="357" customFormat="1" ht="18" customHeight="1">
      <c r="A4322" s="381"/>
      <c r="B4322" s="390" t="s">
        <v>1527</v>
      </c>
      <c r="C4322" s="415">
        <v>1</v>
      </c>
      <c r="D4322" s="416">
        <v>7.6459999999999999</v>
      </c>
      <c r="E4322" s="416">
        <v>2.93</v>
      </c>
      <c r="F4322" s="384"/>
      <c r="G4322" s="67">
        <f t="shared" si="139"/>
        <v>22.4</v>
      </c>
      <c r="H4322" s="989" t="s">
        <v>1442</v>
      </c>
      <c r="I4322" s="1232"/>
    </row>
    <row r="4323" spans="1:9" s="357" customFormat="1" ht="18" customHeight="1">
      <c r="A4323" s="381"/>
      <c r="B4323" s="390" t="s">
        <v>1528</v>
      </c>
      <c r="C4323" s="415">
        <v>1</v>
      </c>
      <c r="D4323" s="416">
        <v>1.4950000000000001</v>
      </c>
      <c r="E4323" s="416">
        <v>1.2</v>
      </c>
      <c r="F4323" s="384"/>
      <c r="G4323" s="67">
        <f t="shared" si="139"/>
        <v>1.79</v>
      </c>
      <c r="H4323" s="989" t="s">
        <v>1442</v>
      </c>
      <c r="I4323" s="1232"/>
    </row>
    <row r="4324" spans="1:9" s="357" customFormat="1" ht="18" customHeight="1">
      <c r="A4324" s="381"/>
      <c r="B4324" s="390"/>
      <c r="C4324" s="415">
        <v>1</v>
      </c>
      <c r="D4324" s="416">
        <v>1.5</v>
      </c>
      <c r="E4324" s="416">
        <v>1.55</v>
      </c>
      <c r="F4324" s="384"/>
      <c r="G4324" s="67">
        <f t="shared" si="139"/>
        <v>2.33</v>
      </c>
      <c r="H4324" s="989" t="s">
        <v>1442</v>
      </c>
      <c r="I4324" s="1232"/>
    </row>
    <row r="4325" spans="1:9" s="357" customFormat="1" ht="18" customHeight="1">
      <c r="A4325" s="381"/>
      <c r="B4325" s="390" t="s">
        <v>1529</v>
      </c>
      <c r="C4325" s="415">
        <v>1</v>
      </c>
      <c r="D4325" s="416">
        <v>1.63</v>
      </c>
      <c r="E4325" s="416">
        <f>0.115+2.27+0.115+2.765</f>
        <v>5.2650000000000006</v>
      </c>
      <c r="F4325" s="384"/>
      <c r="G4325" s="67">
        <f t="shared" si="139"/>
        <v>8.58</v>
      </c>
      <c r="H4325" s="989" t="s">
        <v>1442</v>
      </c>
      <c r="I4325" s="1232"/>
    </row>
    <row r="4326" spans="1:9" s="357" customFormat="1" ht="18" customHeight="1">
      <c r="A4326" s="381"/>
      <c r="B4326" s="382" t="s">
        <v>1530</v>
      </c>
      <c r="C4326" s="415"/>
      <c r="D4326" s="416"/>
      <c r="E4326" s="416"/>
      <c r="F4326" s="384"/>
      <c r="G4326" s="67" t="str">
        <f t="shared" si="139"/>
        <v xml:space="preserve"> </v>
      </c>
      <c r="H4326" s="989" t="s">
        <v>1442</v>
      </c>
      <c r="I4326" s="1232"/>
    </row>
    <row r="4327" spans="1:9" s="357" customFormat="1" ht="18" customHeight="1">
      <c r="A4327" s="381"/>
      <c r="B4327" s="390" t="s">
        <v>1531</v>
      </c>
      <c r="C4327" s="415">
        <v>1</v>
      </c>
      <c r="D4327" s="416">
        <v>3.6</v>
      </c>
      <c r="E4327" s="416">
        <v>3.5</v>
      </c>
      <c r="F4327" s="384"/>
      <c r="G4327" s="67">
        <f t="shared" si="139"/>
        <v>12.6</v>
      </c>
      <c r="H4327" s="989" t="s">
        <v>1442</v>
      </c>
      <c r="I4327" s="1232"/>
    </row>
    <row r="4328" spans="1:9" s="357" customFormat="1" ht="18" customHeight="1">
      <c r="A4328" s="381"/>
      <c r="B4328" s="390"/>
      <c r="C4328" s="415">
        <v>1</v>
      </c>
      <c r="D4328" s="416">
        <v>1.27</v>
      </c>
      <c r="E4328" s="416">
        <v>0.3</v>
      </c>
      <c r="F4328" s="384"/>
      <c r="G4328" s="67">
        <f t="shared" si="139"/>
        <v>0.38</v>
      </c>
      <c r="H4328" s="989"/>
      <c r="I4328" s="1232"/>
    </row>
    <row r="4329" spans="1:9" s="357" customFormat="1" ht="18" customHeight="1">
      <c r="A4329" s="381"/>
      <c r="B4329" s="390" t="s">
        <v>1532</v>
      </c>
      <c r="C4329" s="415">
        <v>3</v>
      </c>
      <c r="D4329" s="416">
        <v>2.0699999999999998</v>
      </c>
      <c r="E4329" s="416">
        <v>0.35</v>
      </c>
      <c r="F4329" s="384"/>
      <c r="G4329" s="67">
        <f t="shared" si="139"/>
        <v>2.17</v>
      </c>
      <c r="H4329" s="989" t="s">
        <v>1442</v>
      </c>
      <c r="I4329" s="1232"/>
    </row>
    <row r="4330" spans="1:9" s="357" customFormat="1" ht="18" customHeight="1">
      <c r="A4330" s="381"/>
      <c r="B4330" s="390"/>
      <c r="C4330" s="415">
        <v>3</v>
      </c>
      <c r="D4330" s="416">
        <v>0.11</v>
      </c>
      <c r="E4330" s="416">
        <v>2.0699999999999998</v>
      </c>
      <c r="F4330" s="384"/>
      <c r="G4330" s="67">
        <f t="shared" si="139"/>
        <v>0.68</v>
      </c>
      <c r="H4330" s="989"/>
      <c r="I4330" s="1232"/>
    </row>
    <row r="4331" spans="1:9" s="357" customFormat="1" ht="18" customHeight="1">
      <c r="A4331" s="381"/>
      <c r="B4331" s="390" t="s">
        <v>1533</v>
      </c>
      <c r="C4331" s="415">
        <v>2</v>
      </c>
      <c r="D4331" s="416">
        <v>2.16</v>
      </c>
      <c r="E4331" s="416">
        <v>1.35</v>
      </c>
      <c r="F4331" s="384"/>
      <c r="G4331" s="67">
        <f t="shared" si="139"/>
        <v>5.83</v>
      </c>
      <c r="H4331" s="989" t="s">
        <v>1442</v>
      </c>
      <c r="I4331" s="1232"/>
    </row>
    <row r="4332" spans="1:9" s="357" customFormat="1" ht="18" customHeight="1">
      <c r="A4332" s="381"/>
      <c r="B4332" s="390"/>
      <c r="C4332" s="415">
        <v>2</v>
      </c>
      <c r="D4332" s="416">
        <v>1.4</v>
      </c>
      <c r="E4332" s="416">
        <v>1.53</v>
      </c>
      <c r="F4332" s="384"/>
      <c r="G4332" s="67">
        <f t="shared" si="139"/>
        <v>4.28</v>
      </c>
      <c r="H4332" s="989"/>
      <c r="I4332" s="1232"/>
    </row>
    <row r="4333" spans="1:9" s="357" customFormat="1" ht="18" customHeight="1">
      <c r="A4333" s="381"/>
      <c r="B4333" s="390"/>
      <c r="C4333" s="415">
        <v>2</v>
      </c>
      <c r="D4333" s="416">
        <v>3.76</v>
      </c>
      <c r="E4333" s="416">
        <v>1.53</v>
      </c>
      <c r="F4333" s="384"/>
      <c r="G4333" s="67">
        <f t="shared" si="139"/>
        <v>11.51</v>
      </c>
      <c r="H4333" s="989"/>
      <c r="I4333" s="1232"/>
    </row>
    <row r="4334" spans="1:9" s="357" customFormat="1" ht="18" customHeight="1">
      <c r="A4334" s="381"/>
      <c r="B4334" s="390"/>
      <c r="C4334" s="415">
        <v>2</v>
      </c>
      <c r="D4334" s="416">
        <v>1.6</v>
      </c>
      <c r="E4334" s="416">
        <v>1.57</v>
      </c>
      <c r="F4334" s="384"/>
      <c r="G4334" s="67">
        <f t="shared" si="139"/>
        <v>5.0199999999999996</v>
      </c>
      <c r="H4334" s="989"/>
      <c r="I4334" s="1232"/>
    </row>
    <row r="4335" spans="1:9" s="357" customFormat="1" ht="18" customHeight="1">
      <c r="A4335" s="381"/>
      <c r="B4335" s="390"/>
      <c r="C4335" s="415">
        <v>2</v>
      </c>
      <c r="D4335" s="416">
        <v>2.1</v>
      </c>
      <c r="E4335" s="416">
        <v>1.57</v>
      </c>
      <c r="F4335" s="384"/>
      <c r="G4335" s="67">
        <f t="shared" si="139"/>
        <v>6.59</v>
      </c>
      <c r="H4335" s="989"/>
      <c r="I4335" s="1232"/>
    </row>
    <row r="4336" spans="1:9" s="357" customFormat="1" ht="18" customHeight="1">
      <c r="A4336" s="381"/>
      <c r="B4336" s="390" t="s">
        <v>1534</v>
      </c>
      <c r="C4336" s="415">
        <v>2</v>
      </c>
      <c r="D4336" s="416">
        <f>((2.16+3.71)*2)-1.2</f>
        <v>10.540000000000001</v>
      </c>
      <c r="E4336" s="416">
        <v>0.3</v>
      </c>
      <c r="F4336" s="384"/>
      <c r="G4336" s="67">
        <f t="shared" si="139"/>
        <v>6.32</v>
      </c>
      <c r="H4336" s="989" t="s">
        <v>1442</v>
      </c>
      <c r="I4336" s="1232"/>
    </row>
    <row r="4337" spans="1:9" s="357" customFormat="1" ht="18" customHeight="1">
      <c r="A4337" s="381"/>
      <c r="B4337" s="390" t="s">
        <v>1766</v>
      </c>
      <c r="C4337" s="415">
        <v>2</v>
      </c>
      <c r="D4337" s="416">
        <f>(0.54+0.365)/2</f>
        <v>0.45250000000000001</v>
      </c>
      <c r="E4337" s="416">
        <v>2.16</v>
      </c>
      <c r="F4337" s="384"/>
      <c r="G4337" s="67">
        <f t="shared" si="139"/>
        <v>1.95</v>
      </c>
      <c r="H4337" s="989"/>
      <c r="I4337" s="1232"/>
    </row>
    <row r="4338" spans="1:9" s="357" customFormat="1" ht="18" customHeight="1">
      <c r="A4338" s="381"/>
      <c r="B4338" s="390"/>
      <c r="C4338" s="415">
        <v>2</v>
      </c>
      <c r="D4338" s="416">
        <f>(0.365+0.17)/2</f>
        <v>0.26750000000000002</v>
      </c>
      <c r="E4338" s="416">
        <v>3.76</v>
      </c>
      <c r="F4338" s="384"/>
      <c r="G4338" s="67">
        <f t="shared" si="139"/>
        <v>2.0099999999999998</v>
      </c>
      <c r="H4338" s="989"/>
      <c r="I4338" s="1232"/>
    </row>
    <row r="4339" spans="1:9" s="357" customFormat="1" ht="18" customHeight="1">
      <c r="A4339" s="381"/>
      <c r="B4339" s="390" t="s">
        <v>1767</v>
      </c>
      <c r="C4339" s="415">
        <v>1</v>
      </c>
      <c r="D4339" s="416">
        <v>6.6</v>
      </c>
      <c r="E4339" s="416">
        <v>2.48</v>
      </c>
      <c r="F4339" s="384"/>
      <c r="G4339" s="67">
        <f t="shared" si="139"/>
        <v>16.37</v>
      </c>
      <c r="H4339" s="989"/>
      <c r="I4339" s="1232"/>
    </row>
    <row r="4340" spans="1:9" s="357" customFormat="1" ht="18" customHeight="1">
      <c r="A4340" s="381"/>
      <c r="B4340" s="390" t="s">
        <v>1768</v>
      </c>
      <c r="C4340" s="415">
        <v>3</v>
      </c>
      <c r="D4340" s="416">
        <v>0.13</v>
      </c>
      <c r="E4340" s="416">
        <v>2.58</v>
      </c>
      <c r="F4340" s="384"/>
      <c r="G4340" s="67">
        <f t="shared" si="139"/>
        <v>1.01</v>
      </c>
      <c r="H4340" s="989"/>
      <c r="I4340" s="1232"/>
    </row>
    <row r="4341" spans="1:9" s="357" customFormat="1" ht="18" customHeight="1">
      <c r="A4341" s="381"/>
      <c r="B4341" s="390" t="s">
        <v>1769</v>
      </c>
      <c r="C4341" s="415">
        <v>1</v>
      </c>
      <c r="D4341" s="416">
        <v>0.3</v>
      </c>
      <c r="E4341" s="416">
        <v>1.8</v>
      </c>
      <c r="F4341" s="384"/>
      <c r="G4341" s="67">
        <f t="shared" si="139"/>
        <v>0.54</v>
      </c>
      <c r="H4341" s="989"/>
      <c r="I4341" s="1232"/>
    </row>
    <row r="4342" spans="1:9" s="357" customFormat="1" ht="18" customHeight="1">
      <c r="A4342" s="381"/>
      <c r="B4342" s="390" t="s">
        <v>1770</v>
      </c>
      <c r="C4342" s="415">
        <v>-2</v>
      </c>
      <c r="D4342" s="416">
        <v>0.5</v>
      </c>
      <c r="E4342" s="416">
        <v>0.68</v>
      </c>
      <c r="F4342" s="384"/>
      <c r="G4342" s="67">
        <f t="shared" si="139"/>
        <v>-0.68</v>
      </c>
      <c r="H4342" s="989"/>
      <c r="I4342" s="1232"/>
    </row>
    <row r="4343" spans="1:9" s="357" customFormat="1" ht="18" customHeight="1">
      <c r="A4343" s="381"/>
      <c r="B4343" s="390" t="s">
        <v>1772</v>
      </c>
      <c r="C4343" s="415">
        <v>4</v>
      </c>
      <c r="D4343" s="416">
        <v>0.33</v>
      </c>
      <c r="E4343" s="416">
        <v>1.36</v>
      </c>
      <c r="F4343" s="384"/>
      <c r="G4343" s="67">
        <f t="shared" si="139"/>
        <v>1.8</v>
      </c>
      <c r="H4343" s="989" t="s">
        <v>1442</v>
      </c>
      <c r="I4343" s="1232"/>
    </row>
    <row r="4344" spans="1:9" s="357" customFormat="1" ht="18" customHeight="1">
      <c r="A4344" s="1017"/>
      <c r="B4344" s="874" t="s">
        <v>2188</v>
      </c>
      <c r="C4344" s="1017"/>
      <c r="D4344" s="1017"/>
      <c r="E4344" s="1017"/>
      <c r="F4344" s="1017"/>
      <c r="G4344" s="968">
        <f>SUM(G4331:G4343)</f>
        <v>62.54999999999999</v>
      </c>
      <c r="H4344" s="1018" t="s">
        <v>350</v>
      </c>
      <c r="I4344" s="1232" t="s">
        <v>2269</v>
      </c>
    </row>
    <row r="4345" spans="1:9" s="704" customFormat="1" ht="18" customHeight="1">
      <c r="A4345" s="934"/>
      <c r="B4345" s="566"/>
      <c r="C4345" s="565"/>
      <c r="D4345" s="254"/>
      <c r="E4345" s="254"/>
      <c r="F4345" s="254"/>
      <c r="G4345" s="707"/>
      <c r="H4345" s="975"/>
      <c r="I4345" s="1250"/>
    </row>
    <row r="4346" spans="1:9" s="357" customFormat="1" ht="18" customHeight="1">
      <c r="A4346" s="388" t="s">
        <v>1535</v>
      </c>
      <c r="B4346" s="560" t="s">
        <v>1536</v>
      </c>
      <c r="C4346" s="383"/>
      <c r="D4346" s="384"/>
      <c r="E4346" s="384"/>
      <c r="F4346" s="384"/>
      <c r="G4346" s="384"/>
      <c r="H4346" s="936"/>
      <c r="I4346" s="1232"/>
    </row>
    <row r="4347" spans="1:9" s="357" customFormat="1" ht="18" customHeight="1">
      <c r="A4347" s="417" t="s">
        <v>1442</v>
      </c>
      <c r="B4347" s="559" t="s">
        <v>1537</v>
      </c>
      <c r="C4347" s="415">
        <v>2</v>
      </c>
      <c r="D4347" s="416">
        <f>3.55+6.57+3.79</f>
        <v>13.91</v>
      </c>
      <c r="E4347" s="416"/>
      <c r="F4347" s="416"/>
      <c r="G4347" s="67">
        <f t="shared" ref="G4347:G4348" si="140">IF(C4347&lt;&gt;0,ROUND(PRODUCT(D4347:F4347)*C4347,2)," ")</f>
        <v>27.82</v>
      </c>
      <c r="H4347" s="989" t="s">
        <v>1442</v>
      </c>
      <c r="I4347" s="1232"/>
    </row>
    <row r="4348" spans="1:9" s="357" customFormat="1" ht="18" customHeight="1">
      <c r="A4348" s="417"/>
      <c r="B4348" s="703"/>
      <c r="C4348" s="415">
        <v>2</v>
      </c>
      <c r="D4348" s="416">
        <f>2.19+3.96+2.43+0.28</f>
        <v>8.86</v>
      </c>
      <c r="E4348" s="416"/>
      <c r="F4348" s="416"/>
      <c r="G4348" s="67">
        <f t="shared" si="140"/>
        <v>17.72</v>
      </c>
      <c r="H4348" s="989" t="s">
        <v>1442</v>
      </c>
      <c r="I4348" s="1232"/>
    </row>
    <row r="4349" spans="1:9" s="357" customFormat="1" ht="18" customHeight="1">
      <c r="A4349" s="1017"/>
      <c r="B4349" s="874" t="s">
        <v>2188</v>
      </c>
      <c r="C4349" s="1017"/>
      <c r="D4349" s="1017"/>
      <c r="E4349" s="1017"/>
      <c r="F4349" s="1017"/>
      <c r="G4349" s="968">
        <f>SUM(G4346:G4348)</f>
        <v>45.54</v>
      </c>
      <c r="H4349" s="1018" t="s">
        <v>356</v>
      </c>
      <c r="I4349" s="1232" t="s">
        <v>1535</v>
      </c>
    </row>
    <row r="4350" spans="1:9" s="704" customFormat="1" ht="18" customHeight="1">
      <c r="A4350" s="934"/>
      <c r="B4350" s="566"/>
      <c r="C4350" s="565"/>
      <c r="D4350" s="254"/>
      <c r="E4350" s="254"/>
      <c r="F4350" s="254"/>
      <c r="G4350" s="707"/>
      <c r="H4350" s="975"/>
      <c r="I4350" s="1250"/>
    </row>
    <row r="4351" spans="1:9" s="357" customFormat="1" ht="28.5">
      <c r="A4351" s="388" t="s">
        <v>2317</v>
      </c>
      <c r="B4351" s="389" t="s">
        <v>1538</v>
      </c>
      <c r="C4351" s="383"/>
      <c r="D4351" s="384"/>
      <c r="E4351" s="384"/>
      <c r="F4351" s="384"/>
      <c r="G4351" s="384"/>
      <c r="H4351" s="936"/>
      <c r="I4351" s="1232"/>
    </row>
    <row r="4352" spans="1:9" s="357" customFormat="1" ht="18" customHeight="1">
      <c r="A4352" s="401" t="s">
        <v>1442</v>
      </c>
      <c r="B4352" s="385" t="s">
        <v>1539</v>
      </c>
      <c r="C4352" s="383"/>
      <c r="D4352" s="384"/>
      <c r="E4352" s="384"/>
      <c r="F4352" s="384"/>
      <c r="G4352" s="384">
        <f t="shared" ref="G4352" si="141">+PRODUCT(C4352:F4352)</f>
        <v>0</v>
      </c>
      <c r="H4352" s="936"/>
      <c r="I4352" s="1232"/>
    </row>
    <row r="4353" spans="1:9" s="357" customFormat="1" ht="18" customHeight="1">
      <c r="A4353" s="401"/>
      <c r="B4353" s="385" t="s">
        <v>1540</v>
      </c>
      <c r="C4353" s="383"/>
      <c r="D4353" s="384"/>
      <c r="E4353" s="384"/>
      <c r="F4353" s="384"/>
      <c r="G4353" s="384"/>
      <c r="H4353" s="936"/>
      <c r="I4353" s="1232"/>
    </row>
    <row r="4354" spans="1:9" s="357" customFormat="1" ht="18" customHeight="1">
      <c r="A4354" s="401"/>
      <c r="B4354" s="385" t="s">
        <v>1194</v>
      </c>
      <c r="C4354" s="383"/>
      <c r="D4354" s="384"/>
      <c r="E4354" s="384"/>
      <c r="F4354" s="384"/>
      <c r="G4354" s="384">
        <f t="shared" ref="G4354" si="142">+PRODUCT(C4354:F4354)</f>
        <v>0</v>
      </c>
      <c r="H4354" s="936"/>
      <c r="I4354" s="1232"/>
    </row>
    <row r="4355" spans="1:9" s="357" customFormat="1" ht="18" customHeight="1">
      <c r="A4355" s="401"/>
      <c r="B4355" s="385" t="s">
        <v>1541</v>
      </c>
      <c r="C4355" s="383"/>
      <c r="D4355" s="384"/>
      <c r="E4355" s="384"/>
      <c r="F4355" s="384"/>
      <c r="G4355" s="384"/>
      <c r="H4355" s="936"/>
      <c r="I4355" s="1232"/>
    </row>
    <row r="4356" spans="1:9" s="357" customFormat="1" ht="18" customHeight="1">
      <c r="A4356" s="401"/>
      <c r="B4356" s="413" t="s">
        <v>1542</v>
      </c>
      <c r="C4356" s="415">
        <v>1</v>
      </c>
      <c r="D4356" s="416">
        <f>3.2+6.45+6.45+6.3+6.45+6.45+3.2+3.925+3.925</f>
        <v>46.35</v>
      </c>
      <c r="E4356" s="416">
        <v>11.65</v>
      </c>
      <c r="F4356" s="384"/>
      <c r="G4356" s="67">
        <f t="shared" ref="G4356:G4419" si="143">IF(C4356&lt;&gt;0,ROUND(PRODUCT(D4356:F4356)*C4356,2)," ")</f>
        <v>539.98</v>
      </c>
      <c r="H4356" s="936" t="s">
        <v>1442</v>
      </c>
      <c r="I4356" s="1232"/>
    </row>
    <row r="4357" spans="1:9" s="357" customFormat="1" ht="18" customHeight="1">
      <c r="A4357" s="401"/>
      <c r="B4357" s="413" t="s">
        <v>1543</v>
      </c>
      <c r="C4357" s="415">
        <v>-15</v>
      </c>
      <c r="D4357" s="416">
        <v>1</v>
      </c>
      <c r="E4357" s="416">
        <v>1.8</v>
      </c>
      <c r="F4357" s="384"/>
      <c r="G4357" s="67">
        <f t="shared" si="143"/>
        <v>-27</v>
      </c>
      <c r="H4357" s="936" t="s">
        <v>1442</v>
      </c>
      <c r="I4357" s="1232"/>
    </row>
    <row r="4358" spans="1:9" s="357" customFormat="1" ht="18" customHeight="1">
      <c r="A4358" s="401"/>
      <c r="B4358" s="413" t="s">
        <v>1544</v>
      </c>
      <c r="C4358" s="415">
        <v>-2</v>
      </c>
      <c r="D4358" s="416">
        <v>1.7</v>
      </c>
      <c r="E4358" s="416">
        <v>2.4</v>
      </c>
      <c r="F4358" s="384"/>
      <c r="G4358" s="67">
        <f t="shared" si="143"/>
        <v>-8.16</v>
      </c>
      <c r="H4358" s="936" t="s">
        <v>1442</v>
      </c>
      <c r="I4358" s="1232"/>
    </row>
    <row r="4359" spans="1:9" s="357" customFormat="1" ht="18" customHeight="1">
      <c r="A4359" s="401"/>
      <c r="B4359" s="413" t="s">
        <v>1545</v>
      </c>
      <c r="C4359" s="415">
        <v>2</v>
      </c>
      <c r="D4359" s="416">
        <f>1.7+1.7+2.4+2.4</f>
        <v>8.1999999999999993</v>
      </c>
      <c r="E4359" s="416">
        <v>0.1</v>
      </c>
      <c r="F4359" s="384"/>
      <c r="G4359" s="67">
        <f t="shared" si="143"/>
        <v>1.64</v>
      </c>
      <c r="H4359" s="936" t="s">
        <v>1442</v>
      </c>
      <c r="I4359" s="1232"/>
    </row>
    <row r="4360" spans="1:9" s="357" customFormat="1" ht="18" customHeight="1">
      <c r="A4360" s="401"/>
      <c r="B4360" s="390" t="s">
        <v>1546</v>
      </c>
      <c r="C4360" s="415">
        <v>-1</v>
      </c>
      <c r="D4360" s="416">
        <v>1.8</v>
      </c>
      <c r="E4360" s="416">
        <v>2.7</v>
      </c>
      <c r="F4360" s="384"/>
      <c r="G4360" s="67">
        <f t="shared" si="143"/>
        <v>-4.8600000000000003</v>
      </c>
      <c r="H4360" s="936" t="s">
        <v>1442</v>
      </c>
      <c r="I4360" s="1232"/>
    </row>
    <row r="4361" spans="1:9" s="357" customFormat="1" ht="18" customHeight="1">
      <c r="A4361" s="401"/>
      <c r="B4361" s="413" t="s">
        <v>1545</v>
      </c>
      <c r="C4361" s="415">
        <v>1</v>
      </c>
      <c r="D4361" s="416">
        <f>1.8+1.8+2.7+2.7</f>
        <v>9</v>
      </c>
      <c r="E4361" s="416">
        <v>0.1</v>
      </c>
      <c r="F4361" s="384"/>
      <c r="G4361" s="67">
        <f t="shared" si="143"/>
        <v>0.9</v>
      </c>
      <c r="H4361" s="936" t="s">
        <v>1442</v>
      </c>
      <c r="I4361" s="1232"/>
    </row>
    <row r="4362" spans="1:9" s="357" customFormat="1" ht="18" customHeight="1">
      <c r="A4362" s="401"/>
      <c r="B4362" s="390" t="s">
        <v>1547</v>
      </c>
      <c r="C4362" s="415">
        <v>-1</v>
      </c>
      <c r="D4362" s="416">
        <v>4.9000000000000004</v>
      </c>
      <c r="E4362" s="416">
        <v>1.8</v>
      </c>
      <c r="F4362" s="384"/>
      <c r="G4362" s="67">
        <f t="shared" si="143"/>
        <v>-8.82</v>
      </c>
      <c r="H4362" s="936" t="s">
        <v>1442</v>
      </c>
      <c r="I4362" s="1232"/>
    </row>
    <row r="4363" spans="1:9" s="357" customFormat="1" ht="18" customHeight="1">
      <c r="A4363" s="401"/>
      <c r="B4363" s="413" t="s">
        <v>1545</v>
      </c>
      <c r="C4363" s="415">
        <v>1</v>
      </c>
      <c r="D4363" s="416">
        <f>4.9+4.9+1.8+1.8</f>
        <v>13.400000000000002</v>
      </c>
      <c r="E4363" s="416">
        <v>0.1</v>
      </c>
      <c r="F4363" s="384"/>
      <c r="G4363" s="67">
        <f t="shared" si="143"/>
        <v>1.34</v>
      </c>
      <c r="H4363" s="936" t="s">
        <v>1442</v>
      </c>
      <c r="I4363" s="1232"/>
    </row>
    <row r="4364" spans="1:9" s="357" customFormat="1" ht="18" customHeight="1">
      <c r="A4364" s="401"/>
      <c r="B4364" s="413" t="s">
        <v>1548</v>
      </c>
      <c r="C4364" s="415">
        <v>-1</v>
      </c>
      <c r="D4364" s="416">
        <v>3.0249999999999999</v>
      </c>
      <c r="E4364" s="416">
        <v>11.65</v>
      </c>
      <c r="F4364" s="384"/>
      <c r="G4364" s="67">
        <f t="shared" si="143"/>
        <v>-35.24</v>
      </c>
      <c r="H4364" s="936" t="s">
        <v>1442</v>
      </c>
      <c r="I4364" s="1232"/>
    </row>
    <row r="4365" spans="1:9" s="357" customFormat="1" ht="18" customHeight="1">
      <c r="A4365" s="401"/>
      <c r="B4365" s="413" t="s">
        <v>1549</v>
      </c>
      <c r="C4365" s="415">
        <v>2</v>
      </c>
      <c r="D4365" s="416">
        <f>3.025+11.65+11.65</f>
        <v>26.325000000000003</v>
      </c>
      <c r="E4365" s="416">
        <v>0.1</v>
      </c>
      <c r="F4365" s="384"/>
      <c r="G4365" s="67">
        <f t="shared" si="143"/>
        <v>5.27</v>
      </c>
      <c r="H4365" s="936" t="s">
        <v>1442</v>
      </c>
      <c r="I4365" s="1232"/>
    </row>
    <row r="4366" spans="1:9" s="357" customFormat="1" ht="18" customHeight="1">
      <c r="A4366" s="401"/>
      <c r="B4366" s="385" t="s">
        <v>1550</v>
      </c>
      <c r="C4366" s="415"/>
      <c r="D4366" s="416"/>
      <c r="E4366" s="416"/>
      <c r="F4366" s="384"/>
      <c r="G4366" s="67" t="str">
        <f t="shared" si="143"/>
        <v xml:space="preserve"> </v>
      </c>
      <c r="H4366" s="936" t="s">
        <v>1442</v>
      </c>
      <c r="I4366" s="1232"/>
    </row>
    <row r="4367" spans="1:9" s="357" customFormat="1" ht="18" customHeight="1">
      <c r="A4367" s="401"/>
      <c r="B4367" s="413" t="s">
        <v>1193</v>
      </c>
      <c r="C4367" s="415">
        <v>1</v>
      </c>
      <c r="D4367" s="416">
        <f>2.298+4.6+3.825+3.2+6.45+6.45+6.3+6.45+6.45+3.2+3.825+4.6+2.298</f>
        <v>59.946000000000012</v>
      </c>
      <c r="E4367" s="416">
        <v>11.65</v>
      </c>
      <c r="F4367" s="384"/>
      <c r="G4367" s="67">
        <f t="shared" si="143"/>
        <v>698.37</v>
      </c>
      <c r="H4367" s="936" t="s">
        <v>1442</v>
      </c>
      <c r="I4367" s="1232"/>
    </row>
    <row r="4368" spans="1:9" s="357" customFormat="1" ht="18" customHeight="1">
      <c r="A4368" s="401"/>
      <c r="B4368" s="413" t="s">
        <v>1551</v>
      </c>
      <c r="C4368" s="415">
        <v>-11</v>
      </c>
      <c r="D4368" s="416">
        <v>1</v>
      </c>
      <c r="E4368" s="416">
        <v>1.8</v>
      </c>
      <c r="F4368" s="384"/>
      <c r="G4368" s="67">
        <f t="shared" si="143"/>
        <v>-19.8</v>
      </c>
      <c r="H4368" s="936" t="s">
        <v>1442</v>
      </c>
      <c r="I4368" s="1232"/>
    </row>
    <row r="4369" spans="1:9" s="357" customFormat="1" ht="18" customHeight="1">
      <c r="A4369" s="401"/>
      <c r="B4369" s="413" t="s">
        <v>1552</v>
      </c>
      <c r="C4369" s="415">
        <v>-6</v>
      </c>
      <c r="D4369" s="416">
        <v>1</v>
      </c>
      <c r="E4369" s="416">
        <v>1.8</v>
      </c>
      <c r="F4369" s="384"/>
      <c r="G4369" s="67">
        <f t="shared" si="143"/>
        <v>-10.8</v>
      </c>
      <c r="H4369" s="936" t="s">
        <v>1442</v>
      </c>
      <c r="I4369" s="1232"/>
    </row>
    <row r="4370" spans="1:9" s="357" customFormat="1" ht="18" customHeight="1">
      <c r="A4370" s="401"/>
      <c r="B4370" s="413" t="s">
        <v>1553</v>
      </c>
      <c r="C4370" s="415">
        <v>-1.5</v>
      </c>
      <c r="D4370" s="416">
        <v>1.5</v>
      </c>
      <c r="E4370" s="416">
        <v>1.1000000000000001</v>
      </c>
      <c r="F4370" s="384"/>
      <c r="G4370" s="67">
        <f t="shared" si="143"/>
        <v>-2.48</v>
      </c>
      <c r="H4370" s="936" t="s">
        <v>1442</v>
      </c>
      <c r="I4370" s="1232"/>
    </row>
    <row r="4371" spans="1:9" s="357" customFormat="1" ht="18" customHeight="1">
      <c r="A4371" s="401"/>
      <c r="B4371" s="413" t="s">
        <v>1554</v>
      </c>
      <c r="C4371" s="415">
        <v>-0.5</v>
      </c>
      <c r="D4371" s="416">
        <v>0.6</v>
      </c>
      <c r="E4371" s="416">
        <v>0.6</v>
      </c>
      <c r="F4371" s="384"/>
      <c r="G4371" s="67">
        <f t="shared" si="143"/>
        <v>-0.18</v>
      </c>
      <c r="H4371" s="936" t="s">
        <v>1442</v>
      </c>
      <c r="I4371" s="1232"/>
    </row>
    <row r="4372" spans="1:9" s="357" customFormat="1" ht="18" customHeight="1">
      <c r="A4372" s="401"/>
      <c r="B4372" s="413" t="s">
        <v>1555</v>
      </c>
      <c r="C4372" s="415">
        <v>-0.5</v>
      </c>
      <c r="D4372" s="416">
        <v>1</v>
      </c>
      <c r="E4372" s="416">
        <v>2.1</v>
      </c>
      <c r="F4372" s="384"/>
      <c r="G4372" s="67">
        <f t="shared" si="143"/>
        <v>-1.05</v>
      </c>
      <c r="H4372" s="936" t="s">
        <v>1442</v>
      </c>
      <c r="I4372" s="1232"/>
    </row>
    <row r="4373" spans="1:9" s="357" customFormat="1" ht="18" customHeight="1">
      <c r="A4373" s="401"/>
      <c r="B4373" s="413" t="s">
        <v>1556</v>
      </c>
      <c r="C4373" s="415">
        <v>-0.5</v>
      </c>
      <c r="D4373" s="416">
        <v>1.2</v>
      </c>
      <c r="E4373" s="416">
        <v>2.1</v>
      </c>
      <c r="F4373" s="384"/>
      <c r="G4373" s="67">
        <f t="shared" si="143"/>
        <v>-1.26</v>
      </c>
      <c r="H4373" s="936" t="s">
        <v>1442</v>
      </c>
      <c r="I4373" s="1232"/>
    </row>
    <row r="4374" spans="1:9" s="357" customFormat="1" ht="18" customHeight="1">
      <c r="A4374" s="401"/>
      <c r="B4374" s="413" t="s">
        <v>1544</v>
      </c>
      <c r="C4374" s="415">
        <v>-1</v>
      </c>
      <c r="D4374" s="416">
        <v>1.7</v>
      </c>
      <c r="E4374" s="416">
        <v>2.4</v>
      </c>
      <c r="F4374" s="384"/>
      <c r="G4374" s="67">
        <f t="shared" si="143"/>
        <v>-4.08</v>
      </c>
      <c r="H4374" s="936" t="s">
        <v>1442</v>
      </c>
      <c r="I4374" s="1232"/>
    </row>
    <row r="4375" spans="1:9" s="357" customFormat="1" ht="18" customHeight="1">
      <c r="A4375" s="401"/>
      <c r="B4375" s="413" t="s">
        <v>1545</v>
      </c>
      <c r="C4375" s="415">
        <v>1</v>
      </c>
      <c r="D4375" s="416">
        <f>1.7+1.7+2.4+2.4</f>
        <v>8.1999999999999993</v>
      </c>
      <c r="E4375" s="416">
        <v>0.1</v>
      </c>
      <c r="F4375" s="384"/>
      <c r="G4375" s="67">
        <f t="shared" si="143"/>
        <v>0.82</v>
      </c>
      <c r="H4375" s="936" t="s">
        <v>1442</v>
      </c>
      <c r="I4375" s="1232"/>
    </row>
    <row r="4376" spans="1:9" s="357" customFormat="1" ht="18" customHeight="1">
      <c r="A4376" s="401"/>
      <c r="B4376" s="413" t="s">
        <v>1557</v>
      </c>
      <c r="C4376" s="415">
        <v>-1</v>
      </c>
      <c r="D4376" s="416">
        <v>1.8</v>
      </c>
      <c r="E4376" s="416">
        <v>2.1</v>
      </c>
      <c r="F4376" s="384"/>
      <c r="G4376" s="67">
        <f t="shared" si="143"/>
        <v>-3.78</v>
      </c>
      <c r="H4376" s="936" t="s">
        <v>1442</v>
      </c>
      <c r="I4376" s="1232"/>
    </row>
    <row r="4377" spans="1:9" s="357" customFormat="1" ht="18" customHeight="1">
      <c r="A4377" s="401"/>
      <c r="B4377" s="413" t="s">
        <v>1545</v>
      </c>
      <c r="C4377" s="415">
        <v>1</v>
      </c>
      <c r="D4377" s="416">
        <f>2.1+2.1+1.8</f>
        <v>6</v>
      </c>
      <c r="E4377" s="416">
        <v>0.1</v>
      </c>
      <c r="F4377" s="384"/>
      <c r="G4377" s="67">
        <f t="shared" si="143"/>
        <v>0.6</v>
      </c>
      <c r="H4377" s="936" t="s">
        <v>1442</v>
      </c>
      <c r="I4377" s="1232"/>
    </row>
    <row r="4378" spans="1:9" s="357" customFormat="1" ht="18" customHeight="1">
      <c r="A4378" s="401"/>
      <c r="B4378" s="385" t="s">
        <v>1558</v>
      </c>
      <c r="C4378" s="415"/>
      <c r="D4378" s="416"/>
      <c r="E4378" s="416"/>
      <c r="F4378" s="384"/>
      <c r="G4378" s="67" t="str">
        <f t="shared" si="143"/>
        <v xml:space="preserve"> </v>
      </c>
      <c r="H4378" s="936" t="s">
        <v>1442</v>
      </c>
      <c r="I4378" s="1232"/>
    </row>
    <row r="4379" spans="1:9" s="357" customFormat="1" ht="18" customHeight="1">
      <c r="A4379" s="401"/>
      <c r="B4379" s="413" t="s">
        <v>1559</v>
      </c>
      <c r="C4379" s="415">
        <v>1</v>
      </c>
      <c r="D4379" s="416">
        <v>45.677999999999997</v>
      </c>
      <c r="E4379" s="416">
        <v>11.65</v>
      </c>
      <c r="F4379" s="384"/>
      <c r="G4379" s="67">
        <f t="shared" si="143"/>
        <v>532.15</v>
      </c>
      <c r="H4379" s="936" t="s">
        <v>1442</v>
      </c>
      <c r="I4379" s="1232"/>
    </row>
    <row r="4380" spans="1:9" s="357" customFormat="1" ht="18" customHeight="1">
      <c r="A4380" s="401"/>
      <c r="B4380" s="413" t="s">
        <v>1560</v>
      </c>
      <c r="C4380" s="415">
        <v>1</v>
      </c>
      <c r="D4380" s="416">
        <v>9.36</v>
      </c>
      <c r="E4380" s="416">
        <v>3.9</v>
      </c>
      <c r="F4380" s="384"/>
      <c r="G4380" s="67">
        <f t="shared" si="143"/>
        <v>36.5</v>
      </c>
      <c r="H4380" s="936" t="s">
        <v>1442</v>
      </c>
      <c r="I4380" s="1232"/>
    </row>
    <row r="4381" spans="1:9" s="357" customFormat="1" ht="18" customHeight="1">
      <c r="A4381" s="401"/>
      <c r="B4381" s="413" t="s">
        <v>1561</v>
      </c>
      <c r="C4381" s="415">
        <v>-10.5</v>
      </c>
      <c r="D4381" s="416">
        <v>1</v>
      </c>
      <c r="E4381" s="416">
        <v>1.8</v>
      </c>
      <c r="F4381" s="384"/>
      <c r="G4381" s="67">
        <f t="shared" si="143"/>
        <v>-18.899999999999999</v>
      </c>
      <c r="H4381" s="936" t="s">
        <v>1442</v>
      </c>
      <c r="I4381" s="1232"/>
    </row>
    <row r="4382" spans="1:9" s="357" customFormat="1" ht="18" customHeight="1">
      <c r="A4382" s="401"/>
      <c r="B4382" s="413" t="s">
        <v>1556</v>
      </c>
      <c r="C4382" s="415">
        <v>-0.5</v>
      </c>
      <c r="D4382" s="416">
        <v>1.2</v>
      </c>
      <c r="E4382" s="416">
        <v>2.1</v>
      </c>
      <c r="F4382" s="384"/>
      <c r="G4382" s="67">
        <f t="shared" si="143"/>
        <v>-1.26</v>
      </c>
      <c r="H4382" s="936" t="s">
        <v>1442</v>
      </c>
      <c r="I4382" s="1232"/>
    </row>
    <row r="4383" spans="1:9" s="357" customFormat="1" ht="18" customHeight="1">
      <c r="A4383" s="401"/>
      <c r="B4383" s="413" t="s">
        <v>1548</v>
      </c>
      <c r="C4383" s="415">
        <v>-1</v>
      </c>
      <c r="D4383" s="416">
        <v>2.7949999999999999</v>
      </c>
      <c r="E4383" s="416">
        <v>11.65</v>
      </c>
      <c r="F4383" s="384"/>
      <c r="G4383" s="67">
        <f t="shared" si="143"/>
        <v>-32.56</v>
      </c>
      <c r="H4383" s="936" t="s">
        <v>1442</v>
      </c>
      <c r="I4383" s="1232"/>
    </row>
    <row r="4384" spans="1:9" s="357" customFormat="1" ht="18" customHeight="1">
      <c r="A4384" s="401"/>
      <c r="B4384" s="413" t="s">
        <v>1549</v>
      </c>
      <c r="C4384" s="415">
        <v>1</v>
      </c>
      <c r="D4384" s="416">
        <f>3.175+11.65+11.65</f>
        <v>26.475000000000001</v>
      </c>
      <c r="E4384" s="416">
        <v>0.1</v>
      </c>
      <c r="F4384" s="384"/>
      <c r="G4384" s="67">
        <f t="shared" si="143"/>
        <v>2.65</v>
      </c>
      <c r="H4384" s="936" t="s">
        <v>1442</v>
      </c>
      <c r="I4384" s="1232"/>
    </row>
    <row r="4385" spans="1:9" s="357" customFormat="1" ht="18" customHeight="1">
      <c r="A4385" s="401"/>
      <c r="B4385" s="413" t="s">
        <v>1548</v>
      </c>
      <c r="C4385" s="415">
        <v>-1</v>
      </c>
      <c r="D4385" s="416">
        <v>3.55</v>
      </c>
      <c r="E4385" s="416">
        <v>11.65</v>
      </c>
      <c r="F4385" s="384"/>
      <c r="G4385" s="67">
        <f t="shared" si="143"/>
        <v>-41.36</v>
      </c>
      <c r="H4385" s="936" t="s">
        <v>1442</v>
      </c>
      <c r="I4385" s="1232"/>
    </row>
    <row r="4386" spans="1:9" s="357" customFormat="1" ht="18" customHeight="1">
      <c r="A4386" s="401"/>
      <c r="B4386" s="413" t="s">
        <v>1549</v>
      </c>
      <c r="C4386" s="415">
        <v>1</v>
      </c>
      <c r="D4386" s="416">
        <f>3.55+11.65+11.65</f>
        <v>26.85</v>
      </c>
      <c r="E4386" s="416">
        <v>0.1</v>
      </c>
      <c r="F4386" s="384"/>
      <c r="G4386" s="67">
        <f t="shared" si="143"/>
        <v>2.69</v>
      </c>
      <c r="H4386" s="936" t="s">
        <v>1442</v>
      </c>
      <c r="I4386" s="1232"/>
    </row>
    <row r="4387" spans="1:9" s="357" customFormat="1" ht="18" customHeight="1">
      <c r="A4387" s="401"/>
      <c r="B4387" s="385" t="s">
        <v>1558</v>
      </c>
      <c r="C4387" s="415"/>
      <c r="D4387" s="416"/>
      <c r="E4387" s="416"/>
      <c r="F4387" s="384"/>
      <c r="G4387" s="67" t="str">
        <f t="shared" si="143"/>
        <v xml:space="preserve"> </v>
      </c>
      <c r="H4387" s="936" t="s">
        <v>1442</v>
      </c>
      <c r="I4387" s="1232"/>
    </row>
    <row r="4388" spans="1:9" s="357" customFormat="1" ht="18" customHeight="1">
      <c r="A4388" s="401"/>
      <c r="B4388" s="413" t="s">
        <v>1559</v>
      </c>
      <c r="C4388" s="415">
        <v>1</v>
      </c>
      <c r="D4388" s="416">
        <v>45.677999999999997</v>
      </c>
      <c r="E4388" s="416">
        <v>11.65</v>
      </c>
      <c r="F4388" s="384"/>
      <c r="G4388" s="67">
        <f t="shared" si="143"/>
        <v>532.15</v>
      </c>
      <c r="H4388" s="936" t="s">
        <v>1442</v>
      </c>
      <c r="I4388" s="1232"/>
    </row>
    <row r="4389" spans="1:9" s="357" customFormat="1" ht="18" customHeight="1">
      <c r="A4389" s="401"/>
      <c r="B4389" s="413" t="s">
        <v>1560</v>
      </c>
      <c r="C4389" s="415">
        <v>1</v>
      </c>
      <c r="D4389" s="416">
        <v>9.36</v>
      </c>
      <c r="E4389" s="416">
        <v>3.9</v>
      </c>
      <c r="F4389" s="384"/>
      <c r="G4389" s="67">
        <f t="shared" si="143"/>
        <v>36.5</v>
      </c>
      <c r="H4389" s="936" t="s">
        <v>1442</v>
      </c>
      <c r="I4389" s="1232"/>
    </row>
    <row r="4390" spans="1:9" s="357" customFormat="1" ht="18" customHeight="1">
      <c r="A4390" s="401"/>
      <c r="B4390" s="413" t="s">
        <v>1561</v>
      </c>
      <c r="C4390" s="415">
        <v>-10.5</v>
      </c>
      <c r="D4390" s="416">
        <v>1</v>
      </c>
      <c r="E4390" s="416">
        <v>1.8</v>
      </c>
      <c r="F4390" s="384"/>
      <c r="G4390" s="67">
        <f t="shared" si="143"/>
        <v>-18.899999999999999</v>
      </c>
      <c r="H4390" s="936" t="s">
        <v>1442</v>
      </c>
      <c r="I4390" s="1232"/>
    </row>
    <row r="4391" spans="1:9" s="357" customFormat="1" ht="18" customHeight="1">
      <c r="A4391" s="401"/>
      <c r="B4391" s="413" t="s">
        <v>1556</v>
      </c>
      <c r="C4391" s="415">
        <v>-0.5</v>
      </c>
      <c r="D4391" s="416">
        <v>1.2</v>
      </c>
      <c r="E4391" s="416">
        <v>2.1</v>
      </c>
      <c r="F4391" s="384"/>
      <c r="G4391" s="67">
        <f t="shared" si="143"/>
        <v>-1.26</v>
      </c>
      <c r="H4391" s="936" t="s">
        <v>1442</v>
      </c>
      <c r="I4391" s="1232"/>
    </row>
    <row r="4392" spans="1:9" s="357" customFormat="1" ht="18" customHeight="1">
      <c r="A4392" s="401"/>
      <c r="B4392" s="413" t="s">
        <v>1548</v>
      </c>
      <c r="C4392" s="415">
        <v>-1</v>
      </c>
      <c r="D4392" s="416">
        <v>2.7949999999999999</v>
      </c>
      <c r="E4392" s="416">
        <v>11.65</v>
      </c>
      <c r="F4392" s="384"/>
      <c r="G4392" s="67">
        <f t="shared" si="143"/>
        <v>-32.56</v>
      </c>
      <c r="H4392" s="936" t="s">
        <v>1442</v>
      </c>
      <c r="I4392" s="1232"/>
    </row>
    <row r="4393" spans="1:9" s="357" customFormat="1" ht="18" customHeight="1">
      <c r="A4393" s="401"/>
      <c r="B4393" s="413" t="s">
        <v>1549</v>
      </c>
      <c r="C4393" s="415">
        <v>1</v>
      </c>
      <c r="D4393" s="416">
        <f>3.175+11.65+11.65</f>
        <v>26.475000000000001</v>
      </c>
      <c r="E4393" s="416">
        <v>0.1</v>
      </c>
      <c r="F4393" s="384"/>
      <c r="G4393" s="67">
        <f t="shared" si="143"/>
        <v>2.65</v>
      </c>
      <c r="H4393" s="936" t="s">
        <v>1442</v>
      </c>
      <c r="I4393" s="1232"/>
    </row>
    <row r="4394" spans="1:9" s="357" customFormat="1" ht="18" customHeight="1">
      <c r="A4394" s="401"/>
      <c r="B4394" s="413" t="s">
        <v>1548</v>
      </c>
      <c r="C4394" s="415">
        <v>-1</v>
      </c>
      <c r="D4394" s="416">
        <v>3.55</v>
      </c>
      <c r="E4394" s="416">
        <v>11.65</v>
      </c>
      <c r="F4394" s="384"/>
      <c r="G4394" s="67">
        <f t="shared" si="143"/>
        <v>-41.36</v>
      </c>
      <c r="H4394" s="936" t="s">
        <v>1442</v>
      </c>
      <c r="I4394" s="1232"/>
    </row>
    <row r="4395" spans="1:9" s="357" customFormat="1" ht="18" customHeight="1">
      <c r="A4395" s="401"/>
      <c r="B4395" s="413" t="s">
        <v>1549</v>
      </c>
      <c r="C4395" s="415">
        <v>1</v>
      </c>
      <c r="D4395" s="416">
        <v>26.85</v>
      </c>
      <c r="E4395" s="416">
        <v>0.1</v>
      </c>
      <c r="F4395" s="384"/>
      <c r="G4395" s="67">
        <f t="shared" si="143"/>
        <v>2.69</v>
      </c>
      <c r="H4395" s="936" t="s">
        <v>1442</v>
      </c>
      <c r="I4395" s="1232"/>
    </row>
    <row r="4396" spans="1:9" s="357" customFormat="1" ht="18" customHeight="1">
      <c r="A4396" s="401"/>
      <c r="B4396" s="385" t="s">
        <v>1195</v>
      </c>
      <c r="C4396" s="415"/>
      <c r="D4396" s="416"/>
      <c r="E4396" s="416"/>
      <c r="F4396" s="384"/>
      <c r="G4396" s="67" t="str">
        <f t="shared" si="143"/>
        <v xml:space="preserve"> </v>
      </c>
      <c r="H4396" s="936" t="s">
        <v>1442</v>
      </c>
      <c r="I4396" s="1232"/>
    </row>
    <row r="4397" spans="1:9" s="357" customFormat="1" ht="18" customHeight="1">
      <c r="A4397" s="401"/>
      <c r="B4397" s="385" t="s">
        <v>1562</v>
      </c>
      <c r="C4397" s="415"/>
      <c r="D4397" s="416"/>
      <c r="E4397" s="416"/>
      <c r="F4397" s="384"/>
      <c r="G4397" s="67" t="str">
        <f t="shared" si="143"/>
        <v xml:space="preserve"> </v>
      </c>
      <c r="H4397" s="936" t="s">
        <v>1442</v>
      </c>
      <c r="I4397" s="1232"/>
    </row>
    <row r="4398" spans="1:9" s="357" customFormat="1" ht="18" customHeight="1">
      <c r="A4398" s="401"/>
      <c r="B4398" s="413" t="s">
        <v>1196</v>
      </c>
      <c r="C4398" s="415">
        <v>1</v>
      </c>
      <c r="D4398" s="416">
        <v>31.898</v>
      </c>
      <c r="E4398" s="416">
        <f>11.65-1.2</f>
        <v>10.450000000000001</v>
      </c>
      <c r="F4398" s="384"/>
      <c r="G4398" s="67">
        <f t="shared" si="143"/>
        <v>333.33</v>
      </c>
      <c r="H4398" s="936" t="s">
        <v>1442</v>
      </c>
      <c r="I4398" s="1232"/>
    </row>
    <row r="4399" spans="1:9" s="357" customFormat="1" ht="18" customHeight="1">
      <c r="A4399" s="401"/>
      <c r="B4399" s="413" t="s">
        <v>1563</v>
      </c>
      <c r="C4399" s="415">
        <v>-10</v>
      </c>
      <c r="D4399" s="416">
        <v>1</v>
      </c>
      <c r="E4399" s="416">
        <v>1.8</v>
      </c>
      <c r="F4399" s="384"/>
      <c r="G4399" s="67">
        <f t="shared" si="143"/>
        <v>-18</v>
      </c>
      <c r="H4399" s="936" t="s">
        <v>1442</v>
      </c>
      <c r="I4399" s="1232"/>
    </row>
    <row r="4400" spans="1:9" s="357" customFormat="1" ht="18" customHeight="1">
      <c r="A4400" s="401"/>
      <c r="B4400" s="413" t="s">
        <v>1564</v>
      </c>
      <c r="C4400" s="415">
        <v>-1</v>
      </c>
      <c r="D4400" s="416">
        <v>0.8</v>
      </c>
      <c r="E4400" s="416">
        <v>1.8</v>
      </c>
      <c r="F4400" s="384"/>
      <c r="G4400" s="67">
        <f t="shared" si="143"/>
        <v>-1.44</v>
      </c>
      <c r="H4400" s="936" t="s">
        <v>1442</v>
      </c>
      <c r="I4400" s="1232"/>
    </row>
    <row r="4401" spans="1:9" s="357" customFormat="1" ht="18" customHeight="1">
      <c r="A4401" s="401"/>
      <c r="B4401" s="413" t="s">
        <v>1565</v>
      </c>
      <c r="C4401" s="415">
        <v>-1.5</v>
      </c>
      <c r="D4401" s="416">
        <v>0.6</v>
      </c>
      <c r="E4401" s="416">
        <v>0.6</v>
      </c>
      <c r="F4401" s="384"/>
      <c r="G4401" s="67">
        <f t="shared" si="143"/>
        <v>-0.54</v>
      </c>
      <c r="H4401" s="936" t="s">
        <v>1442</v>
      </c>
      <c r="I4401" s="1232"/>
    </row>
    <row r="4402" spans="1:9" s="357" customFormat="1" ht="18" customHeight="1">
      <c r="A4402" s="401"/>
      <c r="B4402" s="413" t="s">
        <v>1566</v>
      </c>
      <c r="C4402" s="415">
        <v>-1.5</v>
      </c>
      <c r="D4402" s="416">
        <v>1</v>
      </c>
      <c r="E4402" s="416">
        <v>1.8</v>
      </c>
      <c r="F4402" s="384"/>
      <c r="G4402" s="67">
        <f t="shared" si="143"/>
        <v>-2.7</v>
      </c>
      <c r="H4402" s="936" t="s">
        <v>1442</v>
      </c>
      <c r="I4402" s="1232"/>
    </row>
    <row r="4403" spans="1:9" s="357" customFormat="1" ht="18" customHeight="1">
      <c r="A4403" s="401"/>
      <c r="B4403" s="390" t="s">
        <v>1567</v>
      </c>
      <c r="C4403" s="415">
        <v>-1</v>
      </c>
      <c r="D4403" s="416">
        <v>5.5</v>
      </c>
      <c r="E4403" s="416">
        <v>10.9</v>
      </c>
      <c r="F4403" s="384"/>
      <c r="G4403" s="67">
        <f t="shared" si="143"/>
        <v>-59.95</v>
      </c>
      <c r="H4403" s="936" t="s">
        <v>1442</v>
      </c>
      <c r="I4403" s="1232"/>
    </row>
    <row r="4404" spans="1:9" s="357" customFormat="1" ht="18" customHeight="1">
      <c r="A4404" s="401"/>
      <c r="B4404" s="390" t="s">
        <v>1568</v>
      </c>
      <c r="C4404" s="415">
        <v>2</v>
      </c>
      <c r="D4404" s="416">
        <v>0.45</v>
      </c>
      <c r="E4404" s="416">
        <v>13.45</v>
      </c>
      <c r="F4404" s="384"/>
      <c r="G4404" s="67">
        <f t="shared" si="143"/>
        <v>12.11</v>
      </c>
      <c r="H4404" s="936" t="s">
        <v>1442</v>
      </c>
      <c r="I4404" s="1232"/>
    </row>
    <row r="4405" spans="1:9" s="357" customFormat="1" ht="18" customHeight="1">
      <c r="A4405" s="401"/>
      <c r="B4405" s="385" t="s">
        <v>1569</v>
      </c>
      <c r="C4405" s="415"/>
      <c r="D4405" s="416"/>
      <c r="E4405" s="416"/>
      <c r="F4405" s="384"/>
      <c r="G4405" s="67" t="str">
        <f t="shared" si="143"/>
        <v xml:space="preserve"> </v>
      </c>
      <c r="H4405" s="936" t="s">
        <v>1442</v>
      </c>
      <c r="I4405" s="1232"/>
    </row>
    <row r="4406" spans="1:9" s="357" customFormat="1" ht="18" customHeight="1">
      <c r="A4406" s="401"/>
      <c r="B4406" s="413" t="s">
        <v>1197</v>
      </c>
      <c r="C4406" s="415">
        <v>1</v>
      </c>
      <c r="D4406" s="416">
        <v>32.1</v>
      </c>
      <c r="E4406" s="416">
        <f>11.65-1.2</f>
        <v>10.450000000000001</v>
      </c>
      <c r="F4406" s="384"/>
      <c r="G4406" s="67">
        <f t="shared" si="143"/>
        <v>335.45</v>
      </c>
      <c r="H4406" s="936" t="s">
        <v>1442</v>
      </c>
      <c r="I4406" s="1232"/>
    </row>
    <row r="4407" spans="1:9" s="357" customFormat="1" ht="18" customHeight="1">
      <c r="A4407" s="401"/>
      <c r="B4407" s="413" t="s">
        <v>1512</v>
      </c>
      <c r="C4407" s="415">
        <v>2</v>
      </c>
      <c r="D4407" s="416">
        <f>1.475+1.825</f>
        <v>3.3</v>
      </c>
      <c r="E4407" s="416">
        <v>3.9</v>
      </c>
      <c r="F4407" s="384"/>
      <c r="G4407" s="67">
        <f t="shared" si="143"/>
        <v>25.74</v>
      </c>
      <c r="H4407" s="936" t="s">
        <v>1442</v>
      </c>
      <c r="I4407" s="1232"/>
    </row>
    <row r="4408" spans="1:9" s="357" customFormat="1" ht="18" customHeight="1">
      <c r="A4408" s="401"/>
      <c r="B4408" s="413" t="s">
        <v>1570</v>
      </c>
      <c r="C4408" s="415">
        <v>-0.5</v>
      </c>
      <c r="D4408" s="416">
        <v>1.2</v>
      </c>
      <c r="E4408" s="416">
        <v>2.1</v>
      </c>
      <c r="F4408" s="384"/>
      <c r="G4408" s="67">
        <f t="shared" si="143"/>
        <v>-1.26</v>
      </c>
      <c r="H4408" s="936" t="s">
        <v>1442</v>
      </c>
      <c r="I4408" s="1232"/>
    </row>
    <row r="4409" spans="1:9" s="357" customFormat="1" ht="18" customHeight="1">
      <c r="A4409" s="401"/>
      <c r="B4409" s="413" t="s">
        <v>1571</v>
      </c>
      <c r="C4409" s="415">
        <v>-0.5</v>
      </c>
      <c r="D4409" s="416">
        <v>1.5</v>
      </c>
      <c r="E4409" s="416">
        <v>1.1000000000000001</v>
      </c>
      <c r="F4409" s="384"/>
      <c r="G4409" s="67">
        <f t="shared" si="143"/>
        <v>-0.83</v>
      </c>
      <c r="H4409" s="936" t="s">
        <v>1442</v>
      </c>
      <c r="I4409" s="1232"/>
    </row>
    <row r="4410" spans="1:9" s="357" customFormat="1" ht="18" customHeight="1">
      <c r="A4410" s="401"/>
      <c r="B4410" s="413" t="s">
        <v>1572</v>
      </c>
      <c r="C4410" s="415">
        <v>-9</v>
      </c>
      <c r="D4410" s="416">
        <v>1</v>
      </c>
      <c r="E4410" s="416">
        <v>1.8</v>
      </c>
      <c r="F4410" s="384"/>
      <c r="G4410" s="67">
        <f t="shared" si="143"/>
        <v>-16.2</v>
      </c>
      <c r="H4410" s="936" t="s">
        <v>1442</v>
      </c>
      <c r="I4410" s="1232"/>
    </row>
    <row r="4411" spans="1:9" s="357" customFormat="1" ht="18" customHeight="1">
      <c r="A4411" s="401"/>
      <c r="B4411" s="413" t="s">
        <v>1573</v>
      </c>
      <c r="C4411" s="415">
        <v>-2</v>
      </c>
      <c r="D4411" s="416">
        <v>3</v>
      </c>
      <c r="E4411" s="416">
        <v>1.8</v>
      </c>
      <c r="F4411" s="384"/>
      <c r="G4411" s="67">
        <f t="shared" si="143"/>
        <v>-10.8</v>
      </c>
      <c r="H4411" s="936" t="s">
        <v>1442</v>
      </c>
      <c r="I4411" s="1232"/>
    </row>
    <row r="4412" spans="1:9" s="357" customFormat="1" ht="18" customHeight="1">
      <c r="A4412" s="401"/>
      <c r="B4412" s="413" t="s">
        <v>1574</v>
      </c>
      <c r="C4412" s="415">
        <v>2</v>
      </c>
      <c r="D4412" s="416">
        <f>3+3+1.8+1.8</f>
        <v>9.6</v>
      </c>
      <c r="E4412" s="416">
        <v>0.1</v>
      </c>
      <c r="F4412" s="384"/>
      <c r="G4412" s="67">
        <f t="shared" si="143"/>
        <v>1.92</v>
      </c>
      <c r="H4412" s="936" t="s">
        <v>1442</v>
      </c>
      <c r="I4412" s="1232"/>
    </row>
    <row r="4413" spans="1:9" s="357" customFormat="1" ht="18" customHeight="1">
      <c r="A4413" s="401"/>
      <c r="B4413" s="413" t="s">
        <v>964</v>
      </c>
      <c r="C4413" s="415">
        <v>-2</v>
      </c>
      <c r="D4413" s="416">
        <v>1</v>
      </c>
      <c r="E4413" s="416">
        <v>2.1</v>
      </c>
      <c r="F4413" s="384"/>
      <c r="G4413" s="67">
        <f t="shared" si="143"/>
        <v>-4.2</v>
      </c>
      <c r="H4413" s="936" t="s">
        <v>1442</v>
      </c>
      <c r="I4413" s="1232"/>
    </row>
    <row r="4414" spans="1:9" s="357" customFormat="1" ht="18" customHeight="1">
      <c r="A4414" s="401"/>
      <c r="B4414" s="413" t="s">
        <v>1575</v>
      </c>
      <c r="C4414" s="415">
        <v>-2</v>
      </c>
      <c r="D4414" s="416">
        <v>1.7</v>
      </c>
      <c r="E4414" s="416">
        <v>2.4</v>
      </c>
      <c r="F4414" s="384"/>
      <c r="G4414" s="67">
        <f t="shared" si="143"/>
        <v>-8.16</v>
      </c>
      <c r="H4414" s="936" t="s">
        <v>1442</v>
      </c>
      <c r="I4414" s="1232"/>
    </row>
    <row r="4415" spans="1:9" s="357" customFormat="1" ht="18" customHeight="1">
      <c r="A4415" s="401"/>
      <c r="B4415" s="413" t="s">
        <v>1574</v>
      </c>
      <c r="C4415" s="415">
        <v>2</v>
      </c>
      <c r="D4415" s="416">
        <f>1.7+1.7+2.4+2.4</f>
        <v>8.1999999999999993</v>
      </c>
      <c r="E4415" s="416">
        <v>0.1</v>
      </c>
      <c r="F4415" s="384"/>
      <c r="G4415" s="67">
        <f t="shared" si="143"/>
        <v>1.64</v>
      </c>
      <c r="H4415" s="936" t="s">
        <v>1442</v>
      </c>
      <c r="I4415" s="1232"/>
    </row>
    <row r="4416" spans="1:9" s="357" customFormat="1" ht="18" customHeight="1">
      <c r="A4416" s="401"/>
      <c r="B4416" s="413" t="s">
        <v>1576</v>
      </c>
      <c r="C4416" s="415">
        <v>-1</v>
      </c>
      <c r="D4416" s="416">
        <v>1.8</v>
      </c>
      <c r="E4416" s="416">
        <v>2.1</v>
      </c>
      <c r="F4416" s="384"/>
      <c r="G4416" s="67">
        <f t="shared" si="143"/>
        <v>-3.78</v>
      </c>
      <c r="H4416" s="936" t="s">
        <v>1442</v>
      </c>
      <c r="I4416" s="1232"/>
    </row>
    <row r="4417" spans="1:9" s="357" customFormat="1" ht="18" customHeight="1">
      <c r="A4417" s="401"/>
      <c r="B4417" s="413" t="s">
        <v>1574</v>
      </c>
      <c r="C4417" s="415">
        <v>1</v>
      </c>
      <c r="D4417" s="416">
        <f>1.8+2.1+2.1</f>
        <v>6</v>
      </c>
      <c r="E4417" s="416">
        <v>0.1</v>
      </c>
      <c r="F4417" s="384"/>
      <c r="G4417" s="67">
        <f t="shared" si="143"/>
        <v>0.6</v>
      </c>
      <c r="H4417" s="936" t="s">
        <v>1442</v>
      </c>
      <c r="I4417" s="1232"/>
    </row>
    <row r="4418" spans="1:9" s="357" customFormat="1" ht="18" customHeight="1">
      <c r="A4418" s="401"/>
      <c r="B4418" s="413" t="s">
        <v>1577</v>
      </c>
      <c r="C4418" s="415">
        <v>-1</v>
      </c>
      <c r="D4418" s="416">
        <v>2.5</v>
      </c>
      <c r="E4418" s="416">
        <v>1.8</v>
      </c>
      <c r="F4418" s="384"/>
      <c r="G4418" s="67">
        <f t="shared" si="143"/>
        <v>-4.5</v>
      </c>
      <c r="H4418" s="936" t="s">
        <v>1442</v>
      </c>
      <c r="I4418" s="1232"/>
    </row>
    <row r="4419" spans="1:9" s="357" customFormat="1" ht="18" customHeight="1">
      <c r="A4419" s="401"/>
      <c r="B4419" s="413" t="s">
        <v>1574</v>
      </c>
      <c r="C4419" s="415">
        <v>1</v>
      </c>
      <c r="D4419" s="416">
        <f>2.5+2.5+1.8+1.8</f>
        <v>8.6</v>
      </c>
      <c r="E4419" s="416">
        <v>0.1</v>
      </c>
      <c r="F4419" s="384"/>
      <c r="G4419" s="67">
        <f t="shared" si="143"/>
        <v>0.86</v>
      </c>
      <c r="H4419" s="936" t="s">
        <v>1442</v>
      </c>
      <c r="I4419" s="1232"/>
    </row>
    <row r="4420" spans="1:9" s="357" customFormat="1" ht="18" customHeight="1">
      <c r="A4420" s="401"/>
      <c r="B4420" s="382" t="s">
        <v>1578</v>
      </c>
      <c r="C4420" s="415"/>
      <c r="D4420" s="416"/>
      <c r="E4420" s="416"/>
      <c r="F4420" s="384"/>
      <c r="G4420" s="67" t="str">
        <f t="shared" ref="G4420:G4470" si="144">IF(C4420&lt;&gt;0,ROUND(PRODUCT(D4420:F4420)*C4420,2)," ")</f>
        <v xml:space="preserve"> </v>
      </c>
      <c r="H4420" s="936" t="s">
        <v>1442</v>
      </c>
      <c r="I4420" s="1232"/>
    </row>
    <row r="4421" spans="1:9" s="357" customFormat="1" ht="18" customHeight="1">
      <c r="A4421" s="401"/>
      <c r="B4421" s="390" t="s">
        <v>1198</v>
      </c>
      <c r="C4421" s="415">
        <v>1</v>
      </c>
      <c r="D4421" s="416">
        <f>1.6+1.775+6.4+6.4+1.475+1.825</f>
        <v>19.475000000000001</v>
      </c>
      <c r="E4421" s="416">
        <v>10.45</v>
      </c>
      <c r="F4421" s="384"/>
      <c r="G4421" s="67">
        <f t="shared" si="144"/>
        <v>203.51</v>
      </c>
      <c r="H4421" s="936" t="s">
        <v>1442</v>
      </c>
      <c r="I4421" s="1232"/>
    </row>
    <row r="4422" spans="1:9" s="357" customFormat="1" ht="18" customHeight="1">
      <c r="A4422" s="401"/>
      <c r="B4422" s="413" t="s">
        <v>1579</v>
      </c>
      <c r="C4422" s="415">
        <v>-6</v>
      </c>
      <c r="D4422" s="416">
        <v>1</v>
      </c>
      <c r="E4422" s="416">
        <v>1.8</v>
      </c>
      <c r="F4422" s="384"/>
      <c r="G4422" s="67">
        <f t="shared" si="144"/>
        <v>-10.8</v>
      </c>
      <c r="H4422" s="936" t="s">
        <v>1442</v>
      </c>
      <c r="I4422" s="1232"/>
    </row>
    <row r="4423" spans="1:9" s="357" customFormat="1" ht="18" customHeight="1">
      <c r="A4423" s="401"/>
      <c r="B4423" s="413" t="s">
        <v>1566</v>
      </c>
      <c r="C4423" s="415">
        <v>-1.5</v>
      </c>
      <c r="D4423" s="416">
        <v>1</v>
      </c>
      <c r="E4423" s="416">
        <v>1.8</v>
      </c>
      <c r="F4423" s="384"/>
      <c r="G4423" s="67">
        <f t="shared" si="144"/>
        <v>-2.7</v>
      </c>
      <c r="H4423" s="936" t="s">
        <v>1442</v>
      </c>
      <c r="I4423" s="1232"/>
    </row>
    <row r="4424" spans="1:9" s="357" customFormat="1" ht="18" customHeight="1">
      <c r="A4424" s="401"/>
      <c r="B4424" s="413" t="s">
        <v>1580</v>
      </c>
      <c r="C4424" s="415">
        <v>-1.5</v>
      </c>
      <c r="D4424" s="416">
        <v>2.4</v>
      </c>
      <c r="E4424" s="416">
        <v>1.2</v>
      </c>
      <c r="F4424" s="384"/>
      <c r="G4424" s="67">
        <f t="shared" si="144"/>
        <v>-4.32</v>
      </c>
      <c r="H4424" s="936" t="s">
        <v>1442</v>
      </c>
      <c r="I4424" s="1232"/>
    </row>
    <row r="4425" spans="1:9" s="357" customFormat="1" ht="18" customHeight="1">
      <c r="A4425" s="401"/>
      <c r="B4425" s="390"/>
      <c r="C4425" s="415"/>
      <c r="D4425" s="416"/>
      <c r="E4425" s="416"/>
      <c r="F4425" s="384"/>
      <c r="G4425" s="67" t="str">
        <f t="shared" si="144"/>
        <v xml:space="preserve"> </v>
      </c>
      <c r="H4425" s="936" t="s">
        <v>1442</v>
      </c>
      <c r="I4425" s="1232"/>
    </row>
    <row r="4426" spans="1:9" s="357" customFormat="1" ht="18" customHeight="1">
      <c r="A4426" s="401"/>
      <c r="B4426" s="382" t="s">
        <v>1581</v>
      </c>
      <c r="C4426" s="415"/>
      <c r="D4426" s="416"/>
      <c r="E4426" s="416"/>
      <c r="F4426" s="384"/>
      <c r="G4426" s="67" t="str">
        <f t="shared" si="144"/>
        <v xml:space="preserve"> </v>
      </c>
      <c r="H4426" s="936" t="s">
        <v>1442</v>
      </c>
      <c r="I4426" s="1232"/>
    </row>
    <row r="4427" spans="1:9" s="357" customFormat="1" ht="18" customHeight="1">
      <c r="A4427" s="401"/>
      <c r="B4427" s="390" t="s">
        <v>1199</v>
      </c>
      <c r="C4427" s="415">
        <v>1</v>
      </c>
      <c r="D4427" s="416">
        <f>1.6+1.775+6.4+6.4+1.475+1.825</f>
        <v>19.475000000000001</v>
      </c>
      <c r="E4427" s="416">
        <v>10.45</v>
      </c>
      <c r="F4427" s="384"/>
      <c r="G4427" s="67">
        <f t="shared" si="144"/>
        <v>203.51</v>
      </c>
      <c r="H4427" s="936" t="s">
        <v>1442</v>
      </c>
      <c r="I4427" s="1232"/>
    </row>
    <row r="4428" spans="1:9" s="357" customFormat="1" ht="18" customHeight="1">
      <c r="A4428" s="401"/>
      <c r="B4428" s="413" t="s">
        <v>1579</v>
      </c>
      <c r="C4428" s="415">
        <v>-6</v>
      </c>
      <c r="D4428" s="416">
        <v>1</v>
      </c>
      <c r="E4428" s="416">
        <v>1.8</v>
      </c>
      <c r="F4428" s="384"/>
      <c r="G4428" s="67">
        <f t="shared" si="144"/>
        <v>-10.8</v>
      </c>
      <c r="H4428" s="936" t="s">
        <v>1442</v>
      </c>
      <c r="I4428" s="1232"/>
    </row>
    <row r="4429" spans="1:9" s="357" customFormat="1" ht="18" customHeight="1">
      <c r="A4429" s="401"/>
      <c r="B4429" s="413" t="s">
        <v>1566</v>
      </c>
      <c r="C4429" s="415">
        <v>-1.5</v>
      </c>
      <c r="D4429" s="416">
        <v>1</v>
      </c>
      <c r="E4429" s="416">
        <v>1.8</v>
      </c>
      <c r="F4429" s="384"/>
      <c r="G4429" s="67">
        <f t="shared" si="144"/>
        <v>-2.7</v>
      </c>
      <c r="H4429" s="936" t="s">
        <v>1442</v>
      </c>
      <c r="I4429" s="1232"/>
    </row>
    <row r="4430" spans="1:9" s="357" customFormat="1" ht="18" customHeight="1">
      <c r="A4430" s="401"/>
      <c r="B4430" s="413" t="s">
        <v>1580</v>
      </c>
      <c r="C4430" s="415">
        <v>-1.5</v>
      </c>
      <c r="D4430" s="416">
        <v>2.4</v>
      </c>
      <c r="E4430" s="416">
        <v>1.2</v>
      </c>
      <c r="F4430" s="384"/>
      <c r="G4430" s="67">
        <f t="shared" si="144"/>
        <v>-4.32</v>
      </c>
      <c r="H4430" s="936" t="s">
        <v>1442</v>
      </c>
      <c r="I4430" s="1232"/>
    </row>
    <row r="4431" spans="1:9" s="357" customFormat="1" ht="18" customHeight="1">
      <c r="A4431" s="401"/>
      <c r="B4431" s="382" t="s">
        <v>1582</v>
      </c>
      <c r="C4431" s="415"/>
      <c r="D4431" s="416"/>
      <c r="E4431" s="416"/>
      <c r="F4431" s="384"/>
      <c r="G4431" s="67" t="str">
        <f t="shared" si="144"/>
        <v xml:space="preserve"> </v>
      </c>
      <c r="H4431" s="936" t="s">
        <v>1442</v>
      </c>
      <c r="I4431" s="1232"/>
    </row>
    <row r="4432" spans="1:9" s="357" customFormat="1" ht="18" customHeight="1">
      <c r="A4432" s="401"/>
      <c r="B4432" s="382" t="s">
        <v>1583</v>
      </c>
      <c r="C4432" s="415"/>
      <c r="D4432" s="416"/>
      <c r="E4432" s="416"/>
      <c r="F4432" s="384"/>
      <c r="G4432" s="67" t="str">
        <f t="shared" si="144"/>
        <v xml:space="preserve"> </v>
      </c>
      <c r="H4432" s="936" t="s">
        <v>1442</v>
      </c>
      <c r="I4432" s="1232"/>
    </row>
    <row r="4433" spans="1:9" s="357" customFormat="1" ht="18" customHeight="1">
      <c r="A4433" s="401"/>
      <c r="B4433" s="390" t="s">
        <v>967</v>
      </c>
      <c r="C4433" s="415">
        <v>2</v>
      </c>
      <c r="D4433" s="416">
        <f>4.125+5.187-0.19</f>
        <v>9.1220000000000017</v>
      </c>
      <c r="E4433" s="416"/>
      <c r="F4433" s="384">
        <v>2.0249999999999999</v>
      </c>
      <c r="G4433" s="67">
        <f t="shared" si="144"/>
        <v>36.94</v>
      </c>
      <c r="H4433" s="936" t="s">
        <v>1442</v>
      </c>
      <c r="I4433" s="1232"/>
    </row>
    <row r="4434" spans="1:9" s="357" customFormat="1" ht="18" customHeight="1">
      <c r="A4434" s="401"/>
      <c r="B4434" s="390" t="s">
        <v>965</v>
      </c>
      <c r="C4434" s="415">
        <v>2</v>
      </c>
      <c r="D4434" s="416">
        <f>2.298+4.6+3.825-0.38</f>
        <v>10.342999999999998</v>
      </c>
      <c r="E4434" s="416"/>
      <c r="F4434" s="384">
        <v>2.0249999999999999</v>
      </c>
      <c r="G4434" s="67">
        <f t="shared" si="144"/>
        <v>41.89</v>
      </c>
      <c r="H4434" s="936" t="s">
        <v>1442</v>
      </c>
      <c r="I4434" s="1232"/>
    </row>
    <row r="4435" spans="1:9" s="357" customFormat="1" ht="18" customHeight="1">
      <c r="A4435" s="401"/>
      <c r="B4435" s="390" t="s">
        <v>1108</v>
      </c>
      <c r="C4435" s="415">
        <v>2</v>
      </c>
      <c r="D4435" s="416">
        <f>5.187+4.125</f>
        <v>9.3120000000000012</v>
      </c>
      <c r="E4435" s="416"/>
      <c r="F4435" s="384">
        <v>2.0249999999999999</v>
      </c>
      <c r="G4435" s="67">
        <f t="shared" si="144"/>
        <v>37.71</v>
      </c>
      <c r="H4435" s="936" t="s">
        <v>1442</v>
      </c>
      <c r="I4435" s="1232"/>
    </row>
    <row r="4436" spans="1:9" s="357" customFormat="1" ht="18" customHeight="1">
      <c r="A4436" s="401"/>
      <c r="B4436" s="390" t="s">
        <v>960</v>
      </c>
      <c r="C4436" s="415">
        <v>2</v>
      </c>
      <c r="D4436" s="416">
        <f>2.298+4.6</f>
        <v>6.8979999999999997</v>
      </c>
      <c r="E4436" s="416"/>
      <c r="F4436" s="384">
        <v>2.0249999999999999</v>
      </c>
      <c r="G4436" s="67">
        <f t="shared" si="144"/>
        <v>27.94</v>
      </c>
      <c r="H4436" s="936" t="s">
        <v>1442</v>
      </c>
      <c r="I4436" s="1232"/>
    </row>
    <row r="4437" spans="1:9" s="357" customFormat="1" ht="18" customHeight="1">
      <c r="A4437" s="401"/>
      <c r="B4437" s="390" t="s">
        <v>952</v>
      </c>
      <c r="C4437" s="415">
        <v>2</v>
      </c>
      <c r="D4437" s="416">
        <f>2.298+4.6</f>
        <v>6.8979999999999997</v>
      </c>
      <c r="E4437" s="416"/>
      <c r="F4437" s="384">
        <v>2.0249999999999999</v>
      </c>
      <c r="G4437" s="67">
        <f t="shared" si="144"/>
        <v>27.94</v>
      </c>
      <c r="H4437" s="936" t="s">
        <v>1442</v>
      </c>
      <c r="I4437" s="1232"/>
    </row>
    <row r="4438" spans="1:9" s="357" customFormat="1" ht="18" customHeight="1">
      <c r="A4438" s="401"/>
      <c r="B4438" s="390" t="s">
        <v>954</v>
      </c>
      <c r="C4438" s="415">
        <v>2</v>
      </c>
      <c r="D4438" s="416">
        <v>0.8</v>
      </c>
      <c r="E4438" s="416"/>
      <c r="F4438" s="384">
        <v>2.0249999999999999</v>
      </c>
      <c r="G4438" s="67">
        <f t="shared" si="144"/>
        <v>3.24</v>
      </c>
      <c r="H4438" s="936" t="s">
        <v>1442</v>
      </c>
      <c r="I4438" s="1232"/>
    </row>
    <row r="4439" spans="1:9" s="357" customFormat="1" ht="18" customHeight="1">
      <c r="A4439" s="401"/>
      <c r="B4439" s="390" t="s">
        <v>955</v>
      </c>
      <c r="C4439" s="415">
        <v>2</v>
      </c>
      <c r="D4439" s="416">
        <v>3.375</v>
      </c>
      <c r="E4439" s="416"/>
      <c r="F4439" s="384">
        <v>2.0249999999999999</v>
      </c>
      <c r="G4439" s="67">
        <f t="shared" si="144"/>
        <v>13.67</v>
      </c>
      <c r="H4439" s="936" t="s">
        <v>1442</v>
      </c>
      <c r="I4439" s="1232"/>
    </row>
    <row r="4440" spans="1:9" s="357" customFormat="1" ht="18" customHeight="1">
      <c r="A4440" s="401"/>
      <c r="B4440" s="390" t="s">
        <v>1584</v>
      </c>
      <c r="C4440" s="415">
        <v>2</v>
      </c>
      <c r="D4440" s="416">
        <v>13.723000000000001</v>
      </c>
      <c r="E4440" s="416"/>
      <c r="F4440" s="384">
        <v>2.0249999999999999</v>
      </c>
      <c r="G4440" s="67">
        <f t="shared" si="144"/>
        <v>55.58</v>
      </c>
      <c r="H4440" s="936" t="s">
        <v>1442</v>
      </c>
      <c r="I4440" s="1232"/>
    </row>
    <row r="4441" spans="1:9" s="357" customFormat="1" ht="18" customHeight="1">
      <c r="A4441" s="401"/>
      <c r="B4441" s="390" t="s">
        <v>1585</v>
      </c>
      <c r="C4441" s="415">
        <v>2</v>
      </c>
      <c r="D4441" s="416">
        <f>1.425-0.2</f>
        <v>1.2250000000000001</v>
      </c>
      <c r="E4441" s="416"/>
      <c r="F4441" s="384">
        <v>2.0249999999999999</v>
      </c>
      <c r="G4441" s="67">
        <f t="shared" si="144"/>
        <v>4.96</v>
      </c>
      <c r="H4441" s="936" t="s">
        <v>1442</v>
      </c>
      <c r="I4441" s="1232"/>
    </row>
    <row r="4442" spans="1:9" s="357" customFormat="1" ht="18" customHeight="1">
      <c r="A4442" s="401"/>
      <c r="B4442" s="390" t="s">
        <v>1586</v>
      </c>
      <c r="C4442" s="415">
        <v>2</v>
      </c>
      <c r="D4442" s="416">
        <v>5.0599999999999996</v>
      </c>
      <c r="E4442" s="416"/>
      <c r="F4442" s="384">
        <v>2.0249999999999999</v>
      </c>
      <c r="G4442" s="67">
        <f t="shared" si="144"/>
        <v>20.49</v>
      </c>
      <c r="H4442" s="936" t="s">
        <v>1442</v>
      </c>
      <c r="I4442" s="1232"/>
    </row>
    <row r="4443" spans="1:9" s="357" customFormat="1" ht="18" customHeight="1">
      <c r="A4443" s="401"/>
      <c r="B4443" s="382" t="s">
        <v>1109</v>
      </c>
      <c r="C4443" s="415"/>
      <c r="D4443" s="416"/>
      <c r="E4443" s="416"/>
      <c r="F4443" s="384"/>
      <c r="G4443" s="67" t="str">
        <f t="shared" si="144"/>
        <v xml:space="preserve"> </v>
      </c>
      <c r="H4443" s="936" t="s">
        <v>1442</v>
      </c>
      <c r="I4443" s="1232"/>
    </row>
    <row r="4444" spans="1:9" s="357" customFormat="1" ht="18" customHeight="1">
      <c r="A4444" s="401"/>
      <c r="B4444" s="390" t="s">
        <v>1587</v>
      </c>
      <c r="C4444" s="415">
        <v>2</v>
      </c>
      <c r="D4444" s="416">
        <f>3.775+3.075+1.6</f>
        <v>8.4499999999999993</v>
      </c>
      <c r="E4444" s="416"/>
      <c r="F4444" s="384">
        <v>2.0249999999999999</v>
      </c>
      <c r="G4444" s="67">
        <f t="shared" si="144"/>
        <v>34.22</v>
      </c>
      <c r="H4444" s="936" t="s">
        <v>1442</v>
      </c>
      <c r="I4444" s="1232"/>
    </row>
    <row r="4445" spans="1:9" s="357" customFormat="1" ht="18" customHeight="1">
      <c r="A4445" s="401"/>
      <c r="B4445" s="390" t="s">
        <v>1588</v>
      </c>
      <c r="C4445" s="415">
        <v>2</v>
      </c>
      <c r="D4445" s="416">
        <f>3.775+3.075+1.6</f>
        <v>8.4499999999999993</v>
      </c>
      <c r="E4445" s="416"/>
      <c r="F4445" s="384">
        <v>2.0249999999999999</v>
      </c>
      <c r="G4445" s="67">
        <f t="shared" si="144"/>
        <v>34.22</v>
      </c>
      <c r="H4445" s="936" t="s">
        <v>1442</v>
      </c>
      <c r="I4445" s="1232"/>
    </row>
    <row r="4446" spans="1:9" s="357" customFormat="1" ht="18" customHeight="1">
      <c r="A4446" s="401"/>
      <c r="B4446" s="390" t="s">
        <v>1110</v>
      </c>
      <c r="C4446" s="415">
        <v>2</v>
      </c>
      <c r="D4446" s="416">
        <v>6.3</v>
      </c>
      <c r="E4446" s="416"/>
      <c r="F4446" s="384">
        <v>2.0249999999999999</v>
      </c>
      <c r="G4446" s="67">
        <f t="shared" si="144"/>
        <v>25.52</v>
      </c>
      <c r="H4446" s="936" t="s">
        <v>1442</v>
      </c>
      <c r="I4446" s="1232"/>
    </row>
    <row r="4447" spans="1:9" s="357" customFormat="1" ht="18" customHeight="1">
      <c r="A4447" s="401"/>
      <c r="B4447" s="390" t="s">
        <v>953</v>
      </c>
      <c r="C4447" s="415">
        <v>-1</v>
      </c>
      <c r="D4447" s="416">
        <v>1.2</v>
      </c>
      <c r="E4447" s="416"/>
      <c r="F4447" s="384">
        <v>2.0249999999999999</v>
      </c>
      <c r="G4447" s="67">
        <f t="shared" si="144"/>
        <v>-2.4300000000000002</v>
      </c>
      <c r="H4447" s="936" t="s">
        <v>1442</v>
      </c>
      <c r="I4447" s="1232"/>
    </row>
    <row r="4448" spans="1:9" s="357" customFormat="1" ht="18" customHeight="1">
      <c r="A4448" s="401"/>
      <c r="B4448" s="390" t="s">
        <v>1589</v>
      </c>
      <c r="C4448" s="415">
        <v>2</v>
      </c>
      <c r="D4448" s="416">
        <v>6.3</v>
      </c>
      <c r="E4448" s="416"/>
      <c r="F4448" s="384">
        <v>2.0249999999999999</v>
      </c>
      <c r="G4448" s="67">
        <f t="shared" si="144"/>
        <v>25.52</v>
      </c>
      <c r="H4448" s="936" t="s">
        <v>1442</v>
      </c>
      <c r="I4448" s="1232"/>
    </row>
    <row r="4449" spans="1:9" s="357" customFormat="1" ht="18" customHeight="1">
      <c r="A4449" s="401"/>
      <c r="B4449" s="382" t="s">
        <v>1590</v>
      </c>
      <c r="C4449" s="415"/>
      <c r="D4449" s="416"/>
      <c r="E4449" s="416"/>
      <c r="F4449" s="384"/>
      <c r="G4449" s="67" t="str">
        <f t="shared" si="144"/>
        <v xml:space="preserve"> </v>
      </c>
      <c r="H4449" s="936" t="s">
        <v>1442</v>
      </c>
      <c r="I4449" s="1232"/>
    </row>
    <row r="4450" spans="1:9" s="357" customFormat="1" ht="18" customHeight="1">
      <c r="A4450" s="401"/>
      <c r="B4450" s="382" t="s">
        <v>1591</v>
      </c>
      <c r="C4450" s="415"/>
      <c r="D4450" s="416"/>
      <c r="E4450" s="416"/>
      <c r="F4450" s="384"/>
      <c r="G4450" s="67" t="str">
        <f t="shared" si="144"/>
        <v xml:space="preserve"> </v>
      </c>
      <c r="H4450" s="936" t="s">
        <v>1442</v>
      </c>
      <c r="I4450" s="1232"/>
    </row>
    <row r="4451" spans="1:9" s="357" customFormat="1" ht="18" customHeight="1">
      <c r="A4451" s="401"/>
      <c r="B4451" s="390" t="s">
        <v>1592</v>
      </c>
      <c r="C4451" s="415">
        <v>1</v>
      </c>
      <c r="D4451" s="416">
        <f>6.45+6.4+6.4+1.825</f>
        <v>21.074999999999999</v>
      </c>
      <c r="E4451" s="416">
        <f>0.2+0.25+0.25</f>
        <v>0.7</v>
      </c>
      <c r="F4451" s="384"/>
      <c r="G4451" s="67">
        <f t="shared" si="144"/>
        <v>14.75</v>
      </c>
      <c r="H4451" s="936" t="s">
        <v>1442</v>
      </c>
      <c r="I4451" s="1232"/>
    </row>
    <row r="4452" spans="1:9" s="357" customFormat="1" ht="18" customHeight="1">
      <c r="A4452" s="430"/>
      <c r="B4452" s="390" t="s">
        <v>1593</v>
      </c>
      <c r="C4452" s="415">
        <v>1</v>
      </c>
      <c r="D4452" s="416">
        <f>3.6+1</f>
        <v>4.5999999999999996</v>
      </c>
      <c r="E4452" s="416">
        <f t="shared" ref="E4452:E4469" si="145">0.2+0.25+0.25</f>
        <v>0.7</v>
      </c>
      <c r="F4452" s="384"/>
      <c r="G4452" s="67">
        <f t="shared" si="144"/>
        <v>3.22</v>
      </c>
      <c r="H4452" s="936" t="s">
        <v>1442</v>
      </c>
      <c r="I4452" s="1232"/>
    </row>
    <row r="4453" spans="1:9" s="357" customFormat="1" ht="18" customHeight="1">
      <c r="A4453" s="430"/>
      <c r="B4453" s="390" t="s">
        <v>1594</v>
      </c>
      <c r="C4453" s="415">
        <v>1</v>
      </c>
      <c r="D4453" s="416">
        <v>3.7749999999999999</v>
      </c>
      <c r="E4453" s="416">
        <f t="shared" si="145"/>
        <v>0.7</v>
      </c>
      <c r="F4453" s="384"/>
      <c r="G4453" s="67">
        <f t="shared" si="144"/>
        <v>2.64</v>
      </c>
      <c r="H4453" s="936" t="s">
        <v>1442</v>
      </c>
      <c r="I4453" s="1232"/>
    </row>
    <row r="4454" spans="1:9" s="357" customFormat="1" ht="18" customHeight="1">
      <c r="A4454" s="430"/>
      <c r="B4454" s="390" t="s">
        <v>1595</v>
      </c>
      <c r="C4454" s="415">
        <v>1</v>
      </c>
      <c r="D4454" s="416">
        <v>3.8250000000000002</v>
      </c>
      <c r="E4454" s="416">
        <f t="shared" si="145"/>
        <v>0.7</v>
      </c>
      <c r="F4454" s="384"/>
      <c r="G4454" s="67">
        <f t="shared" si="144"/>
        <v>2.68</v>
      </c>
      <c r="H4454" s="936" t="s">
        <v>1442</v>
      </c>
      <c r="I4454" s="1232"/>
    </row>
    <row r="4455" spans="1:9" s="357" customFormat="1" ht="18" customHeight="1">
      <c r="A4455" s="430"/>
      <c r="B4455" s="390" t="s">
        <v>1596</v>
      </c>
      <c r="C4455" s="415">
        <v>1</v>
      </c>
      <c r="D4455" s="416">
        <v>4.5999999999999996</v>
      </c>
      <c r="E4455" s="416">
        <f t="shared" si="145"/>
        <v>0.7</v>
      </c>
      <c r="F4455" s="384"/>
      <c r="G4455" s="67">
        <f t="shared" si="144"/>
        <v>3.22</v>
      </c>
      <c r="H4455" s="936" t="s">
        <v>1442</v>
      </c>
      <c r="I4455" s="1232"/>
    </row>
    <row r="4456" spans="1:9" s="357" customFormat="1" ht="18" customHeight="1">
      <c r="A4456" s="430"/>
      <c r="B4456" s="390" t="s">
        <v>1111</v>
      </c>
      <c r="C4456" s="415">
        <v>1</v>
      </c>
      <c r="D4456" s="416">
        <f>3.2+6.45+6.45</f>
        <v>16.100000000000001</v>
      </c>
      <c r="E4456" s="416">
        <f t="shared" si="145"/>
        <v>0.7</v>
      </c>
      <c r="F4456" s="384"/>
      <c r="G4456" s="67">
        <f t="shared" si="144"/>
        <v>11.27</v>
      </c>
      <c r="H4456" s="936" t="s">
        <v>1442</v>
      </c>
      <c r="I4456" s="1232"/>
    </row>
    <row r="4457" spans="1:9" s="357" customFormat="1" ht="18" customHeight="1">
      <c r="A4457" s="430"/>
      <c r="B4457" s="390" t="s">
        <v>1597</v>
      </c>
      <c r="C4457" s="415">
        <v>1</v>
      </c>
      <c r="D4457" s="416">
        <v>4.5999999999999996</v>
      </c>
      <c r="E4457" s="416">
        <f t="shared" si="145"/>
        <v>0.7</v>
      </c>
      <c r="F4457" s="384"/>
      <c r="G4457" s="67">
        <f t="shared" si="144"/>
        <v>3.22</v>
      </c>
      <c r="H4457" s="936" t="s">
        <v>1442</v>
      </c>
      <c r="I4457" s="1232"/>
    </row>
    <row r="4458" spans="1:9" s="357" customFormat="1" ht="18" customHeight="1">
      <c r="A4458" s="430"/>
      <c r="B4458" s="390" t="s">
        <v>1598</v>
      </c>
      <c r="C4458" s="415">
        <v>1</v>
      </c>
      <c r="D4458" s="416">
        <v>4.5999999999999996</v>
      </c>
      <c r="E4458" s="416">
        <f t="shared" si="145"/>
        <v>0.7</v>
      </c>
      <c r="F4458" s="384"/>
      <c r="G4458" s="67">
        <f t="shared" si="144"/>
        <v>3.22</v>
      </c>
      <c r="H4458" s="936" t="s">
        <v>1442</v>
      </c>
      <c r="I4458" s="1232"/>
    </row>
    <row r="4459" spans="1:9" s="357" customFormat="1" ht="18" customHeight="1">
      <c r="A4459" s="430"/>
      <c r="B4459" s="390" t="s">
        <v>1112</v>
      </c>
      <c r="C4459" s="415">
        <v>1</v>
      </c>
      <c r="D4459" s="416">
        <f>6.45+6.45+3.2</f>
        <v>16.100000000000001</v>
      </c>
      <c r="E4459" s="416">
        <f t="shared" si="145"/>
        <v>0.7</v>
      </c>
      <c r="F4459" s="384"/>
      <c r="G4459" s="67">
        <f t="shared" si="144"/>
        <v>11.27</v>
      </c>
      <c r="H4459" s="936" t="s">
        <v>1442</v>
      </c>
      <c r="I4459" s="1232"/>
    </row>
    <row r="4460" spans="1:9" s="357" customFormat="1" ht="18" customHeight="1">
      <c r="A4460" s="430"/>
      <c r="B4460" s="390" t="s">
        <v>1599</v>
      </c>
      <c r="C4460" s="415">
        <v>1</v>
      </c>
      <c r="D4460" s="416">
        <v>4.5999999999999996</v>
      </c>
      <c r="E4460" s="416">
        <f t="shared" si="145"/>
        <v>0.7</v>
      </c>
      <c r="F4460" s="384"/>
      <c r="G4460" s="67">
        <f t="shared" si="144"/>
        <v>3.22</v>
      </c>
      <c r="H4460" s="936" t="s">
        <v>1442</v>
      </c>
      <c r="I4460" s="1232"/>
    </row>
    <row r="4461" spans="1:9" s="357" customFormat="1" ht="18" customHeight="1">
      <c r="A4461" s="430"/>
      <c r="B4461" s="390" t="s">
        <v>1600</v>
      </c>
      <c r="C4461" s="415">
        <v>1</v>
      </c>
      <c r="D4461" s="416">
        <v>3.8250000000000002</v>
      </c>
      <c r="E4461" s="416">
        <f t="shared" si="145"/>
        <v>0.7</v>
      </c>
      <c r="F4461" s="384"/>
      <c r="G4461" s="67">
        <f t="shared" si="144"/>
        <v>2.68</v>
      </c>
      <c r="H4461" s="936" t="s">
        <v>1442</v>
      </c>
      <c r="I4461" s="1232"/>
    </row>
    <row r="4462" spans="1:9" s="357" customFormat="1" ht="18" customHeight="1">
      <c r="A4462" s="430"/>
      <c r="B4462" s="390" t="s">
        <v>1601</v>
      </c>
      <c r="C4462" s="415">
        <v>1</v>
      </c>
      <c r="D4462" s="416">
        <v>3.7749999999999999</v>
      </c>
      <c r="E4462" s="416">
        <f t="shared" si="145"/>
        <v>0.7</v>
      </c>
      <c r="F4462" s="384"/>
      <c r="G4462" s="67">
        <f t="shared" si="144"/>
        <v>2.64</v>
      </c>
      <c r="H4462" s="936" t="s">
        <v>1442</v>
      </c>
      <c r="I4462" s="1232"/>
    </row>
    <row r="4463" spans="1:9" s="357" customFormat="1" ht="18" customHeight="1">
      <c r="A4463" s="430"/>
      <c r="B4463" s="390" t="s">
        <v>1602</v>
      </c>
      <c r="C4463" s="415">
        <v>1</v>
      </c>
      <c r="D4463" s="416">
        <f>3.6+1</f>
        <v>4.5999999999999996</v>
      </c>
      <c r="E4463" s="416">
        <f t="shared" si="145"/>
        <v>0.7</v>
      </c>
      <c r="F4463" s="384"/>
      <c r="G4463" s="67">
        <f t="shared" si="144"/>
        <v>3.22</v>
      </c>
      <c r="H4463" s="936" t="s">
        <v>1442</v>
      </c>
      <c r="I4463" s="1232"/>
    </row>
    <row r="4464" spans="1:9" s="357" customFormat="1" ht="18" customHeight="1">
      <c r="A4464" s="401"/>
      <c r="B4464" s="390" t="s">
        <v>1603</v>
      </c>
      <c r="C4464" s="415">
        <v>1</v>
      </c>
      <c r="D4464" s="416">
        <f>6.45+6.4+6.4+1.825</f>
        <v>21.074999999999999</v>
      </c>
      <c r="E4464" s="416">
        <f t="shared" si="145"/>
        <v>0.7</v>
      </c>
      <c r="F4464" s="384"/>
      <c r="G4464" s="67">
        <f t="shared" si="144"/>
        <v>14.75</v>
      </c>
      <c r="H4464" s="936" t="s">
        <v>1442</v>
      </c>
      <c r="I4464" s="1232"/>
    </row>
    <row r="4465" spans="1:9" s="357" customFormat="1" ht="18" customHeight="1">
      <c r="A4465" s="430"/>
      <c r="B4465" s="390" t="s">
        <v>1604</v>
      </c>
      <c r="C4465" s="415">
        <v>1</v>
      </c>
      <c r="D4465" s="416">
        <v>12.7</v>
      </c>
      <c r="E4465" s="416">
        <f t="shared" si="145"/>
        <v>0.7</v>
      </c>
      <c r="F4465" s="384"/>
      <c r="G4465" s="67">
        <f t="shared" si="144"/>
        <v>8.89</v>
      </c>
      <c r="H4465" s="936" t="s">
        <v>1442</v>
      </c>
      <c r="I4465" s="1232"/>
    </row>
    <row r="4466" spans="1:9" s="357" customFormat="1" ht="18" customHeight="1">
      <c r="A4466" s="430"/>
      <c r="B4466" s="390" t="s">
        <v>1605</v>
      </c>
      <c r="C4466" s="415">
        <v>1</v>
      </c>
      <c r="D4466" s="416">
        <f>1.875+2.725</f>
        <v>4.5999999999999996</v>
      </c>
      <c r="E4466" s="416">
        <f t="shared" si="145"/>
        <v>0.7</v>
      </c>
      <c r="F4466" s="384"/>
      <c r="G4466" s="67">
        <f t="shared" si="144"/>
        <v>3.22</v>
      </c>
      <c r="H4466" s="936" t="s">
        <v>1442</v>
      </c>
      <c r="I4466" s="1232"/>
    </row>
    <row r="4467" spans="1:9" s="357" customFormat="1" ht="18" customHeight="1">
      <c r="A4467" s="430"/>
      <c r="B4467" s="390" t="s">
        <v>1606</v>
      </c>
      <c r="C4467" s="415">
        <v>1</v>
      </c>
      <c r="D4467" s="416">
        <f>3.2+6.3+3.2</f>
        <v>12.7</v>
      </c>
      <c r="E4467" s="416">
        <f t="shared" si="145"/>
        <v>0.7</v>
      </c>
      <c r="F4467" s="384"/>
      <c r="G4467" s="67">
        <f t="shared" si="144"/>
        <v>8.89</v>
      </c>
      <c r="H4467" s="936" t="s">
        <v>1442</v>
      </c>
      <c r="I4467" s="1232"/>
    </row>
    <row r="4468" spans="1:9" s="357" customFormat="1" ht="18" customHeight="1">
      <c r="A4468" s="430"/>
      <c r="B4468" s="390" t="s">
        <v>1607</v>
      </c>
      <c r="C4468" s="415">
        <v>1</v>
      </c>
      <c r="D4468" s="416">
        <f>1.875+2.725</f>
        <v>4.5999999999999996</v>
      </c>
      <c r="E4468" s="416">
        <f t="shared" si="145"/>
        <v>0.7</v>
      </c>
      <c r="F4468" s="384"/>
      <c r="G4468" s="67">
        <f t="shared" si="144"/>
        <v>3.22</v>
      </c>
      <c r="H4468" s="936" t="s">
        <v>1442</v>
      </c>
      <c r="I4468" s="1232"/>
    </row>
    <row r="4469" spans="1:9" s="357" customFormat="1" ht="18" customHeight="1">
      <c r="A4469" s="430"/>
      <c r="B4469" s="390" t="s">
        <v>1113</v>
      </c>
      <c r="C4469" s="415">
        <v>1</v>
      </c>
      <c r="D4469" s="416">
        <v>12.7</v>
      </c>
      <c r="E4469" s="416">
        <f t="shared" si="145"/>
        <v>0.7</v>
      </c>
      <c r="F4469" s="384"/>
      <c r="G4469" s="67">
        <f t="shared" si="144"/>
        <v>8.89</v>
      </c>
      <c r="H4469" s="936" t="s">
        <v>1442</v>
      </c>
      <c r="I4469" s="1232"/>
    </row>
    <row r="4470" spans="1:9" s="426" customFormat="1" ht="28.5">
      <c r="A4470" s="401"/>
      <c r="B4470" s="390" t="s">
        <v>1608</v>
      </c>
      <c r="C4470" s="383">
        <v>-1</v>
      </c>
      <c r="D4470" s="384">
        <f>SUM(G4351:G4469)</f>
        <v>3534.419999999996</v>
      </c>
      <c r="E4470" s="384"/>
      <c r="F4470" s="384">
        <v>0.5</v>
      </c>
      <c r="G4470" s="67">
        <f t="shared" si="144"/>
        <v>-1767.21</v>
      </c>
      <c r="H4470" s="978"/>
      <c r="I4470" s="1257"/>
    </row>
    <row r="4471" spans="1:9" s="506" customFormat="1" ht="18" customHeight="1">
      <c r="A4471" s="401"/>
      <c r="B4471" s="382"/>
      <c r="C4471" s="429"/>
      <c r="D4471" s="358"/>
      <c r="E4471" s="358"/>
      <c r="F4471" s="358"/>
      <c r="G4471" s="991"/>
      <c r="H4471" s="990"/>
      <c r="I4471" s="1264"/>
    </row>
    <row r="4472" spans="1:9" s="357" customFormat="1" ht="18" customHeight="1">
      <c r="A4472" s="1017"/>
      <c r="B4472" s="874" t="s">
        <v>2188</v>
      </c>
      <c r="C4472" s="1029" t="s">
        <v>2319</v>
      </c>
      <c r="D4472" s="1017"/>
      <c r="E4472" s="1017"/>
      <c r="F4472" s="1017"/>
      <c r="G4472" s="968">
        <f>SUM(G4352:G4471)</f>
        <v>1767.2099999999959</v>
      </c>
      <c r="H4472" s="1018" t="s">
        <v>356</v>
      </c>
      <c r="I4472" s="1232" t="s">
        <v>2317</v>
      </c>
    </row>
    <row r="4473" spans="1:9" s="704" customFormat="1" ht="18" customHeight="1">
      <c r="A4473" s="934"/>
      <c r="B4473" s="566"/>
      <c r="C4473" s="565"/>
      <c r="D4473" s="254"/>
      <c r="E4473" s="254"/>
      <c r="F4473" s="254"/>
      <c r="G4473" s="707"/>
      <c r="H4473" s="975"/>
      <c r="I4473" s="1250"/>
    </row>
    <row r="4474" spans="1:9" s="357" customFormat="1" ht="28.5">
      <c r="A4474" s="521" t="s">
        <v>2318</v>
      </c>
      <c r="B4474" s="522" t="s">
        <v>1609</v>
      </c>
      <c r="C4474" s="523"/>
      <c r="D4474" s="524"/>
      <c r="E4474" s="524"/>
      <c r="F4474" s="524"/>
      <c r="G4474" s="524"/>
      <c r="H4474" s="992"/>
      <c r="I4474" s="1232"/>
    </row>
    <row r="4475" spans="1:9" s="357" customFormat="1" ht="18" customHeight="1">
      <c r="A4475" s="521" t="s">
        <v>1442</v>
      </c>
      <c r="B4475" s="525" t="s">
        <v>1610</v>
      </c>
      <c r="C4475" s="523"/>
      <c r="D4475" s="524"/>
      <c r="E4475" s="524"/>
      <c r="F4475" s="524"/>
      <c r="G4475" s="524"/>
      <c r="H4475" s="992"/>
      <c r="I4475" s="1232"/>
    </row>
    <row r="4476" spans="1:9" s="357" customFormat="1" ht="18" customHeight="1">
      <c r="A4476" s="521"/>
      <c r="B4476" s="525" t="s">
        <v>1611</v>
      </c>
      <c r="C4476" s="523"/>
      <c r="D4476" s="524"/>
      <c r="E4476" s="524"/>
      <c r="F4476" s="524"/>
      <c r="G4476" s="743">
        <f>+Abstract!G135</f>
        <v>372.86999999999989</v>
      </c>
      <c r="H4476" s="992"/>
      <c r="I4476" s="1232"/>
    </row>
    <row r="4477" spans="1:9" s="357" customFormat="1" ht="18" customHeight="1">
      <c r="A4477" s="1017"/>
      <c r="B4477" s="874" t="s">
        <v>2188</v>
      </c>
      <c r="C4477" s="967" t="s">
        <v>2320</v>
      </c>
      <c r="D4477" s="1017"/>
      <c r="E4477" s="1017"/>
      <c r="F4477" s="1017"/>
      <c r="G4477" s="968">
        <f>SUM(G4474:G4476)</f>
        <v>372.86999999999989</v>
      </c>
      <c r="H4477" s="1018" t="s">
        <v>350</v>
      </c>
      <c r="I4477" s="1232" t="s">
        <v>2318</v>
      </c>
    </row>
    <row r="4478" spans="1:9" s="704" customFormat="1" ht="18" customHeight="1">
      <c r="A4478" s="934"/>
      <c r="B4478" s="566"/>
      <c r="C4478" s="565"/>
      <c r="D4478" s="254"/>
      <c r="E4478" s="254"/>
      <c r="F4478" s="254"/>
      <c r="G4478" s="707"/>
      <c r="H4478" s="975"/>
      <c r="I4478" s="1250"/>
    </row>
    <row r="4479" spans="1:9" s="357" customFormat="1" ht="18" customHeight="1">
      <c r="A4479" s="388" t="s">
        <v>2315</v>
      </c>
      <c r="B4479" s="389" t="s">
        <v>1655</v>
      </c>
      <c r="C4479" s="383"/>
      <c r="D4479" s="384"/>
      <c r="E4479" s="384"/>
      <c r="F4479" s="384"/>
      <c r="G4479" s="384"/>
      <c r="H4479" s="936"/>
      <c r="I4479" s="1232"/>
    </row>
    <row r="4480" spans="1:9" s="357" customFormat="1" ht="18" customHeight="1">
      <c r="A4480" s="993"/>
      <c r="B4480" s="508" t="s">
        <v>1613</v>
      </c>
      <c r="C4480" s="601">
        <v>4</v>
      </c>
      <c r="D4480" s="416">
        <v>3</v>
      </c>
      <c r="E4480" s="416">
        <v>4.7</v>
      </c>
      <c r="F4480" s="507"/>
      <c r="G4480" s="67">
        <f t="shared" ref="G4480:G4481" si="146">IF(C4480&lt;&gt;0,ROUND(PRODUCT(D4480:F4480)*C4480,2)," ")</f>
        <v>56.4</v>
      </c>
      <c r="H4480" s="936"/>
      <c r="I4480" s="1232"/>
    </row>
    <row r="4481" spans="1:10" s="357" customFormat="1" ht="18" customHeight="1">
      <c r="A4481" s="501"/>
      <c r="B4481" s="413" t="s">
        <v>1614</v>
      </c>
      <c r="C4481" s="595">
        <v>4</v>
      </c>
      <c r="D4481" s="416">
        <v>3.1</v>
      </c>
      <c r="E4481" s="416">
        <v>3.1</v>
      </c>
      <c r="F4481" s="384"/>
      <c r="G4481" s="67">
        <f t="shared" si="146"/>
        <v>38.44</v>
      </c>
      <c r="H4481" s="936"/>
      <c r="I4481" s="1232"/>
    </row>
    <row r="4482" spans="1:10" s="357" customFormat="1" ht="18" customHeight="1">
      <c r="A4482" s="1017"/>
      <c r="B4482" s="874" t="s">
        <v>2188</v>
      </c>
      <c r="C4482" s="1017"/>
      <c r="D4482" s="1017"/>
      <c r="E4482" s="1017"/>
      <c r="F4482" s="1017"/>
      <c r="G4482" s="968">
        <f>SUM(G4479:G4481)</f>
        <v>94.84</v>
      </c>
      <c r="H4482" s="1018" t="s">
        <v>350</v>
      </c>
      <c r="I4482" s="1265" t="s">
        <v>2315</v>
      </c>
      <c r="J4482" s="1265" t="s">
        <v>2245</v>
      </c>
    </row>
    <row r="4483" spans="1:10" s="704" customFormat="1" ht="18" customHeight="1">
      <c r="A4483" s="934"/>
      <c r="B4483" s="566"/>
      <c r="C4483" s="565"/>
      <c r="D4483" s="254"/>
      <c r="E4483" s="254"/>
      <c r="F4483" s="254"/>
      <c r="G4483" s="707"/>
      <c r="H4483" s="975"/>
      <c r="I4483" s="1250"/>
    </row>
    <row r="4484" spans="1:10" s="391" customFormat="1" ht="18" customHeight="1">
      <c r="A4484" s="388" t="s">
        <v>2314</v>
      </c>
      <c r="B4484" s="509" t="s">
        <v>1656</v>
      </c>
      <c r="C4484" s="392"/>
      <c r="D4484" s="393"/>
      <c r="E4484" s="384"/>
      <c r="F4484" s="384"/>
      <c r="G4484" s="384">
        <f>C4484*D4484*E4484</f>
        <v>0</v>
      </c>
      <c r="H4484" s="973"/>
      <c r="I4484" s="1254"/>
    </row>
    <row r="4485" spans="1:10" s="357" customFormat="1" ht="18" customHeight="1">
      <c r="A4485" s="501"/>
      <c r="B4485" s="382" t="s">
        <v>1501</v>
      </c>
      <c r="C4485" s="415">
        <v>2</v>
      </c>
      <c r="D4485" s="457">
        <f>3.2+6.45+6.45-1.02-1.067</f>
        <v>14.013000000000002</v>
      </c>
      <c r="E4485" s="416">
        <v>0.48</v>
      </c>
      <c r="F4485" s="384"/>
      <c r="G4485" s="67">
        <f t="shared" ref="G4485:G4491" si="147">IF(C4485&lt;&gt;0,ROUND(PRODUCT(D4485:F4485)*C4485,2)," ")</f>
        <v>13.45</v>
      </c>
      <c r="H4485" s="936"/>
      <c r="I4485" s="1232"/>
    </row>
    <row r="4486" spans="1:10" s="391" customFormat="1" ht="18" customHeight="1">
      <c r="A4486" s="430"/>
      <c r="B4486" s="390" t="s">
        <v>1631</v>
      </c>
      <c r="C4486" s="415">
        <v>2</v>
      </c>
      <c r="D4486" s="457">
        <f>6.45+6.4+6.4+3.25-1.15-1.15</f>
        <v>20.200000000000003</v>
      </c>
      <c r="E4486" s="416">
        <v>0.48</v>
      </c>
      <c r="F4486" s="384"/>
      <c r="G4486" s="67">
        <f t="shared" si="147"/>
        <v>19.39</v>
      </c>
      <c r="H4486" s="973"/>
      <c r="I4486" s="1254"/>
    </row>
    <row r="4487" spans="1:10" s="357" customFormat="1" ht="18" customHeight="1">
      <c r="A4487" s="501"/>
      <c r="B4487" s="431" t="s">
        <v>1632</v>
      </c>
      <c r="C4487" s="589">
        <v>2</v>
      </c>
      <c r="D4487" s="590">
        <f>3.2+6.45-1.025</f>
        <v>8.625</v>
      </c>
      <c r="E4487" s="416">
        <v>0.48</v>
      </c>
      <c r="F4487" s="384"/>
      <c r="G4487" s="67">
        <f t="shared" si="147"/>
        <v>8.2799999999999994</v>
      </c>
      <c r="H4487" s="936"/>
      <c r="I4487" s="1232"/>
    </row>
    <row r="4488" spans="1:10" s="391" customFormat="1" ht="18" customHeight="1">
      <c r="A4488" s="430"/>
      <c r="B4488" s="431" t="s">
        <v>1633</v>
      </c>
      <c r="C4488" s="589"/>
      <c r="D4488" s="590"/>
      <c r="E4488" s="546"/>
      <c r="F4488" s="384"/>
      <c r="G4488" s="67" t="str">
        <f t="shared" si="147"/>
        <v xml:space="preserve"> </v>
      </c>
      <c r="H4488" s="973"/>
      <c r="I4488" s="1254"/>
    </row>
    <row r="4489" spans="1:10" s="391" customFormat="1" ht="18" customHeight="1">
      <c r="A4489" s="430"/>
      <c r="B4489" s="431" t="s">
        <v>1634</v>
      </c>
      <c r="C4489" s="589">
        <v>2</v>
      </c>
      <c r="D4489" s="593">
        <f>6.45+6.45-0.915-0.975-0.1</f>
        <v>10.91</v>
      </c>
      <c r="E4489" s="416">
        <v>0.48</v>
      </c>
      <c r="F4489" s="384"/>
      <c r="G4489" s="67">
        <f t="shared" si="147"/>
        <v>10.47</v>
      </c>
      <c r="H4489" s="973"/>
      <c r="I4489" s="1254"/>
    </row>
    <row r="4490" spans="1:10" s="357" customFormat="1" ht="18" customHeight="1">
      <c r="A4490" s="501"/>
      <c r="B4490" s="382" t="s">
        <v>1635</v>
      </c>
      <c r="C4490" s="415">
        <v>2</v>
      </c>
      <c r="D4490" s="590">
        <f>6.45+6.45-0.915-0.915-1</f>
        <v>10.07</v>
      </c>
      <c r="E4490" s="416">
        <v>0.48</v>
      </c>
      <c r="F4490" s="384"/>
      <c r="G4490" s="67">
        <f t="shared" si="147"/>
        <v>9.67</v>
      </c>
      <c r="H4490" s="936"/>
      <c r="I4490" s="1232"/>
    </row>
    <row r="4491" spans="1:10" s="391" customFormat="1" ht="18" customHeight="1">
      <c r="A4491" s="430"/>
      <c r="B4491" s="390" t="s">
        <v>1636</v>
      </c>
      <c r="C4491" s="415">
        <v>1</v>
      </c>
      <c r="D4491" s="416">
        <f>1.6+1.775+6.4+6.4+1.825-1-1</f>
        <v>16</v>
      </c>
      <c r="E4491" s="416">
        <v>0.48</v>
      </c>
      <c r="F4491" s="384"/>
      <c r="G4491" s="67">
        <f t="shared" si="147"/>
        <v>7.68</v>
      </c>
      <c r="H4491" s="973"/>
      <c r="I4491" s="1254"/>
    </row>
    <row r="4492" spans="1:10" s="357" customFormat="1" ht="18" customHeight="1">
      <c r="A4492" s="1017"/>
      <c r="B4492" s="874" t="s">
        <v>2188</v>
      </c>
      <c r="C4492" s="1017"/>
      <c r="D4492" s="1017"/>
      <c r="E4492" s="1017"/>
      <c r="F4492" s="1017"/>
      <c r="G4492" s="968">
        <f>SUM(G4484:G4491)</f>
        <v>68.94</v>
      </c>
      <c r="H4492" s="1018" t="s">
        <v>350</v>
      </c>
      <c r="I4492" s="1232" t="s">
        <v>2314</v>
      </c>
    </row>
    <row r="4493" spans="1:10" s="704" customFormat="1" ht="18" customHeight="1">
      <c r="A4493" s="934"/>
      <c r="B4493" s="566"/>
      <c r="C4493" s="565"/>
      <c r="D4493" s="254"/>
      <c r="E4493" s="254"/>
      <c r="F4493" s="254"/>
      <c r="G4493" s="707"/>
      <c r="H4493" s="975"/>
      <c r="I4493" s="1250"/>
    </row>
    <row r="4494" spans="1:10" s="391" customFormat="1" ht="18" customHeight="1">
      <c r="A4494" s="388" t="s">
        <v>2313</v>
      </c>
      <c r="B4494" s="509" t="s">
        <v>1658</v>
      </c>
      <c r="C4494" s="392"/>
      <c r="D4494" s="393"/>
      <c r="E4494" s="384"/>
      <c r="F4494" s="384"/>
      <c r="G4494" s="384">
        <f>C4494*D4494*E4494</f>
        <v>0</v>
      </c>
      <c r="H4494" s="973"/>
      <c r="I4494" s="1254"/>
    </row>
    <row r="4495" spans="1:10" s="391" customFormat="1" ht="18" customHeight="1">
      <c r="A4495" s="430"/>
      <c r="B4495" s="390" t="s">
        <v>1659</v>
      </c>
      <c r="C4495" s="383">
        <v>2</v>
      </c>
      <c r="D4495" s="384">
        <v>46</v>
      </c>
      <c r="E4495" s="384"/>
      <c r="F4495" s="384"/>
      <c r="G4495" s="67">
        <f t="shared" ref="G4495" si="148">IF(C4495&lt;&gt;0,ROUND(PRODUCT(D4495:F4495)*C4495,2)," ")</f>
        <v>92</v>
      </c>
      <c r="H4495" s="973"/>
      <c r="I4495" s="1254"/>
    </row>
    <row r="4496" spans="1:10" s="357" customFormat="1" ht="18" customHeight="1">
      <c r="A4496" s="1017"/>
      <c r="B4496" s="874" t="s">
        <v>2188</v>
      </c>
      <c r="C4496" s="1017"/>
      <c r="D4496" s="1017"/>
      <c r="E4496" s="1017"/>
      <c r="F4496" s="1017"/>
      <c r="G4496" s="968">
        <f>SUM(G4494:G4495)</f>
        <v>92</v>
      </c>
      <c r="H4496" s="1018" t="s">
        <v>356</v>
      </c>
      <c r="I4496" s="1232" t="s">
        <v>2313</v>
      </c>
    </row>
    <row r="4497" spans="1:9" s="704" customFormat="1" ht="18" customHeight="1">
      <c r="A4497" s="934"/>
      <c r="B4497" s="566"/>
      <c r="C4497" s="565"/>
      <c r="D4497" s="254"/>
      <c r="E4497" s="254"/>
      <c r="F4497" s="254"/>
      <c r="G4497" s="707"/>
      <c r="H4497" s="975"/>
      <c r="I4497" s="1250"/>
    </row>
    <row r="4498" spans="1:9" s="391" customFormat="1" ht="18" customHeight="1">
      <c r="A4498" s="388" t="s">
        <v>2312</v>
      </c>
      <c r="B4498" s="509" t="s">
        <v>1660</v>
      </c>
      <c r="C4498" s="392"/>
      <c r="D4498" s="393"/>
      <c r="E4498" s="384"/>
      <c r="F4498" s="384"/>
      <c r="G4498" s="384">
        <f>C4498*D4498*E4498</f>
        <v>0</v>
      </c>
      <c r="H4498" s="973"/>
      <c r="I4498" s="1254"/>
    </row>
    <row r="4499" spans="1:9" s="391" customFormat="1" ht="18" customHeight="1">
      <c r="A4499" s="430"/>
      <c r="B4499" s="390" t="s">
        <v>1659</v>
      </c>
      <c r="C4499" s="383">
        <v>2</v>
      </c>
      <c r="D4499" s="384">
        <v>46</v>
      </c>
      <c r="E4499" s="384"/>
      <c r="F4499" s="384"/>
      <c r="G4499" s="67">
        <f t="shared" ref="G4499" si="149">IF(C4499&lt;&gt;0,ROUND(PRODUCT(D4499:F4499)*C4499,2)," ")</f>
        <v>92</v>
      </c>
      <c r="H4499" s="973"/>
      <c r="I4499" s="1254"/>
    </row>
    <row r="4500" spans="1:9" s="357" customFormat="1" ht="18" customHeight="1">
      <c r="A4500" s="1017"/>
      <c r="B4500" s="874" t="s">
        <v>2188</v>
      </c>
      <c r="C4500" s="1017"/>
      <c r="D4500" s="1017"/>
      <c r="E4500" s="1017"/>
      <c r="F4500" s="1017"/>
      <c r="G4500" s="968">
        <f>SUM(G4498:G4499)</f>
        <v>92</v>
      </c>
      <c r="H4500" s="1018" t="s">
        <v>356</v>
      </c>
      <c r="I4500" s="1232" t="s">
        <v>2312</v>
      </c>
    </row>
    <row r="4501" spans="1:9" s="704" customFormat="1" ht="18" customHeight="1">
      <c r="A4501" s="934"/>
      <c r="B4501" s="566"/>
      <c r="C4501" s="565"/>
      <c r="D4501" s="254"/>
      <c r="E4501" s="254"/>
      <c r="F4501" s="254"/>
      <c r="G4501" s="707"/>
      <c r="H4501" s="975"/>
      <c r="I4501" s="1250"/>
    </row>
    <row r="4502" spans="1:9" s="391" customFormat="1" ht="18" customHeight="1">
      <c r="A4502" s="388" t="s">
        <v>2311</v>
      </c>
      <c r="B4502" s="509" t="s">
        <v>1661</v>
      </c>
      <c r="C4502" s="392"/>
      <c r="D4502" s="393"/>
      <c r="E4502" s="384"/>
      <c r="F4502" s="384"/>
      <c r="G4502" s="384">
        <f>C4502*D4502*E4502</f>
        <v>0</v>
      </c>
      <c r="H4502" s="973"/>
      <c r="I4502" s="1254"/>
    </row>
    <row r="4503" spans="1:9" s="391" customFormat="1" ht="18" customHeight="1">
      <c r="A4503" s="430"/>
      <c r="B4503" s="390" t="s">
        <v>1662</v>
      </c>
      <c r="C4503" s="383" t="s">
        <v>414</v>
      </c>
      <c r="D4503" s="384" t="s">
        <v>1664</v>
      </c>
      <c r="E4503" s="384" t="s">
        <v>1665</v>
      </c>
      <c r="F4503" s="384" t="s">
        <v>85</v>
      </c>
      <c r="G4503" s="384"/>
      <c r="H4503" s="973"/>
      <c r="I4503" s="1254"/>
    </row>
    <row r="4504" spans="1:9" s="391" customFormat="1" ht="18" customHeight="1">
      <c r="A4504" s="430"/>
      <c r="B4504" s="390" t="s">
        <v>1663</v>
      </c>
      <c r="C4504" s="383">
        <v>2</v>
      </c>
      <c r="D4504" s="384">
        <f>PI()</f>
        <v>3.1415926535897931</v>
      </c>
      <c r="E4504" s="384">
        <f>0.125*0.125</f>
        <v>1.5625E-2</v>
      </c>
      <c r="F4504" s="384">
        <v>46</v>
      </c>
      <c r="G4504" s="67">
        <f t="shared" ref="G4504:G4505" si="150">IF(C4504&lt;&gt;0,ROUND(PRODUCT(D4504:F4504)*C4504,2)," ")</f>
        <v>4.5199999999999996</v>
      </c>
      <c r="H4504" s="973"/>
      <c r="I4504" s="1254"/>
    </row>
    <row r="4505" spans="1:9" s="391" customFormat="1" ht="18" customHeight="1">
      <c r="A4505" s="430"/>
      <c r="B4505" s="390" t="s">
        <v>1666</v>
      </c>
      <c r="C4505" s="383">
        <v>-2</v>
      </c>
      <c r="D4505" s="384">
        <f>PI()</f>
        <v>3.1415926535897931</v>
      </c>
      <c r="E4505" s="384">
        <f>0.075*0.075</f>
        <v>5.6249999999999998E-3</v>
      </c>
      <c r="F4505" s="384">
        <v>46</v>
      </c>
      <c r="G4505" s="67">
        <f t="shared" si="150"/>
        <v>-1.63</v>
      </c>
      <c r="H4505" s="973"/>
      <c r="I4505" s="1254"/>
    </row>
    <row r="4506" spans="1:9" s="357" customFormat="1" ht="18" customHeight="1">
      <c r="A4506" s="1017"/>
      <c r="B4506" s="874" t="s">
        <v>2188</v>
      </c>
      <c r="C4506" s="1017"/>
      <c r="D4506" s="1017"/>
      <c r="E4506" s="1017"/>
      <c r="F4506" s="1017"/>
      <c r="G4506" s="968">
        <f>SUM(G4502:G4505)</f>
        <v>2.8899999999999997</v>
      </c>
      <c r="H4506" s="1018" t="s">
        <v>347</v>
      </c>
      <c r="I4506" s="1232" t="s">
        <v>2311</v>
      </c>
    </row>
    <row r="4507" spans="1:9" s="357" customFormat="1" ht="18" customHeight="1">
      <c r="A4507" s="381"/>
      <c r="B4507" s="382"/>
      <c r="C4507" s="383"/>
      <c r="D4507" s="384"/>
      <c r="E4507" s="384"/>
      <c r="F4507" s="384"/>
      <c r="G4507" s="384"/>
      <c r="H4507" s="936"/>
      <c r="I4507" s="1232"/>
    </row>
    <row r="4508" spans="1:9" ht="28.5">
      <c r="A4508" s="380" t="s">
        <v>2279</v>
      </c>
      <c r="B4508" s="387" t="s">
        <v>2246</v>
      </c>
      <c r="C4508" s="70"/>
      <c r="D4508" s="68"/>
      <c r="E4508" s="68"/>
      <c r="F4508" s="68"/>
      <c r="G4508" s="68"/>
      <c r="H4508" s="929"/>
    </row>
    <row r="4509" spans="1:9" ht="18" customHeight="1">
      <c r="A4509" s="354"/>
      <c r="B4509" s="411" t="s">
        <v>1368</v>
      </c>
      <c r="C4509" s="70"/>
      <c r="D4509" s="68"/>
      <c r="E4509" s="68"/>
      <c r="F4509" s="68"/>
      <c r="G4509" s="68">
        <f t="shared" ref="G4509" si="151">+PRODUCT(C4509:F4509)</f>
        <v>0</v>
      </c>
      <c r="H4509" s="929"/>
    </row>
    <row r="4510" spans="1:9" ht="18" customHeight="1">
      <c r="A4510" s="407"/>
      <c r="B4510" s="451" t="s">
        <v>1305</v>
      </c>
      <c r="C4510" s="404">
        <f>1</f>
        <v>1</v>
      </c>
      <c r="D4510" s="405">
        <v>655</v>
      </c>
      <c r="E4510" s="405"/>
      <c r="F4510" s="405">
        <v>0.15</v>
      </c>
      <c r="G4510" s="67">
        <f t="shared" ref="G4510:G4513" si="152">IF(C4510&lt;&gt;0,ROUND(PRODUCT(D4510:F4510)*C4510,2)," ")</f>
        <v>98.25</v>
      </c>
      <c r="H4510" s="935"/>
    </row>
    <row r="4511" spans="1:9" ht="18" customHeight="1">
      <c r="A4511" s="354"/>
      <c r="B4511" s="409" t="s">
        <v>1327</v>
      </c>
      <c r="C4511" s="404">
        <f>2</f>
        <v>2</v>
      </c>
      <c r="D4511" s="405">
        <v>67.084000000000003</v>
      </c>
      <c r="E4511" s="68"/>
      <c r="F4511" s="68">
        <v>0.15</v>
      </c>
      <c r="G4511" s="67">
        <f t="shared" si="152"/>
        <v>20.13</v>
      </c>
      <c r="H4511" s="929"/>
    </row>
    <row r="4512" spans="1:9" ht="18" customHeight="1">
      <c r="A4512" s="354"/>
      <c r="B4512" s="409" t="s">
        <v>1328</v>
      </c>
      <c r="C4512" s="404">
        <v>1</v>
      </c>
      <c r="D4512" s="405">
        <v>113.32</v>
      </c>
      <c r="E4512" s="68"/>
      <c r="F4512" s="68">
        <v>0.15</v>
      </c>
      <c r="G4512" s="67">
        <f t="shared" si="152"/>
        <v>17</v>
      </c>
      <c r="H4512" s="929"/>
    </row>
    <row r="4513" spans="1:9" s="357" customFormat="1" ht="18" customHeight="1">
      <c r="A4513" s="417"/>
      <c r="B4513" s="478" t="s">
        <v>1416</v>
      </c>
      <c r="C4513" s="70">
        <f>0*1</f>
        <v>0</v>
      </c>
      <c r="D4513" s="543"/>
      <c r="E4513" s="543"/>
      <c r="F4513" s="405"/>
      <c r="G4513" s="67" t="str">
        <f t="shared" si="152"/>
        <v xml:space="preserve"> </v>
      </c>
      <c r="H4513" s="929"/>
      <c r="I4513" s="1232"/>
    </row>
    <row r="4514" spans="1:9" ht="18" customHeight="1" thickBot="1">
      <c r="A4514" s="995"/>
      <c r="B4514" s="996" t="s">
        <v>2188</v>
      </c>
      <c r="C4514" s="997"/>
      <c r="D4514" s="998"/>
      <c r="E4514" s="998"/>
      <c r="F4514" s="999"/>
      <c r="G4514" s="998">
        <f>SUM(G4508:G4513)</f>
        <v>135.38</v>
      </c>
      <c r="H4514" s="1000" t="s">
        <v>347</v>
      </c>
      <c r="I4514" s="1226" t="s">
        <v>2279</v>
      </c>
    </row>
    <row r="4516" spans="1:9" ht="71.25">
      <c r="A4516" s="880" t="s">
        <v>2508</v>
      </c>
      <c r="B4516" s="1266" t="s">
        <v>2513</v>
      </c>
      <c r="C4516" s="70"/>
      <c r="D4516" s="68"/>
      <c r="E4516" s="68"/>
      <c r="F4516" s="68"/>
      <c r="G4516" s="68"/>
      <c r="H4516" s="929"/>
    </row>
    <row r="4517" spans="1:9" ht="18" customHeight="1">
      <c r="A4517" s="354"/>
      <c r="B4517" s="411" t="s">
        <v>2525</v>
      </c>
      <c r="C4517" s="70">
        <v>1</v>
      </c>
      <c r="D4517" s="68">
        <f>G3355</f>
        <v>44.64</v>
      </c>
      <c r="E4517" s="68"/>
      <c r="F4517" s="68"/>
      <c r="G4517" s="68">
        <f t="shared" ref="G4517" si="153">+PRODUCT(C4517:F4517)</f>
        <v>44.64</v>
      </c>
      <c r="H4517" s="929"/>
    </row>
    <row r="4518" spans="1:9" s="357" customFormat="1" ht="18" customHeight="1">
      <c r="A4518" s="417"/>
      <c r="B4518" s="478"/>
      <c r="C4518" s="70"/>
      <c r="D4518" s="543"/>
      <c r="E4518" s="543"/>
      <c r="F4518" s="405"/>
      <c r="G4518" s="67" t="str">
        <f t="shared" ref="G4518" si="154">IF(C4518&lt;&gt;0,ROUND(PRODUCT(D4518:F4518)*C4518,2)," ")</f>
        <v xml:space="preserve"> </v>
      </c>
      <c r="H4518" s="929"/>
      <c r="I4518" s="1232"/>
    </row>
    <row r="4519" spans="1:9" ht="18" customHeight="1" thickBot="1">
      <c r="A4519" s="995"/>
      <c r="B4519" s="996" t="s">
        <v>2188</v>
      </c>
      <c r="C4519" s="997"/>
      <c r="D4519" s="998"/>
      <c r="E4519" s="998"/>
      <c r="F4519" s="999"/>
      <c r="G4519" s="998">
        <f>SUM(G4516:G4518)</f>
        <v>44.64</v>
      </c>
      <c r="H4519" s="1000" t="s">
        <v>350</v>
      </c>
      <c r="I4519" s="1226" t="s">
        <v>2508</v>
      </c>
    </row>
  </sheetData>
  <mergeCells count="2">
    <mergeCell ref="I3327:M3327"/>
    <mergeCell ref="A3751:H3751"/>
  </mergeCells>
  <conditionalFormatting sqref="D3396 E3403:F3404 D3397:F3402">
    <cfRule type="containsText" dxfId="2" priority="2" operator="containsText" text="3.000">
      <formula>NOT(ISERROR(SEARCH("3.000",D3396)))</formula>
    </cfRule>
  </conditionalFormatting>
  <conditionalFormatting sqref="A4137">
    <cfRule type="cellIs" dxfId="1" priority="1" stopIfTrue="1" operator="equal">
      <formula>0</formula>
    </cfRule>
  </conditionalFormatting>
  <pageMargins left="0.15748031496063" right="0.23622047244094499" top="0.196850393700787" bottom="0.27559055118110198" header="0.118110236220472" footer="0.15748031496063"/>
  <pageSetup paperSize="9" scale="88" orientation="portrait" r:id="rId1"/>
  <headerFooter>
    <oddFooter>Page &amp;P of &amp;N</oddFooter>
  </headerFooter>
  <ignoredErrors>
    <ignoredError sqref="G4131"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Zeros="0" view="pageBreakPreview" zoomScaleNormal="100" zoomScaleSheetLayoutView="100" workbookViewId="0">
      <selection activeCell="H15" sqref="H15"/>
    </sheetView>
  </sheetViews>
  <sheetFormatPr defaultRowHeight="15"/>
  <cols>
    <col min="2" max="2" width="36.7109375" bestFit="1" customWidth="1"/>
    <col min="6" max="6" width="9.140625" style="603"/>
    <col min="7" max="7" width="10.5703125" bestFit="1" customWidth="1"/>
    <col min="9" max="9" width="10.7109375" style="602" bestFit="1" customWidth="1"/>
  </cols>
  <sheetData>
    <row r="1" spans="1:10" s="65" customFormat="1" ht="20.25">
      <c r="A1" s="1361" t="s">
        <v>1</v>
      </c>
      <c r="B1" s="1361"/>
      <c r="C1" s="1361"/>
      <c r="D1" s="1361"/>
      <c r="E1" s="1361"/>
      <c r="F1" s="1361"/>
      <c r="G1" s="1361"/>
      <c r="H1" s="1361"/>
    </row>
    <row r="2" spans="1:10" s="219" customFormat="1" ht="15.75">
      <c r="A2" s="62" t="s">
        <v>340</v>
      </c>
      <c r="B2" s="62"/>
      <c r="C2" s="62"/>
      <c r="D2" s="62"/>
      <c r="E2" s="62"/>
      <c r="F2" s="62"/>
      <c r="G2" s="62"/>
      <c r="H2" s="62"/>
      <c r="I2" s="62"/>
      <c r="J2" s="62"/>
    </row>
    <row r="3" spans="1:10" s="65" customFormat="1" ht="15.75">
      <c r="A3" s="1362" t="s">
        <v>1794</v>
      </c>
      <c r="B3" s="1362"/>
      <c r="C3" s="1362"/>
      <c r="D3" s="1362"/>
      <c r="E3" s="1362"/>
      <c r="F3" s="1363"/>
      <c r="G3" s="1363"/>
      <c r="H3" s="62" t="s">
        <v>2522</v>
      </c>
    </row>
    <row r="4" spans="1:10" s="65" customFormat="1" ht="31.5">
      <c r="A4" s="380"/>
      <c r="B4" s="609" t="s">
        <v>1793</v>
      </c>
      <c r="C4" s="735" t="s">
        <v>985</v>
      </c>
      <c r="D4" s="736" t="s">
        <v>414</v>
      </c>
      <c r="E4" s="737" t="s">
        <v>4</v>
      </c>
      <c r="F4" s="738" t="s">
        <v>979</v>
      </c>
      <c r="G4" s="739" t="s">
        <v>1183</v>
      </c>
      <c r="H4" s="739" t="s">
        <v>1184</v>
      </c>
      <c r="I4" s="740" t="s">
        <v>1185</v>
      </c>
    </row>
    <row r="5" spans="1:10" s="78" customFormat="1" ht="14.25">
      <c r="A5" s="75"/>
      <c r="B5" s="607" t="s">
        <v>1792</v>
      </c>
      <c r="C5" s="622">
        <v>16</v>
      </c>
      <c r="D5" s="69">
        <v>2</v>
      </c>
      <c r="E5" s="66">
        <f>6.46+0.225+0.225-0.05-0.064</f>
        <v>6.7959999999999994</v>
      </c>
      <c r="F5" s="435">
        <v>6</v>
      </c>
      <c r="G5" s="68">
        <f>ROUND(F5*E5*D5,3)</f>
        <v>81.552000000000007</v>
      </c>
      <c r="H5" s="68">
        <v>1.58</v>
      </c>
      <c r="I5" s="257">
        <f>ROUND(H5*G5,3)</f>
        <v>128.852</v>
      </c>
    </row>
    <row r="6" spans="1:10" s="78" customFormat="1" ht="14.25">
      <c r="A6" s="75"/>
      <c r="B6" s="607" t="s">
        <v>1791</v>
      </c>
      <c r="C6" s="734">
        <v>16</v>
      </c>
      <c r="D6" s="570">
        <f>2*0</f>
        <v>0</v>
      </c>
      <c r="E6" s="571">
        <f>0.5*0.16</f>
        <v>0.08</v>
      </c>
      <c r="F6" s="608">
        <v>6</v>
      </c>
      <c r="G6" s="567">
        <f>ROUND(F6*E6*D6,3)</f>
        <v>0</v>
      </c>
      <c r="H6" s="567">
        <v>1.58</v>
      </c>
      <c r="I6" s="257">
        <f>ROUND(H6*G6,3)</f>
        <v>0</v>
      </c>
    </row>
    <row r="7" spans="1:10" s="78" customFormat="1" ht="14.25">
      <c r="A7" s="75"/>
      <c r="B7" s="607" t="s">
        <v>1790</v>
      </c>
      <c r="C7" s="622">
        <v>16</v>
      </c>
      <c r="D7" s="69">
        <v>2</v>
      </c>
      <c r="E7" s="66">
        <f>3.46+0.225+0.225-0.05-0.064</f>
        <v>3.7960000000000003</v>
      </c>
      <c r="F7" s="435">
        <v>6</v>
      </c>
      <c r="G7" s="68">
        <f t="shared" ref="G7:G18" si="0">ROUND(F7*E7*D7,3)</f>
        <v>45.552</v>
      </c>
      <c r="H7" s="68">
        <v>1.58</v>
      </c>
      <c r="I7" s="257">
        <f t="shared" ref="I7:I18" si="1">ROUND(H7*G7,3)</f>
        <v>71.971999999999994</v>
      </c>
    </row>
    <row r="8" spans="1:10" s="78" customFormat="1" ht="14.25">
      <c r="A8" s="75"/>
      <c r="B8" s="406" t="s">
        <v>1789</v>
      </c>
      <c r="C8" s="622">
        <v>8</v>
      </c>
      <c r="D8" s="69">
        <v>2</v>
      </c>
      <c r="E8" s="66">
        <f>0.35+0.35+0.18+0.18+0.16-0.08</f>
        <v>1.1399999999999997</v>
      </c>
      <c r="F8" s="435">
        <f>6.46/0.15+1</f>
        <v>44.06666666666667</v>
      </c>
      <c r="G8" s="68">
        <f t="shared" si="0"/>
        <v>100.47199999999999</v>
      </c>
      <c r="H8" s="68">
        <v>0.39500000000000002</v>
      </c>
      <c r="I8" s="257">
        <f t="shared" si="1"/>
        <v>39.686</v>
      </c>
    </row>
    <row r="9" spans="1:10" s="78" customFormat="1" ht="14.25">
      <c r="A9" s="75"/>
      <c r="B9" s="406" t="s">
        <v>1788</v>
      </c>
      <c r="C9" s="622">
        <v>8</v>
      </c>
      <c r="D9" s="69">
        <v>2</v>
      </c>
      <c r="E9" s="66">
        <f>0.35+0.35+0.18+0.18+0.16-0.08</f>
        <v>1.1399999999999997</v>
      </c>
      <c r="F9" s="435">
        <f>3.46/0.15+1</f>
        <v>24.066666666666666</v>
      </c>
      <c r="G9" s="68">
        <f t="shared" si="0"/>
        <v>54.872</v>
      </c>
      <c r="H9" s="68">
        <v>0.39500000000000002</v>
      </c>
      <c r="I9" s="257">
        <f t="shared" si="1"/>
        <v>21.673999999999999</v>
      </c>
    </row>
    <row r="10" spans="1:10" s="78" customFormat="1" ht="14.25">
      <c r="A10" s="75"/>
      <c r="B10" s="63" t="s">
        <v>1787</v>
      </c>
      <c r="C10" s="475"/>
      <c r="D10" s="70"/>
      <c r="E10" s="68"/>
      <c r="F10" s="435"/>
      <c r="G10" s="68">
        <f t="shared" si="0"/>
        <v>0</v>
      </c>
      <c r="H10" s="68"/>
      <c r="I10" s="257">
        <f t="shared" si="1"/>
        <v>0</v>
      </c>
    </row>
    <row r="11" spans="1:10" s="78" customFormat="1" ht="14.25">
      <c r="A11" s="75"/>
      <c r="B11" s="409" t="s">
        <v>1786</v>
      </c>
      <c r="C11" s="622">
        <v>10</v>
      </c>
      <c r="D11" s="70">
        <v>1</v>
      </c>
      <c r="E11" s="68">
        <f>3.46+0.1+0.1-0.04-0.05</f>
        <v>3.5700000000000003</v>
      </c>
      <c r="F11" s="435">
        <v>52</v>
      </c>
      <c r="G11" s="68">
        <f t="shared" si="0"/>
        <v>185.64</v>
      </c>
      <c r="H11" s="68">
        <v>0.61699999999999999</v>
      </c>
      <c r="I11" s="257">
        <f t="shared" si="1"/>
        <v>114.54</v>
      </c>
    </row>
    <row r="12" spans="1:10" s="78" customFormat="1" ht="14.25">
      <c r="A12" s="75"/>
      <c r="B12" s="406" t="s">
        <v>1781</v>
      </c>
      <c r="C12" s="622">
        <v>10</v>
      </c>
      <c r="D12" s="70">
        <v>1</v>
      </c>
      <c r="E12" s="68">
        <f>6.46+0.1+0.1-0.04-0.05</f>
        <v>6.5699999999999994</v>
      </c>
      <c r="F12" s="435">
        <v>20</v>
      </c>
      <c r="G12" s="68">
        <f t="shared" si="0"/>
        <v>131.4</v>
      </c>
      <c r="H12" s="68">
        <v>0.61699999999999999</v>
      </c>
      <c r="I12" s="257">
        <f t="shared" si="1"/>
        <v>81.073999999999998</v>
      </c>
    </row>
    <row r="13" spans="1:10" s="78" customFormat="1" ht="14.25">
      <c r="A13" s="75"/>
      <c r="B13" s="63" t="s">
        <v>1785</v>
      </c>
      <c r="C13" s="475">
        <v>10</v>
      </c>
      <c r="D13" s="70">
        <v>1</v>
      </c>
      <c r="E13" s="68">
        <f>0.3+0.3+0.09+0.09+0.6</f>
        <v>1.38</v>
      </c>
      <c r="F13" s="435">
        <v>15</v>
      </c>
      <c r="G13" s="68">
        <f t="shared" si="0"/>
        <v>20.7</v>
      </c>
      <c r="H13" s="68">
        <v>0.61699999999999999</v>
      </c>
      <c r="I13" s="257">
        <f t="shared" si="1"/>
        <v>12.772</v>
      </c>
    </row>
    <row r="14" spans="1:10" s="78" customFormat="1" ht="14.25">
      <c r="A14" s="75"/>
      <c r="B14" s="406" t="s">
        <v>1784</v>
      </c>
      <c r="C14" s="622">
        <v>8</v>
      </c>
      <c r="D14" s="70">
        <v>1</v>
      </c>
      <c r="E14" s="68">
        <f>3.46+0.1+0.1-0.032-0.05</f>
        <v>3.5780000000000003</v>
      </c>
      <c r="F14" s="435">
        <v>34</v>
      </c>
      <c r="G14" s="68">
        <f t="shared" si="0"/>
        <v>121.652</v>
      </c>
      <c r="H14" s="68">
        <v>0.39500000000000002</v>
      </c>
      <c r="I14" s="257">
        <f t="shared" si="1"/>
        <v>48.052999999999997</v>
      </c>
    </row>
    <row r="15" spans="1:10" s="78" customFormat="1" ht="14.25">
      <c r="A15" s="75"/>
      <c r="B15" s="63" t="s">
        <v>1781</v>
      </c>
      <c r="C15" s="475">
        <v>8</v>
      </c>
      <c r="D15" s="70">
        <v>1</v>
      </c>
      <c r="E15" s="68">
        <f>6.46+0.1+0.1-0.032-0.05</f>
        <v>6.5779999999999994</v>
      </c>
      <c r="F15" s="435">
        <v>19</v>
      </c>
      <c r="G15" s="68">
        <f t="shared" si="0"/>
        <v>124.982</v>
      </c>
      <c r="H15" s="68">
        <v>0.39500000000000002</v>
      </c>
      <c r="I15" s="257">
        <f t="shared" si="1"/>
        <v>49.368000000000002</v>
      </c>
    </row>
    <row r="16" spans="1:10" s="78" customFormat="1" ht="14.25">
      <c r="A16" s="75"/>
      <c r="B16" s="406" t="s">
        <v>1783</v>
      </c>
      <c r="C16" s="622"/>
      <c r="D16" s="70"/>
      <c r="E16" s="66"/>
      <c r="F16" s="435"/>
      <c r="G16" s="68">
        <f t="shared" si="0"/>
        <v>0</v>
      </c>
      <c r="H16" s="68"/>
      <c r="I16" s="257">
        <f t="shared" si="1"/>
        <v>0</v>
      </c>
    </row>
    <row r="17" spans="1:10" s="78" customFormat="1" ht="14.25">
      <c r="A17" s="75"/>
      <c r="B17" s="63" t="s">
        <v>1782</v>
      </c>
      <c r="C17" s="622">
        <v>10</v>
      </c>
      <c r="D17" s="70">
        <v>1</v>
      </c>
      <c r="E17" s="68">
        <f>1.5-0.05</f>
        <v>1.45</v>
      </c>
      <c r="F17" s="435">
        <v>17</v>
      </c>
      <c r="G17" s="68">
        <f t="shared" si="0"/>
        <v>24.65</v>
      </c>
      <c r="H17" s="68">
        <v>0.61699999999999999</v>
      </c>
      <c r="I17" s="257">
        <f t="shared" si="1"/>
        <v>15.209</v>
      </c>
    </row>
    <row r="18" spans="1:10" s="78" customFormat="1" ht="14.25">
      <c r="A18" s="75"/>
      <c r="B18" s="406" t="s">
        <v>1781</v>
      </c>
      <c r="C18" s="622">
        <v>10</v>
      </c>
      <c r="D18" s="70">
        <v>1</v>
      </c>
      <c r="E18" s="68">
        <f>2.5-0.05</f>
        <v>2.4500000000000002</v>
      </c>
      <c r="F18" s="435">
        <f>1.5/0.15+1</f>
        <v>11</v>
      </c>
      <c r="G18" s="68">
        <f t="shared" si="0"/>
        <v>26.95</v>
      </c>
      <c r="H18" s="68">
        <v>0.61699999999999999</v>
      </c>
      <c r="I18" s="257">
        <f t="shared" si="1"/>
        <v>16.628</v>
      </c>
    </row>
    <row r="19" spans="1:10" s="78" customFormat="1" ht="15.75">
      <c r="A19" s="849"/>
      <c r="B19" s="850" t="s">
        <v>2280</v>
      </c>
      <c r="C19" s="851">
        <v>8</v>
      </c>
      <c r="D19" s="852"/>
      <c r="E19" s="1375"/>
      <c r="F19" s="1375"/>
      <c r="G19" s="1375"/>
      <c r="H19" s="1375"/>
      <c r="I19" s="853">
        <f>SUMIF($C$5:$C$18,C19,$I$5:$I$18)</f>
        <v>158.78100000000001</v>
      </c>
      <c r="J19" s="604">
        <f>ROUND(I19/1000,3)</f>
        <v>0.159</v>
      </c>
    </row>
    <row r="20" spans="1:10" s="78" customFormat="1" ht="15.75">
      <c r="A20" s="854"/>
      <c r="B20" s="605"/>
      <c r="C20" s="848">
        <v>10</v>
      </c>
      <c r="D20" s="845"/>
      <c r="E20" s="846"/>
      <c r="F20" s="847"/>
      <c r="G20" s="846"/>
      <c r="H20" s="846"/>
      <c r="I20" s="855">
        <f>SUMIF($C$5:$C$18,C20,$I$5:$I$18)</f>
        <v>240.22300000000001</v>
      </c>
      <c r="J20" s="604">
        <f t="shared" ref="J20:J21" si="2">ROUND(I20/1000,3)</f>
        <v>0.24</v>
      </c>
    </row>
    <row r="21" spans="1:10" s="78" customFormat="1" ht="15.75">
      <c r="A21" s="856"/>
      <c r="B21" s="857"/>
      <c r="C21" s="858">
        <v>16</v>
      </c>
      <c r="D21" s="859"/>
      <c r="E21" s="860"/>
      <c r="F21" s="861"/>
      <c r="G21" s="860"/>
      <c r="H21" s="860"/>
      <c r="I21" s="862">
        <f>SUMIF($C$5:$C$18,C21,$I$5:$I$18)</f>
        <v>200.82400000000001</v>
      </c>
      <c r="J21" s="604">
        <f t="shared" si="2"/>
        <v>0.20100000000000001</v>
      </c>
    </row>
  </sheetData>
  <mergeCells count="4">
    <mergeCell ref="A1:H1"/>
    <mergeCell ref="A3:E3"/>
    <mergeCell ref="F3:G3"/>
    <mergeCell ref="E19:H19"/>
  </mergeCells>
  <pageMargins left="0.7" right="0.7" top="0.75" bottom="0.75" header="0.3" footer="0.3"/>
  <pageSetup paperSize="9" orientation="landscape"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1"/>
  <sheetViews>
    <sheetView view="pageBreakPreview" topLeftCell="A4" zoomScaleNormal="100" zoomScaleSheetLayoutView="100" workbookViewId="0">
      <selection activeCell="C14" sqref="C14"/>
    </sheetView>
  </sheetViews>
  <sheetFormatPr defaultRowHeight="15"/>
  <cols>
    <col min="2" max="2" width="45.42578125" bestFit="1" customWidth="1"/>
    <col min="4" max="4" width="5.5703125" bestFit="1" customWidth="1"/>
  </cols>
  <sheetData>
    <row r="1" spans="1:10" s="721" customFormat="1" ht="18">
      <c r="A1" s="1063" t="s">
        <v>1</v>
      </c>
      <c r="B1" s="1066"/>
      <c r="E1" s="1066"/>
      <c r="F1" s="1066"/>
      <c r="G1" s="1066"/>
      <c r="H1" s="1066"/>
      <c r="I1" s="1066"/>
    </row>
    <row r="2" spans="1:10" s="721" customFormat="1" ht="15.75">
      <c r="A2" s="62" t="s">
        <v>2426</v>
      </c>
      <c r="B2" s="1066"/>
      <c r="E2" s="1066"/>
      <c r="F2" s="1066"/>
      <c r="G2" s="1066"/>
      <c r="H2" s="1066"/>
      <c r="I2" s="1066"/>
    </row>
    <row r="3" spans="1:10" s="721" customFormat="1" ht="29.25" customHeight="1">
      <c r="A3" s="1067" t="s">
        <v>2434</v>
      </c>
      <c r="B3" s="1068"/>
      <c r="E3" s="1068"/>
      <c r="F3" s="1068"/>
      <c r="G3" s="1068"/>
      <c r="H3" s="1346" t="s">
        <v>2554</v>
      </c>
      <c r="I3" s="1346"/>
      <c r="J3" s="1346"/>
    </row>
    <row r="4" spans="1:10" ht="17.25">
      <c r="A4" s="1380" t="s">
        <v>2428</v>
      </c>
      <c r="B4" s="1382" t="s">
        <v>0</v>
      </c>
      <c r="C4" s="1378" t="s">
        <v>7</v>
      </c>
      <c r="D4" s="1378" t="s">
        <v>297</v>
      </c>
      <c r="E4" s="1384" t="s">
        <v>2429</v>
      </c>
      <c r="F4" s="1384"/>
      <c r="G4" s="1384"/>
      <c r="H4" s="1384"/>
      <c r="I4" s="1384"/>
      <c r="J4" s="1376" t="s">
        <v>2430</v>
      </c>
    </row>
    <row r="5" spans="1:10" ht="18" thickBot="1">
      <c r="A5" s="1381"/>
      <c r="B5" s="1383"/>
      <c r="C5" s="1379"/>
      <c r="D5" s="1379"/>
      <c r="E5" s="1069" t="s">
        <v>600</v>
      </c>
      <c r="F5" s="1069" t="s">
        <v>617</v>
      </c>
      <c r="G5" s="1069" t="s">
        <v>618</v>
      </c>
      <c r="H5" s="1069" t="s">
        <v>619</v>
      </c>
      <c r="I5" s="1069" t="s">
        <v>620</v>
      </c>
      <c r="J5" s="1377"/>
    </row>
    <row r="6" spans="1:10" ht="17.25">
      <c r="A6" s="1074" t="s">
        <v>2431</v>
      </c>
      <c r="B6" s="1075" t="s">
        <v>2432</v>
      </c>
      <c r="C6" s="1077"/>
      <c r="D6" s="1077"/>
      <c r="E6" s="1076"/>
      <c r="F6" s="1076"/>
      <c r="G6" s="1076"/>
      <c r="H6" s="1076"/>
      <c r="I6" s="1076"/>
      <c r="J6" s="1078"/>
    </row>
    <row r="7" spans="1:10">
      <c r="A7" s="1079"/>
      <c r="B7" s="1080" t="s">
        <v>2433</v>
      </c>
      <c r="C7" s="1071">
        <f>SUM(E7:I7)</f>
        <v>71.105649999999997</v>
      </c>
      <c r="D7" s="1086" t="s">
        <v>301</v>
      </c>
      <c r="E7" s="1071">
        <f>'TMT Rec Detail'!F17</f>
        <v>31.522900000000003</v>
      </c>
      <c r="F7" s="1071">
        <f>'TMT Rec Detail'!G17</f>
        <v>3.0527500000000001</v>
      </c>
      <c r="G7" s="1071">
        <f>'TMT Rec Detail'!H17</f>
        <v>23.87</v>
      </c>
      <c r="H7" s="1071">
        <f>'TMT Rec Detail'!I17</f>
        <v>11.59</v>
      </c>
      <c r="I7" s="1071">
        <f>'TMT Rec Detail'!J17</f>
        <v>1.07</v>
      </c>
      <c r="J7" s="1081"/>
    </row>
    <row r="8" spans="1:10">
      <c r="A8" s="1082"/>
      <c r="B8" s="1070" t="s">
        <v>2448</v>
      </c>
      <c r="C8" s="1072">
        <f>SUM(E8:I8)</f>
        <v>66.436000000000007</v>
      </c>
      <c r="D8" s="1086" t="s">
        <v>301</v>
      </c>
      <c r="E8" s="1072">
        <f>'BBS Summary'!D14</f>
        <v>29.962</v>
      </c>
      <c r="F8" s="1072">
        <f>'BBS Summary'!E14</f>
        <v>2.056</v>
      </c>
      <c r="G8" s="1072">
        <f>'BBS Summary'!F14</f>
        <v>23.350999999999999</v>
      </c>
      <c r="H8" s="1072">
        <f>'BBS Summary'!G14</f>
        <v>10.277000000000001</v>
      </c>
      <c r="I8" s="1072">
        <f>'BBS Summary'!H14</f>
        <v>0.79</v>
      </c>
      <c r="J8" s="1081"/>
    </row>
    <row r="9" spans="1:10" ht="30">
      <c r="A9" s="1082"/>
      <c r="B9" s="1080" t="s">
        <v>2449</v>
      </c>
      <c r="C9" s="1073">
        <f>SUM(E9:I9)</f>
        <v>4.6696500000000052</v>
      </c>
      <c r="D9" s="1086" t="s">
        <v>301</v>
      </c>
      <c r="E9" s="1072">
        <f>E7-E8</f>
        <v>1.5609000000000037</v>
      </c>
      <c r="F9" s="1072">
        <f t="shared" ref="F9:I9" si="0">F7-F8</f>
        <v>0.99675000000000002</v>
      </c>
      <c r="G9" s="1072">
        <f t="shared" si="0"/>
        <v>0.5190000000000019</v>
      </c>
      <c r="H9" s="1072">
        <f t="shared" si="0"/>
        <v>1.3129999999999988</v>
      </c>
      <c r="I9" s="1072">
        <f t="shared" si="0"/>
        <v>0.28000000000000003</v>
      </c>
      <c r="J9" s="1081"/>
    </row>
    <row r="10" spans="1:10" ht="15.75" thickBot="1">
      <c r="A10" s="1083"/>
      <c r="B10" s="1093" t="s">
        <v>2450</v>
      </c>
      <c r="C10" s="1098">
        <f>ROUND(C9/C8,4)</f>
        <v>7.0300000000000001E-2</v>
      </c>
      <c r="D10" s="1087"/>
      <c r="E10" s="1084"/>
      <c r="F10" s="1084"/>
      <c r="G10" s="1084"/>
      <c r="H10" s="1084"/>
      <c r="I10" s="1084"/>
      <c r="J10" s="1085"/>
    </row>
    <row r="11" spans="1:10">
      <c r="A11" s="1094"/>
      <c r="B11" s="1095"/>
      <c r="C11" s="1096"/>
      <c r="D11" s="1097"/>
      <c r="E11" s="1096"/>
      <c r="F11" s="1096"/>
      <c r="G11" s="1096"/>
      <c r="H11" s="1096"/>
      <c r="I11" s="1096"/>
      <c r="J11" s="1096"/>
    </row>
    <row r="12" spans="1:10" ht="15.75" thickBot="1"/>
    <row r="13" spans="1:10" ht="17.25">
      <c r="A13" s="1074" t="s">
        <v>2435</v>
      </c>
      <c r="B13" s="1075" t="s">
        <v>2436</v>
      </c>
      <c r="C13" s="1077"/>
      <c r="D13" s="1078"/>
    </row>
    <row r="14" spans="1:10">
      <c r="A14" s="1079"/>
      <c r="B14" s="1080" t="s">
        <v>2433</v>
      </c>
      <c r="C14" s="1071">
        <f>'Cement Rec Detail'!I34</f>
        <v>5730</v>
      </c>
      <c r="D14" s="1088" t="s">
        <v>2437</v>
      </c>
    </row>
    <row r="15" spans="1:10">
      <c r="A15" s="1082"/>
      <c r="B15" s="1070" t="s">
        <v>2438</v>
      </c>
      <c r="C15" s="1072">
        <f>Consumption_Cement!F28</f>
        <v>4991</v>
      </c>
      <c r="D15" s="1088" t="s">
        <v>2437</v>
      </c>
    </row>
    <row r="16" spans="1:10">
      <c r="A16" s="1082"/>
      <c r="B16" s="1099" t="s">
        <v>2451</v>
      </c>
      <c r="C16" s="1072">
        <f>C14-C15</f>
        <v>739</v>
      </c>
      <c r="D16" s="1088" t="s">
        <v>2437</v>
      </c>
    </row>
    <row r="17" spans="1:4" ht="15.75" thickBot="1">
      <c r="A17" s="1083"/>
      <c r="B17" s="1093" t="s">
        <v>2450</v>
      </c>
      <c r="C17" s="1098">
        <f>ROUND(C16/C15,4)</f>
        <v>0.14810000000000001</v>
      </c>
      <c r="D17" s="1089"/>
    </row>
    <row r="19" spans="1:4" ht="15.75" thickBot="1"/>
    <row r="20" spans="1:4" ht="17.25">
      <c r="A20" s="1074" t="s">
        <v>2520</v>
      </c>
      <c r="B20" s="1075" t="s">
        <v>2511</v>
      </c>
      <c r="C20" s="1077"/>
      <c r="D20" s="1078"/>
    </row>
    <row r="21" spans="1:4">
      <c r="A21" s="1079"/>
      <c r="B21" s="1080" t="s">
        <v>2433</v>
      </c>
      <c r="C21" s="1071">
        <f>'Tiles_Rec Detail'!J19</f>
        <v>5381.28</v>
      </c>
      <c r="D21" s="1088" t="s">
        <v>350</v>
      </c>
    </row>
    <row r="22" spans="1:4">
      <c r="A22" s="1082"/>
      <c r="B22" s="1070" t="s">
        <v>2448</v>
      </c>
      <c r="C22" s="1072">
        <f>Abstract!G133+Abstract!G135</f>
        <v>4848.0599999999968</v>
      </c>
      <c r="D22" s="1088" t="s">
        <v>416</v>
      </c>
    </row>
    <row r="23" spans="1:4">
      <c r="A23" s="1082"/>
      <c r="B23" s="1099" t="s">
        <v>2451</v>
      </c>
      <c r="C23" s="1072">
        <f>C21-C22</f>
        <v>533.22000000000298</v>
      </c>
      <c r="D23" s="1088" t="s">
        <v>416</v>
      </c>
    </row>
    <row r="24" spans="1:4" ht="15.75" thickBot="1">
      <c r="A24" s="1083"/>
      <c r="B24" s="1093" t="s">
        <v>2450</v>
      </c>
      <c r="C24" s="1098">
        <f>ROUND(C23/C22,4)</f>
        <v>0.11</v>
      </c>
      <c r="D24" s="1089"/>
    </row>
    <row r="26" spans="1:4" ht="15.75" thickBot="1"/>
    <row r="27" spans="1:4" ht="17.25">
      <c r="A27" s="1074" t="s">
        <v>2510</v>
      </c>
      <c r="B27" s="1075" t="s">
        <v>2512</v>
      </c>
      <c r="C27" s="1077"/>
      <c r="D27" s="1078"/>
    </row>
    <row r="28" spans="1:4">
      <c r="A28" s="1079"/>
      <c r="B28" s="1080" t="s">
        <v>2433</v>
      </c>
      <c r="C28" s="1071">
        <f>'Tiles_Rec Detail'!J11</f>
        <v>1713.15</v>
      </c>
      <c r="D28" s="1088" t="s">
        <v>350</v>
      </c>
    </row>
    <row r="29" spans="1:4">
      <c r="A29" s="1082"/>
      <c r="B29" s="1070" t="s">
        <v>2448</v>
      </c>
      <c r="C29" s="1072">
        <f>Abstract!G134</f>
        <v>1340.8800000000008</v>
      </c>
      <c r="D29" s="1088" t="s">
        <v>416</v>
      </c>
    </row>
    <row r="30" spans="1:4">
      <c r="A30" s="1082"/>
      <c r="B30" s="1099" t="s">
        <v>2451</v>
      </c>
      <c r="C30" s="1072">
        <f>C28-C29</f>
        <v>372.2699999999993</v>
      </c>
      <c r="D30" s="1088" t="s">
        <v>416</v>
      </c>
    </row>
    <row r="31" spans="1:4" ht="15.75" thickBot="1">
      <c r="A31" s="1083"/>
      <c r="B31" s="1093" t="s">
        <v>2450</v>
      </c>
      <c r="C31" s="1098">
        <f>ROUND(C30/C29,4)</f>
        <v>0.27760000000000001</v>
      </c>
      <c r="D31" s="1089"/>
    </row>
  </sheetData>
  <mergeCells count="7">
    <mergeCell ref="H3:J3"/>
    <mergeCell ref="J4:J5"/>
    <mergeCell ref="D4:D5"/>
    <mergeCell ref="A4:A5"/>
    <mergeCell ref="B4:B5"/>
    <mergeCell ref="E4:I4"/>
    <mergeCell ref="C4:C5"/>
  </mergeCells>
  <pageMargins left="0.7" right="0.7" top="0.75" bottom="0.75" header="0.3" footer="0.3"/>
  <pageSetup paperSize="9"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28"/>
  <sheetViews>
    <sheetView view="pageBreakPreview" topLeftCell="A20" zoomScaleNormal="100" zoomScaleSheetLayoutView="100" workbookViewId="0">
      <selection activeCell="F28" sqref="F28"/>
    </sheetView>
  </sheetViews>
  <sheetFormatPr defaultRowHeight="15"/>
  <cols>
    <col min="1" max="1" width="13.7109375" style="721" bestFit="1" customWidth="1"/>
    <col min="2" max="2" width="59.5703125" style="721" customWidth="1"/>
    <col min="3" max="3" width="5.28515625" style="721" bestFit="1" customWidth="1"/>
    <col min="4" max="4" width="7.5703125" style="721" bestFit="1" customWidth="1"/>
    <col min="5" max="5" width="7.140625" style="721" bestFit="1" customWidth="1"/>
    <col min="6" max="7" width="10.85546875" style="721" customWidth="1"/>
    <col min="8" max="16384" width="9.140625" style="721"/>
  </cols>
  <sheetData>
    <row r="1" spans="1:7" ht="18">
      <c r="A1" s="1063" t="s">
        <v>1</v>
      </c>
      <c r="B1" s="1066"/>
      <c r="C1" s="1066"/>
      <c r="D1" s="1066"/>
      <c r="E1" s="1066"/>
      <c r="F1" s="1066"/>
      <c r="G1" s="1066"/>
    </row>
    <row r="2" spans="1:7" ht="15.75">
      <c r="A2" s="62" t="s">
        <v>340</v>
      </c>
      <c r="B2" s="1066"/>
      <c r="C2" s="1066"/>
      <c r="D2" s="1066"/>
      <c r="E2" s="1066"/>
      <c r="F2" s="1066"/>
      <c r="G2" s="1066"/>
    </row>
    <row r="3" spans="1:7" ht="30.75" customHeight="1">
      <c r="A3" s="1067" t="s">
        <v>2425</v>
      </c>
      <c r="B3" s="1068"/>
      <c r="C3" s="1068"/>
      <c r="D3" s="1068"/>
      <c r="E3" s="1068"/>
      <c r="F3" s="1346" t="s">
        <v>2554</v>
      </c>
      <c r="G3" s="1346"/>
    </row>
    <row r="4" spans="1:7">
      <c r="A4" s="1387" t="s">
        <v>2265</v>
      </c>
      <c r="B4" s="1387" t="s">
        <v>0</v>
      </c>
      <c r="C4" s="1387" t="s">
        <v>297</v>
      </c>
      <c r="D4" s="1387" t="s">
        <v>2266</v>
      </c>
      <c r="E4" s="1387" t="s">
        <v>2267</v>
      </c>
      <c r="F4" s="1385" t="s">
        <v>2422</v>
      </c>
      <c r="G4" s="1386"/>
    </row>
    <row r="5" spans="1:7">
      <c r="A5" s="1388"/>
      <c r="B5" s="1388"/>
      <c r="C5" s="1388"/>
      <c r="D5" s="1388"/>
      <c r="E5" s="1388"/>
      <c r="F5" s="722" t="s">
        <v>2423</v>
      </c>
      <c r="G5" s="722" t="s">
        <v>2424</v>
      </c>
    </row>
    <row r="6" spans="1:7" ht="24.95" customHeight="1">
      <c r="A6" s="1059" t="s">
        <v>334</v>
      </c>
      <c r="B6" s="1060" t="s">
        <v>2453</v>
      </c>
      <c r="C6" s="1061" t="s">
        <v>347</v>
      </c>
      <c r="D6" s="1057">
        <f>Abstract!G27-D7</f>
        <v>129.24000000000007</v>
      </c>
      <c r="E6" s="1111">
        <v>3.4</v>
      </c>
      <c r="F6" s="1056">
        <f>ROUND(D6*E6,2)</f>
        <v>439.42</v>
      </c>
      <c r="G6" s="1056"/>
    </row>
    <row r="7" spans="1:7" ht="24.95" customHeight="1">
      <c r="A7" s="1059" t="s">
        <v>334</v>
      </c>
      <c r="B7" s="1060" t="s">
        <v>2325</v>
      </c>
      <c r="C7" s="1061" t="s">
        <v>347</v>
      </c>
      <c r="D7" s="1057">
        <f>'RMC Rec Detail'!F81</f>
        <v>180</v>
      </c>
      <c r="E7" s="1112">
        <f>ROUND(G7/D7,3)</f>
        <v>1.8660000000000001</v>
      </c>
      <c r="F7" s="1052"/>
      <c r="G7" s="1056">
        <f>'RMC Rec Detail'!F86+'RMC Rec Detail'!F87</f>
        <v>335.8</v>
      </c>
    </row>
    <row r="8" spans="1:7" ht="24.95" customHeight="1">
      <c r="A8" s="1059">
        <v>4.0999999999999996</v>
      </c>
      <c r="B8" s="1060" t="s">
        <v>2553</v>
      </c>
      <c r="C8" s="1061" t="s">
        <v>347</v>
      </c>
      <c r="D8" s="1057">
        <f>Abstract!G31</f>
        <v>987</v>
      </c>
      <c r="E8" s="1112">
        <v>5.6</v>
      </c>
      <c r="F8" s="1056"/>
      <c r="G8" s="1056">
        <f>'RMC Rec Detail'!G86+'RMC Rec Detail'!G87</f>
        <v>5527.2</v>
      </c>
    </row>
    <row r="9" spans="1:7" ht="24.95" customHeight="1">
      <c r="A9" s="1059" t="s">
        <v>2326</v>
      </c>
      <c r="B9" s="1060" t="s">
        <v>2452</v>
      </c>
      <c r="C9" s="1061" t="s">
        <v>347</v>
      </c>
      <c r="D9" s="1057">
        <f>Abstract!G44+Abstract!G50</f>
        <v>34.86</v>
      </c>
      <c r="E9" s="1111">
        <v>7</v>
      </c>
      <c r="F9" s="1056">
        <f>ROUND(D9*E9,2)</f>
        <v>244.02</v>
      </c>
      <c r="G9" s="1056"/>
    </row>
    <row r="10" spans="1:7" ht="105">
      <c r="A10" s="723" t="s">
        <v>422</v>
      </c>
      <c r="B10" s="724" t="s">
        <v>423</v>
      </c>
      <c r="C10" s="1053" t="s">
        <v>347</v>
      </c>
      <c r="D10" s="1057">
        <f>Abstract!G80</f>
        <v>769.49999999999966</v>
      </c>
      <c r="E10" s="1113">
        <v>0.99199999999999999</v>
      </c>
      <c r="F10" s="1056">
        <f t="shared" ref="F10:F16" si="0">ROUND(D10*E10,2)</f>
        <v>763.34</v>
      </c>
      <c r="G10" s="1055"/>
    </row>
    <row r="11" spans="1:7" ht="90">
      <c r="A11" s="723" t="s">
        <v>430</v>
      </c>
      <c r="B11" s="724" t="s">
        <v>431</v>
      </c>
      <c r="C11" s="1053" t="s">
        <v>350</v>
      </c>
      <c r="D11" s="1062">
        <f>Abstract!G87</f>
        <v>22.150000000000002</v>
      </c>
      <c r="E11" s="1113">
        <v>0.114</v>
      </c>
      <c r="F11" s="1056">
        <f t="shared" si="0"/>
        <v>2.5299999999999998</v>
      </c>
      <c r="G11" s="1055"/>
    </row>
    <row r="12" spans="1:7" ht="60">
      <c r="A12" s="723" t="s">
        <v>441</v>
      </c>
      <c r="B12" s="724" t="s">
        <v>442</v>
      </c>
      <c r="C12" s="1053" t="s">
        <v>350</v>
      </c>
      <c r="D12" s="1062">
        <f>Abstract!G100</f>
        <v>216.56</v>
      </c>
      <c r="E12" s="1113">
        <v>0.27200000000000002</v>
      </c>
      <c r="F12" s="1056">
        <f t="shared" si="0"/>
        <v>58.9</v>
      </c>
      <c r="G12" s="1055"/>
    </row>
    <row r="13" spans="1:7" ht="75">
      <c r="A13" s="723" t="s">
        <v>446</v>
      </c>
      <c r="B13" s="724" t="s">
        <v>447</v>
      </c>
      <c r="C13" s="1053" t="s">
        <v>2268</v>
      </c>
      <c r="D13" s="1062">
        <f>Abstract!G107</f>
        <v>3983.8499999999963</v>
      </c>
      <c r="E13" s="1113">
        <v>0.1</v>
      </c>
      <c r="F13" s="1056">
        <f t="shared" si="0"/>
        <v>398.39</v>
      </c>
      <c r="G13" s="1055"/>
    </row>
    <row r="14" spans="1:7" ht="120">
      <c r="A14" s="723" t="s">
        <v>449</v>
      </c>
      <c r="B14" s="724" t="s">
        <v>450</v>
      </c>
      <c r="C14" s="1053" t="s">
        <v>350</v>
      </c>
      <c r="D14" s="1062">
        <f>Abstract!G111</f>
        <v>3784.659999999998</v>
      </c>
      <c r="E14" s="1113">
        <v>0.14000000000000001</v>
      </c>
      <c r="F14" s="1056">
        <f t="shared" si="0"/>
        <v>529.85</v>
      </c>
      <c r="G14" s="1055"/>
    </row>
    <row r="15" spans="1:7" ht="30">
      <c r="A15" s="723" t="s">
        <v>469</v>
      </c>
      <c r="B15" s="724" t="s">
        <v>470</v>
      </c>
      <c r="C15" s="1053" t="s">
        <v>2268</v>
      </c>
      <c r="D15" s="1062">
        <f>Abstract!G133</f>
        <v>4475.1899999999969</v>
      </c>
      <c r="E15" s="1113">
        <v>0.19</v>
      </c>
      <c r="F15" s="1056">
        <f t="shared" si="0"/>
        <v>850.29</v>
      </c>
      <c r="G15" s="1055"/>
    </row>
    <row r="16" spans="1:7" ht="30">
      <c r="A16" s="723" t="s">
        <v>471</v>
      </c>
      <c r="B16" s="724" t="s">
        <v>472</v>
      </c>
      <c r="C16" s="1053" t="s">
        <v>350</v>
      </c>
      <c r="D16" s="1062">
        <f>Abstract!G134</f>
        <v>1340.8800000000008</v>
      </c>
      <c r="E16" s="1113">
        <v>0.19</v>
      </c>
      <c r="F16" s="1056">
        <f t="shared" si="0"/>
        <v>254.77</v>
      </c>
      <c r="G16" s="1055"/>
    </row>
    <row r="17" spans="1:7" ht="30">
      <c r="A17" s="723" t="s">
        <v>473</v>
      </c>
      <c r="B17" s="724" t="s">
        <v>474</v>
      </c>
      <c r="C17" s="1053" t="s">
        <v>2268</v>
      </c>
      <c r="D17" s="1062">
        <f>Abstract!G135</f>
        <v>372.86999999999989</v>
      </c>
      <c r="E17" s="1113">
        <v>0.19</v>
      </c>
      <c r="F17" s="1056">
        <f t="shared" ref="F17:F26" si="1">ROUND(D17*E17,2)</f>
        <v>70.849999999999994</v>
      </c>
      <c r="G17" s="1055"/>
    </row>
    <row r="18" spans="1:7" ht="60">
      <c r="A18" s="725" t="s">
        <v>481</v>
      </c>
      <c r="B18" s="726" t="s">
        <v>482</v>
      </c>
      <c r="C18" s="1053" t="s">
        <v>350</v>
      </c>
      <c r="D18" s="1062">
        <f>Abstract!G140</f>
        <v>61.51</v>
      </c>
      <c r="E18" s="1113">
        <v>0.27</v>
      </c>
      <c r="F18" s="1056">
        <f t="shared" si="1"/>
        <v>16.61</v>
      </c>
      <c r="G18" s="1055"/>
    </row>
    <row r="19" spans="1:7" ht="90">
      <c r="A19" s="725" t="s">
        <v>487</v>
      </c>
      <c r="B19" s="726" t="s">
        <v>488</v>
      </c>
      <c r="C19" s="1053" t="s">
        <v>350</v>
      </c>
      <c r="D19" s="1062">
        <f>Abstract!G144</f>
        <v>336.40000000000015</v>
      </c>
      <c r="E19" s="1113">
        <v>0.42499999999999999</v>
      </c>
      <c r="F19" s="1056">
        <f t="shared" si="1"/>
        <v>142.97</v>
      </c>
      <c r="G19" s="1055"/>
    </row>
    <row r="20" spans="1:7" ht="75">
      <c r="A20" s="725" t="s">
        <v>489</v>
      </c>
      <c r="B20" s="726" t="s">
        <v>490</v>
      </c>
      <c r="C20" s="1053" t="s">
        <v>347</v>
      </c>
      <c r="D20" s="1062">
        <f>Abstract!G146</f>
        <v>14.839999999999996</v>
      </c>
      <c r="E20" s="1113">
        <v>6.4</v>
      </c>
      <c r="F20" s="1056">
        <f t="shared" si="1"/>
        <v>94.98</v>
      </c>
      <c r="G20" s="1055"/>
    </row>
    <row r="21" spans="1:7" ht="45">
      <c r="A21" s="723" t="s">
        <v>510</v>
      </c>
      <c r="B21" s="724" t="s">
        <v>511</v>
      </c>
      <c r="C21" s="1053" t="s">
        <v>350</v>
      </c>
      <c r="D21" s="1062">
        <f>Abstract!G164</f>
        <v>1495.5400000000002</v>
      </c>
      <c r="E21" s="1113">
        <v>0.13</v>
      </c>
      <c r="F21" s="1056">
        <f t="shared" si="1"/>
        <v>194.42</v>
      </c>
      <c r="G21" s="1055"/>
    </row>
    <row r="22" spans="1:7" ht="30">
      <c r="A22" s="723" t="s">
        <v>515</v>
      </c>
      <c r="B22" s="724" t="s">
        <v>516</v>
      </c>
      <c r="C22" s="1053" t="s">
        <v>350</v>
      </c>
      <c r="D22" s="1062">
        <f>Abstract!G171</f>
        <v>566.09</v>
      </c>
      <c r="E22" s="1113">
        <v>0.77400000000000002</v>
      </c>
      <c r="F22" s="1056">
        <f t="shared" si="1"/>
        <v>438.15</v>
      </c>
      <c r="G22" s="1055"/>
    </row>
    <row r="23" spans="1:7" ht="23.25" customHeight="1">
      <c r="A23" s="727" t="s">
        <v>2302</v>
      </c>
      <c r="B23" s="728" t="s">
        <v>1427</v>
      </c>
      <c r="C23" s="1053" t="s">
        <v>347</v>
      </c>
      <c r="D23" s="1062">
        <v>359.92</v>
      </c>
      <c r="E23" s="1113">
        <v>1.25</v>
      </c>
      <c r="F23" s="1056">
        <f t="shared" si="1"/>
        <v>449.9</v>
      </c>
      <c r="G23" s="1055"/>
    </row>
    <row r="24" spans="1:7" ht="23.25" customHeight="1">
      <c r="A24" s="727" t="s">
        <v>2303</v>
      </c>
      <c r="B24" s="728" t="s">
        <v>2327</v>
      </c>
      <c r="C24" s="1053" t="s">
        <v>350</v>
      </c>
      <c r="D24" s="1062">
        <f>Abstract!G280</f>
        <v>135.62</v>
      </c>
      <c r="E24" s="1113">
        <v>0.21299999999999999</v>
      </c>
      <c r="F24" s="1056">
        <f t="shared" si="1"/>
        <v>28.89</v>
      </c>
      <c r="G24" s="1055"/>
    </row>
    <row r="25" spans="1:7" ht="75">
      <c r="A25" s="729" t="s">
        <v>2269</v>
      </c>
      <c r="B25" s="728" t="s">
        <v>2270</v>
      </c>
      <c r="C25" s="1053" t="s">
        <v>350</v>
      </c>
      <c r="D25" s="1062">
        <f>Abstract!G310</f>
        <v>62.54999999999999</v>
      </c>
      <c r="E25" s="1113">
        <v>0.19</v>
      </c>
      <c r="F25" s="1056">
        <f t="shared" si="1"/>
        <v>11.88</v>
      </c>
      <c r="G25" s="1055"/>
    </row>
    <row r="26" spans="1:7">
      <c r="A26" s="729" t="s">
        <v>2314</v>
      </c>
      <c r="B26" s="728" t="s">
        <v>2328</v>
      </c>
      <c r="C26" s="1053" t="s">
        <v>350</v>
      </c>
      <c r="D26" s="1062">
        <f>Abstract!G318</f>
        <v>68.94</v>
      </c>
      <c r="E26" s="1113">
        <v>1.9E-2</v>
      </c>
      <c r="F26" s="1056">
        <f t="shared" si="1"/>
        <v>1.31</v>
      </c>
      <c r="G26" s="1055"/>
    </row>
    <row r="27" spans="1:7">
      <c r="A27" s="729"/>
      <c r="B27" s="728"/>
      <c r="C27" s="1057"/>
      <c r="D27" s="1055"/>
      <c r="E27" s="1054"/>
      <c r="F27" s="1054"/>
      <c r="G27" s="1055"/>
    </row>
    <row r="28" spans="1:7" s="1221" customFormat="1" ht="16.5">
      <c r="A28" s="1217"/>
      <c r="B28" s="1218" t="s">
        <v>2454</v>
      </c>
      <c r="C28" s="1219"/>
      <c r="D28" s="1219"/>
      <c r="E28" s="1220"/>
      <c r="F28" s="1222">
        <f>ROUND(SUM(F6:F27),0)</f>
        <v>4991</v>
      </c>
      <c r="G28" s="1222">
        <f>ROUND(SUM(G6:G27),0)</f>
        <v>5863</v>
      </c>
    </row>
  </sheetData>
  <mergeCells count="7">
    <mergeCell ref="F3:G3"/>
    <mergeCell ref="F4:G4"/>
    <mergeCell ref="A4:A5"/>
    <mergeCell ref="B4:B5"/>
    <mergeCell ref="C4:C5"/>
    <mergeCell ref="D4:D5"/>
    <mergeCell ref="E4:E5"/>
  </mergeCells>
  <conditionalFormatting sqref="A23:B27">
    <cfRule type="cellIs" dxfId="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fitToHeight="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D13"/>
  <sheetViews>
    <sheetView view="pageBreakPreview" zoomScaleSheetLayoutView="100" workbookViewId="0">
      <selection activeCell="E6" sqref="D6:E8"/>
    </sheetView>
  </sheetViews>
  <sheetFormatPr defaultRowHeight="15.75"/>
  <cols>
    <col min="1" max="1" width="4.85546875" style="263" customWidth="1"/>
    <col min="2" max="2" width="28.7109375" style="263" customWidth="1"/>
    <col min="3" max="3" width="5.85546875" style="263" bestFit="1" customWidth="1"/>
    <col min="4" max="4" width="10.5703125" style="263" customWidth="1"/>
    <col min="5" max="5" width="10.7109375" style="263" customWidth="1"/>
    <col min="6" max="6" width="10.42578125" style="263" customWidth="1"/>
    <col min="7" max="7" width="8.7109375" style="263" customWidth="1"/>
    <col min="8" max="8" width="10.42578125" style="263" customWidth="1"/>
    <col min="9" max="9" width="12.140625" style="263" customWidth="1"/>
    <col min="10" max="10" width="11.5703125" style="263" customWidth="1"/>
    <col min="11" max="11" width="15" style="263" customWidth="1"/>
    <col min="12" max="12" width="13.28515625" style="263" customWidth="1"/>
    <col min="13" max="13" width="13.85546875" style="263" customWidth="1"/>
    <col min="14" max="132" width="9.140625" style="263"/>
    <col min="133" max="133" width="8.42578125" style="263" customWidth="1"/>
    <col min="134" max="16384" width="9.140625" style="263"/>
  </cols>
  <sheetData>
    <row r="1" spans="1:134" s="65" customFormat="1" ht="20.25">
      <c r="A1" s="1361" t="s">
        <v>1</v>
      </c>
      <c r="B1" s="1361"/>
      <c r="C1" s="1361"/>
      <c r="D1" s="1361"/>
      <c r="E1" s="1361"/>
      <c r="F1" s="1361"/>
      <c r="G1" s="1361"/>
      <c r="H1" s="1361"/>
      <c r="I1" s="1361"/>
      <c r="J1" s="1361"/>
      <c r="K1" s="1361"/>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row>
    <row r="2" spans="1:134" s="219" customFormat="1">
      <c r="A2" s="62" t="s">
        <v>340</v>
      </c>
      <c r="B2" s="62"/>
      <c r="C2" s="62"/>
      <c r="D2" s="62"/>
      <c r="E2" s="62"/>
      <c r="F2" s="62"/>
      <c r="G2" s="62"/>
      <c r="H2" s="62"/>
      <c r="I2" s="62"/>
      <c r="J2" s="62"/>
      <c r="K2" s="62"/>
      <c r="L2" s="62"/>
      <c r="M2" s="62"/>
      <c r="N2" s="447"/>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1"/>
      <c r="BS2" s="461"/>
      <c r="BT2" s="461"/>
      <c r="BU2" s="461"/>
      <c r="BV2" s="461"/>
      <c r="BW2" s="461"/>
      <c r="BX2" s="461"/>
      <c r="BY2" s="461"/>
      <c r="BZ2" s="461"/>
      <c r="CA2" s="461"/>
      <c r="CB2" s="461"/>
      <c r="CC2" s="461"/>
      <c r="CD2" s="461"/>
      <c r="CE2" s="461"/>
      <c r="CF2" s="461"/>
      <c r="CG2" s="461"/>
      <c r="CH2" s="461"/>
      <c r="CI2" s="461"/>
      <c r="CJ2" s="461"/>
      <c r="CK2" s="461"/>
      <c r="CL2" s="461"/>
      <c r="CM2" s="461"/>
      <c r="CN2" s="461"/>
      <c r="CO2" s="461"/>
      <c r="CP2" s="461"/>
      <c r="CQ2" s="461"/>
      <c r="CR2" s="461"/>
      <c r="CS2" s="461"/>
      <c r="CT2" s="461"/>
      <c r="CU2" s="461"/>
      <c r="CV2" s="461"/>
      <c r="CW2" s="461"/>
      <c r="CX2" s="461"/>
      <c r="CY2" s="461"/>
      <c r="CZ2" s="461"/>
      <c r="DA2" s="461"/>
      <c r="DB2" s="461"/>
      <c r="DC2" s="461"/>
      <c r="DD2" s="461"/>
      <c r="DE2" s="461"/>
      <c r="DF2" s="461"/>
      <c r="DG2" s="461"/>
      <c r="DH2" s="461"/>
      <c r="DI2" s="461"/>
      <c r="DJ2" s="461"/>
      <c r="DK2" s="461"/>
      <c r="DL2" s="461"/>
      <c r="DM2" s="461"/>
      <c r="DN2" s="461"/>
      <c r="DO2" s="461"/>
      <c r="DP2" s="461"/>
      <c r="DQ2" s="461"/>
      <c r="DR2" s="461"/>
      <c r="DS2" s="461"/>
      <c r="DT2" s="461"/>
      <c r="DU2" s="461"/>
      <c r="DV2" s="461"/>
      <c r="DW2" s="461"/>
      <c r="DX2" s="461"/>
      <c r="DY2" s="461"/>
      <c r="DZ2" s="461"/>
      <c r="EA2" s="461"/>
      <c r="EB2" s="461"/>
      <c r="EC2" s="461"/>
      <c r="ED2" s="461"/>
    </row>
    <row r="3" spans="1:134" s="65" customFormat="1" ht="16.5" thickBot="1">
      <c r="A3" s="1362" t="s">
        <v>1441</v>
      </c>
      <c r="B3" s="1362"/>
      <c r="C3" s="1362"/>
      <c r="D3" s="1362"/>
      <c r="E3" s="1362"/>
      <c r="K3" s="62"/>
      <c r="L3" s="1363" t="s">
        <v>1440</v>
      </c>
      <c r="M3" s="1363"/>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row>
    <row r="4" spans="1:134" ht="27" customHeight="1">
      <c r="A4" s="1392" t="s">
        <v>1430</v>
      </c>
      <c r="B4" s="1393"/>
      <c r="C4" s="1345" t="s">
        <v>297</v>
      </c>
      <c r="D4" s="1337" t="s">
        <v>1042</v>
      </c>
      <c r="E4" s="1337" t="s">
        <v>1046</v>
      </c>
      <c r="F4" s="1337" t="s">
        <v>1043</v>
      </c>
      <c r="G4" s="1337" t="s">
        <v>1431</v>
      </c>
      <c r="H4" s="1343" t="s">
        <v>1432</v>
      </c>
      <c r="I4" s="1337" t="s">
        <v>1433</v>
      </c>
      <c r="J4" s="1337" t="s">
        <v>1434</v>
      </c>
      <c r="K4" s="1337" t="s">
        <v>1044</v>
      </c>
      <c r="L4" s="1337" t="s">
        <v>1045</v>
      </c>
      <c r="M4" s="1340" t="s">
        <v>1041</v>
      </c>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row>
    <row r="5" spans="1:134" ht="25.5" customHeight="1">
      <c r="A5" s="462" t="s">
        <v>1040</v>
      </c>
      <c r="B5" s="264" t="s">
        <v>0</v>
      </c>
      <c r="C5" s="1339"/>
      <c r="D5" s="1339"/>
      <c r="E5" s="1339"/>
      <c r="F5" s="1339"/>
      <c r="G5" s="1338"/>
      <c r="H5" s="1344"/>
      <c r="I5" s="1338"/>
      <c r="J5" s="1338"/>
      <c r="K5" s="1339"/>
      <c r="L5" s="1339"/>
      <c r="M5" s="1341"/>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row>
    <row r="6" spans="1:134" ht="31.5">
      <c r="A6" s="463">
        <v>1</v>
      </c>
      <c r="B6" s="464" t="s">
        <v>1435</v>
      </c>
      <c r="C6" s="265" t="s">
        <v>350</v>
      </c>
      <c r="D6" s="465">
        <v>4455.3100000000004</v>
      </c>
      <c r="E6" s="465">
        <f>Abstract!F133</f>
        <v>0</v>
      </c>
      <c r="F6" s="465">
        <f>D6+E6</f>
        <v>4455.3100000000004</v>
      </c>
      <c r="G6" s="465">
        <v>85</v>
      </c>
      <c r="H6" s="265">
        <v>66</v>
      </c>
      <c r="I6" s="465">
        <f>G6-H6</f>
        <v>19</v>
      </c>
      <c r="J6" s="265">
        <f>ROUND(I6*10.76,0)</f>
        <v>204</v>
      </c>
      <c r="K6" s="466">
        <f>ROUND(J6*D6,0)</f>
        <v>908883</v>
      </c>
      <c r="L6" s="466">
        <f>M6-K6</f>
        <v>0</v>
      </c>
      <c r="M6" s="467">
        <f>ROUND(F6*J6,0)</f>
        <v>908883</v>
      </c>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row>
    <row r="7" spans="1:134" ht="47.25">
      <c r="A7" s="463">
        <v>2</v>
      </c>
      <c r="B7" s="464" t="s">
        <v>1436</v>
      </c>
      <c r="C7" s="265" t="s">
        <v>350</v>
      </c>
      <c r="D7" s="465">
        <v>317.27999999999997</v>
      </c>
      <c r="E7" s="465">
        <f>Abstract!F135</f>
        <v>0</v>
      </c>
      <c r="F7" s="465">
        <f>D7+E7</f>
        <v>317.27999999999997</v>
      </c>
      <c r="G7" s="465">
        <v>85</v>
      </c>
      <c r="H7" s="265">
        <v>66</v>
      </c>
      <c r="I7" s="465">
        <f>G7-H7</f>
        <v>19</v>
      </c>
      <c r="J7" s="265">
        <f>ROUND(I7*10.76,0)</f>
        <v>204</v>
      </c>
      <c r="K7" s="466">
        <f>ROUND(J7*D7,0)</f>
        <v>64725</v>
      </c>
      <c r="L7" s="466">
        <f>M7-K7</f>
        <v>0</v>
      </c>
      <c r="M7" s="467">
        <f>ROUND(F7*J7,0)</f>
        <v>64725</v>
      </c>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row>
    <row r="8" spans="1:134" ht="36.75" customHeight="1">
      <c r="A8" s="463">
        <v>3</v>
      </c>
      <c r="B8" s="464" t="s">
        <v>1437</v>
      </c>
      <c r="C8" s="265" t="s">
        <v>350</v>
      </c>
      <c r="D8" s="465">
        <v>632.4</v>
      </c>
      <c r="E8" s="465">
        <f>Abstract!F134</f>
        <v>0</v>
      </c>
      <c r="F8" s="465">
        <f>D8+E8</f>
        <v>632.4</v>
      </c>
      <c r="G8" s="465">
        <v>50</v>
      </c>
      <c r="H8" s="265">
        <v>40</v>
      </c>
      <c r="I8" s="465">
        <f>G8-H8</f>
        <v>10</v>
      </c>
      <c r="J8" s="265">
        <f>ROUND(I8*10.76,0)</f>
        <v>108</v>
      </c>
      <c r="K8" s="466">
        <f>ROUND(J8*D8,0)</f>
        <v>68299</v>
      </c>
      <c r="L8" s="466">
        <f>M8-K8</f>
        <v>0</v>
      </c>
      <c r="M8" s="467">
        <f>ROUND(F8*J8,0)</f>
        <v>68299</v>
      </c>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row>
    <row r="9" spans="1:134">
      <c r="A9" s="463"/>
      <c r="B9" s="468"/>
      <c r="C9" s="265"/>
      <c r="D9" s="265"/>
      <c r="E9" s="265"/>
      <c r="F9" s="465"/>
      <c r="G9" s="465"/>
      <c r="H9" s="265"/>
      <c r="I9" s="265"/>
      <c r="J9" s="265"/>
      <c r="K9" s="466"/>
      <c r="L9" s="466"/>
      <c r="M9" s="467"/>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row>
    <row r="10" spans="1:134">
      <c r="A10" s="1389" t="s">
        <v>1438</v>
      </c>
      <c r="B10" s="1390"/>
      <c r="C10" s="1390"/>
      <c r="D10" s="1390"/>
      <c r="E10" s="1390"/>
      <c r="F10" s="1390"/>
      <c r="G10" s="1390"/>
      <c r="H10" s="1391"/>
      <c r="I10" s="469"/>
      <c r="J10" s="469"/>
      <c r="K10" s="470">
        <f>SUM(K6:K9)-1</f>
        <v>1041906</v>
      </c>
      <c r="L10" s="470">
        <f>SUM(L6:L9)</f>
        <v>0</v>
      </c>
      <c r="M10" s="471">
        <f>SUM(M6:M9)</f>
        <v>1041907</v>
      </c>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row>
    <row r="11" spans="1:134">
      <c r="A11" s="472"/>
      <c r="B11" s="472"/>
      <c r="C11" s="473"/>
      <c r="D11" s="473"/>
      <c r="E11" s="473"/>
      <c r="F11" s="473"/>
      <c r="G11" s="473"/>
      <c r="H11" s="473"/>
      <c r="I11" s="473"/>
      <c r="J11" s="473"/>
      <c r="K11" s="472"/>
      <c r="L11" s="472"/>
      <c r="M11" s="472"/>
      <c r="N11" s="47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row>
    <row r="12" spans="1:134">
      <c r="A12" s="472"/>
      <c r="B12" s="472"/>
      <c r="C12" s="473"/>
      <c r="D12" s="473"/>
      <c r="E12" s="473"/>
      <c r="F12" s="473"/>
      <c r="G12" s="473"/>
      <c r="H12" s="473"/>
      <c r="I12" s="473"/>
      <c r="J12" s="473"/>
      <c r="K12" s="472"/>
      <c r="L12" s="472"/>
      <c r="M12" s="472"/>
      <c r="N12" s="47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row>
    <row r="13" spans="1:13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row>
  </sheetData>
  <mergeCells count="16">
    <mergeCell ref="A10:H10"/>
    <mergeCell ref="A1:K1"/>
    <mergeCell ref="A3:E3"/>
    <mergeCell ref="L3:M3"/>
    <mergeCell ref="A4:B4"/>
    <mergeCell ref="C4:C5"/>
    <mergeCell ref="D4:D5"/>
    <mergeCell ref="E4:E5"/>
    <mergeCell ref="F4:F5"/>
    <mergeCell ref="G4:G5"/>
    <mergeCell ref="H4:H5"/>
    <mergeCell ref="I4:I5"/>
    <mergeCell ref="J4:J5"/>
    <mergeCell ref="K4:K5"/>
    <mergeCell ref="L4:L5"/>
    <mergeCell ref="M4:M5"/>
  </mergeCells>
  <pageMargins left="0.70866141732283505" right="0.70866141732283505" top="0.74803149606299202" bottom="0.74803149606299202" header="0.31496062992126" footer="0.31496062992126"/>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view="pageBreakPreview" zoomScaleSheetLayoutView="100" workbookViewId="0">
      <selection activeCell="H3" sqref="H3"/>
    </sheetView>
  </sheetViews>
  <sheetFormatPr defaultRowHeight="14.25"/>
  <cols>
    <col min="1" max="1" width="6" style="71" bestFit="1" customWidth="1"/>
    <col min="2" max="2" width="11.5703125" style="71" bestFit="1" customWidth="1"/>
    <col min="3" max="3" width="8.42578125" style="71" bestFit="1" customWidth="1"/>
    <col min="4" max="4" width="19.5703125" style="71" bestFit="1" customWidth="1"/>
    <col min="5" max="5" width="13" style="71" bestFit="1" customWidth="1"/>
    <col min="6" max="6" width="9.7109375" style="71" bestFit="1" customWidth="1"/>
    <col min="7" max="7" width="8.42578125" style="71" customWidth="1"/>
    <col min="8" max="8" width="9" style="71" bestFit="1" customWidth="1"/>
    <col min="9" max="9" width="6.7109375" style="71" bestFit="1" customWidth="1"/>
    <col min="10" max="10" width="11.5703125" style="71" bestFit="1" customWidth="1"/>
    <col min="11" max="11" width="10.140625" style="71" bestFit="1" customWidth="1"/>
    <col min="12" max="12" width="12.85546875" style="71" bestFit="1" customWidth="1"/>
    <col min="13" max="13" width="7.7109375" style="71" bestFit="1" customWidth="1"/>
    <col min="14" max="14" width="9.140625" style="71" bestFit="1" customWidth="1"/>
    <col min="15" max="16384" width="9.140625" style="71"/>
  </cols>
  <sheetData>
    <row r="1" spans="1:14" ht="19.5" customHeight="1">
      <c r="A1" s="1394" t="s">
        <v>596</v>
      </c>
      <c r="B1" s="1394"/>
      <c r="C1" s="1394"/>
      <c r="D1" s="1394"/>
      <c r="E1" s="1394"/>
      <c r="F1" s="1394"/>
      <c r="G1" s="1394"/>
      <c r="H1" s="1394"/>
      <c r="I1" s="1394"/>
      <c r="J1" s="1394"/>
      <c r="K1" s="1394"/>
      <c r="L1" s="1394"/>
      <c r="M1" s="1394"/>
      <c r="N1" s="1394"/>
    </row>
    <row r="2" spans="1:14" ht="19.5" customHeight="1">
      <c r="A2" s="1394" t="s">
        <v>2324</v>
      </c>
      <c r="B2" s="1394"/>
      <c r="C2" s="1394"/>
      <c r="D2" s="1394"/>
      <c r="E2" s="1394"/>
      <c r="F2" s="1394"/>
      <c r="G2" s="1394"/>
      <c r="H2" s="1394"/>
      <c r="I2" s="1394"/>
      <c r="J2" s="1394"/>
      <c r="K2" s="1394"/>
      <c r="L2" s="1394"/>
      <c r="M2" s="1394"/>
      <c r="N2" s="1394"/>
    </row>
    <row r="3" spans="1:14" ht="19.5" customHeight="1">
      <c r="A3" s="1224" t="s">
        <v>2494</v>
      </c>
      <c r="B3" s="1034"/>
      <c r="C3" s="1034"/>
      <c r="D3" s="1034"/>
      <c r="E3" s="1034"/>
      <c r="F3" s="1034"/>
      <c r="G3" s="1034"/>
      <c r="H3" s="1034"/>
      <c r="I3" s="1034"/>
      <c r="J3" s="1034"/>
      <c r="K3" s="1225"/>
      <c r="L3" s="1034" t="s">
        <v>2522</v>
      </c>
      <c r="M3" s="1034"/>
      <c r="N3" s="1034"/>
    </row>
    <row r="4" spans="1:14" ht="30.75" customHeight="1">
      <c r="A4" s="1395" t="s">
        <v>300</v>
      </c>
      <c r="B4" s="1397" t="s">
        <v>2501</v>
      </c>
      <c r="C4" s="1395" t="s">
        <v>2275</v>
      </c>
      <c r="D4" s="1395" t="s">
        <v>1739</v>
      </c>
      <c r="E4" s="1397" t="s">
        <v>2502</v>
      </c>
      <c r="F4" s="1397" t="s">
        <v>2503</v>
      </c>
      <c r="G4" s="1398" t="s">
        <v>1337</v>
      </c>
      <c r="H4" s="1399"/>
      <c r="I4" s="1399"/>
      <c r="J4" s="1400"/>
      <c r="K4" s="1397" t="s">
        <v>2499</v>
      </c>
      <c r="L4" s="1397" t="s">
        <v>1747</v>
      </c>
      <c r="M4" s="1397" t="s">
        <v>2500</v>
      </c>
      <c r="N4" s="1397" t="s">
        <v>2322</v>
      </c>
    </row>
    <row r="5" spans="1:14" ht="30.75" customHeight="1">
      <c r="A5" s="1396"/>
      <c r="B5" s="1396"/>
      <c r="C5" s="1396"/>
      <c r="D5" s="1396"/>
      <c r="E5" s="1396"/>
      <c r="F5" s="1396"/>
      <c r="G5" s="537" t="s">
        <v>1370</v>
      </c>
      <c r="H5" s="537" t="s">
        <v>2497</v>
      </c>
      <c r="I5" s="537" t="s">
        <v>2498</v>
      </c>
      <c r="J5" s="537" t="s">
        <v>2496</v>
      </c>
      <c r="K5" s="1396"/>
      <c r="L5" s="1396"/>
      <c r="M5" s="1396"/>
      <c r="N5" s="1396"/>
    </row>
    <row r="6" spans="1:14">
      <c r="A6" s="529">
        <f>A5+1</f>
        <v>1</v>
      </c>
      <c r="B6" s="1036">
        <v>42543</v>
      </c>
      <c r="C6" s="1035">
        <v>2709</v>
      </c>
      <c r="D6" s="1035" t="s">
        <v>2495</v>
      </c>
      <c r="E6" s="1035" t="s">
        <v>1400</v>
      </c>
      <c r="F6" s="1035" t="s">
        <v>2505</v>
      </c>
      <c r="G6" s="1035">
        <v>300</v>
      </c>
      <c r="H6" s="1035">
        <v>6</v>
      </c>
      <c r="I6" s="1035">
        <f>0.45*0.3</f>
        <v>0.13500000000000001</v>
      </c>
      <c r="J6" s="1124">
        <f>ROUND((G6*H6*I6)*10.764,2)</f>
        <v>2615.65</v>
      </c>
      <c r="K6" s="1124">
        <v>341.3</v>
      </c>
      <c r="L6" s="1125">
        <f>ROUND(K6*G6,0)</f>
        <v>102390</v>
      </c>
      <c r="M6" s="118">
        <f>L6/J6</f>
        <v>39.145145566111673</v>
      </c>
      <c r="N6" s="529"/>
    </row>
    <row r="7" spans="1:14">
      <c r="A7" s="529">
        <f>A6+1</f>
        <v>2</v>
      </c>
      <c r="B7" s="1036">
        <v>42548</v>
      </c>
      <c r="C7" s="1035">
        <v>2714</v>
      </c>
      <c r="D7" s="1035" t="s">
        <v>2495</v>
      </c>
      <c r="E7" s="1035" t="s">
        <v>1400</v>
      </c>
      <c r="F7" s="1035" t="s">
        <v>2505</v>
      </c>
      <c r="G7" s="1035">
        <v>1675</v>
      </c>
      <c r="H7" s="1035">
        <v>6</v>
      </c>
      <c r="I7" s="1035">
        <f>0.3*0.45</f>
        <v>0.13500000000000001</v>
      </c>
      <c r="J7" s="1124">
        <f>ROUND((G7*H7*I7)*10.764,2)</f>
        <v>14604.06</v>
      </c>
      <c r="K7" s="1124">
        <v>341.3</v>
      </c>
      <c r="L7" s="1125">
        <f>ROUND(K7*G7,0)</f>
        <v>571678</v>
      </c>
      <c r="M7" s="118">
        <f>L7/J7</f>
        <v>39.145141830422503</v>
      </c>
      <c r="N7" s="529"/>
    </row>
    <row r="8" spans="1:14">
      <c r="A8" s="529">
        <v>1</v>
      </c>
      <c r="B8" s="1036">
        <v>42579</v>
      </c>
      <c r="C8" s="1035">
        <v>2770</v>
      </c>
      <c r="D8" s="1035" t="s">
        <v>2495</v>
      </c>
      <c r="E8" s="1035" t="s">
        <v>1400</v>
      </c>
      <c r="F8" s="1035" t="s">
        <v>2505</v>
      </c>
      <c r="G8" s="1035">
        <v>100</v>
      </c>
      <c r="H8" s="1035">
        <v>6</v>
      </c>
      <c r="I8" s="1035">
        <f>0.3*0.45</f>
        <v>0.13500000000000001</v>
      </c>
      <c r="J8" s="1124">
        <f>ROUND((G8*H8*I8)*10.764,2)</f>
        <v>871.88</v>
      </c>
      <c r="K8" s="1100">
        <v>368.76</v>
      </c>
      <c r="L8" s="1125">
        <f>ROUND(K8*G8,0)</f>
        <v>36876</v>
      </c>
      <c r="M8" s="118">
        <f>L8/J8</f>
        <v>42.294811212552183</v>
      </c>
      <c r="N8" s="529"/>
    </row>
    <row r="9" spans="1:14">
      <c r="A9" s="529">
        <f>A8+1</f>
        <v>2</v>
      </c>
      <c r="B9" s="1036">
        <v>42584</v>
      </c>
      <c r="C9" s="1035">
        <v>2775</v>
      </c>
      <c r="D9" s="1035" t="s">
        <v>2495</v>
      </c>
      <c r="E9" s="1035" t="s">
        <v>1400</v>
      </c>
      <c r="F9" s="1035" t="s">
        <v>2505</v>
      </c>
      <c r="G9" s="1035">
        <v>40</v>
      </c>
      <c r="H9" s="1035">
        <v>6</v>
      </c>
      <c r="I9" s="1035">
        <f>0.3*0.45</f>
        <v>0.13500000000000001</v>
      </c>
      <c r="J9" s="1124">
        <f>ROUND((G9*H9*I9)*10.764,2)</f>
        <v>348.75</v>
      </c>
      <c r="K9" s="1100">
        <v>373.25</v>
      </c>
      <c r="L9" s="1125">
        <f>ROUND(K9*G9,0)</f>
        <v>14930</v>
      </c>
      <c r="M9" s="118">
        <f>L9/J9</f>
        <v>42.810035842293907</v>
      </c>
      <c r="N9" s="529"/>
    </row>
    <row r="10" spans="1:14">
      <c r="A10" s="529"/>
      <c r="B10" s="1036"/>
      <c r="C10" s="1035"/>
      <c r="D10" s="1130" t="s">
        <v>2506</v>
      </c>
      <c r="E10" s="1035"/>
      <c r="F10" s="1035"/>
      <c r="G10" s="1035"/>
      <c r="H10" s="1035"/>
      <c r="I10" s="1035"/>
      <c r="J10" s="1127">
        <f>SUM(J6:J9)</f>
        <v>18440.34</v>
      </c>
      <c r="K10" s="1131" t="s">
        <v>2507</v>
      </c>
      <c r="L10" s="1126">
        <f>SUM(L6:L9)</f>
        <v>725874</v>
      </c>
      <c r="M10" s="1128">
        <f>ROUND(L10/J10,2)</f>
        <v>39.36</v>
      </c>
      <c r="N10" s="529"/>
    </row>
    <row r="11" spans="1:14">
      <c r="A11" s="529"/>
      <c r="B11" s="1036"/>
      <c r="C11" s="1035"/>
      <c r="D11" s="1130"/>
      <c r="E11" s="1035"/>
      <c r="F11" s="1035"/>
      <c r="G11" s="1035"/>
      <c r="H11" s="1035"/>
      <c r="I11" s="1035"/>
      <c r="J11" s="1127">
        <f>ROUND(J10/10.764,2)</f>
        <v>1713.15</v>
      </c>
      <c r="K11" s="1132" t="s">
        <v>350</v>
      </c>
      <c r="L11" s="1126"/>
      <c r="M11" s="1128"/>
      <c r="N11" s="529"/>
    </row>
    <row r="12" spans="1:14">
      <c r="A12" s="529"/>
      <c r="B12" s="1036"/>
      <c r="C12" s="1035"/>
      <c r="D12" s="1035"/>
      <c r="E12" s="1035"/>
      <c r="F12" s="1035"/>
      <c r="G12" s="1035"/>
      <c r="H12" s="1035"/>
      <c r="I12" s="1035"/>
      <c r="J12" s="1124"/>
      <c r="K12" s="1100"/>
      <c r="L12" s="1125"/>
      <c r="M12" s="118"/>
      <c r="N12" s="529"/>
    </row>
    <row r="13" spans="1:14">
      <c r="A13" s="529">
        <f>A9+1</f>
        <v>3</v>
      </c>
      <c r="B13" s="1036">
        <v>42526</v>
      </c>
      <c r="C13" s="1035">
        <v>2686</v>
      </c>
      <c r="D13" s="1035" t="s">
        <v>2495</v>
      </c>
      <c r="E13" s="1035" t="s">
        <v>1401</v>
      </c>
      <c r="F13" s="1035" t="s">
        <v>2504</v>
      </c>
      <c r="G13" s="1035">
        <v>950</v>
      </c>
      <c r="H13" s="1035">
        <v>4</v>
      </c>
      <c r="I13" s="1035">
        <f>0.6*0.6</f>
        <v>0.36</v>
      </c>
      <c r="J13" s="1124">
        <f>ROUND((G13*H13*I13)*10.764,2)</f>
        <v>14725.15</v>
      </c>
      <c r="K13" s="1100">
        <v>1024.1279999999999</v>
      </c>
      <c r="L13" s="1125">
        <f>ROUND(K13*G13,0)</f>
        <v>972922</v>
      </c>
      <c r="M13" s="118">
        <f>L13/J13</f>
        <v>66.072128297504605</v>
      </c>
      <c r="N13" s="529"/>
    </row>
    <row r="14" spans="1:14">
      <c r="A14" s="529">
        <f>A13+1</f>
        <v>4</v>
      </c>
      <c r="B14" s="1036">
        <v>42528</v>
      </c>
      <c r="C14" s="1035">
        <v>2697</v>
      </c>
      <c r="D14" s="1035" t="s">
        <v>2495</v>
      </c>
      <c r="E14" s="1035" t="s">
        <v>1401</v>
      </c>
      <c r="F14" s="1035" t="s">
        <v>2504</v>
      </c>
      <c r="G14" s="1035">
        <f>155+635</f>
        <v>790</v>
      </c>
      <c r="H14" s="1035">
        <v>4</v>
      </c>
      <c r="I14" s="1035">
        <f>0.6*0.6</f>
        <v>0.36</v>
      </c>
      <c r="J14" s="1124">
        <f>ROUND((G14*H14*I14)*10.764,2)</f>
        <v>12245.13</v>
      </c>
      <c r="K14" s="1100">
        <v>1024.1279999999999</v>
      </c>
      <c r="L14" s="1125">
        <f>ROUND(K14*G14,0)</f>
        <v>809061</v>
      </c>
      <c r="M14" s="118">
        <f>L14/J14</f>
        <v>66.072062934407398</v>
      </c>
      <c r="N14" s="529"/>
    </row>
    <row r="15" spans="1:14">
      <c r="A15" s="529">
        <f>A14+1</f>
        <v>5</v>
      </c>
      <c r="B15" s="1036">
        <v>42528</v>
      </c>
      <c r="C15" s="1035">
        <v>2687</v>
      </c>
      <c r="D15" s="1035" t="s">
        <v>2495</v>
      </c>
      <c r="E15" s="1035" t="s">
        <v>1401</v>
      </c>
      <c r="F15" s="1035" t="s">
        <v>2504</v>
      </c>
      <c r="G15" s="1035">
        <v>825</v>
      </c>
      <c r="H15" s="1035">
        <v>4</v>
      </c>
      <c r="I15" s="1035">
        <f>0.6*0.6</f>
        <v>0.36</v>
      </c>
      <c r="J15" s="1124">
        <f>ROUND((G15*H15*I15)*10.764,2)</f>
        <v>12787.63</v>
      </c>
      <c r="K15" s="1100">
        <v>1024.1279999999999</v>
      </c>
      <c r="L15" s="1125">
        <f>ROUND(K15*G15,0)</f>
        <v>844906</v>
      </c>
      <c r="M15" s="118">
        <f>L15/J15</f>
        <v>66.072133773029094</v>
      </c>
      <c r="N15" s="529"/>
    </row>
    <row r="16" spans="1:14">
      <c r="A16" s="529">
        <f>A15+1</f>
        <v>6</v>
      </c>
      <c r="B16" s="1036">
        <v>42548</v>
      </c>
      <c r="C16" s="1035">
        <v>2722</v>
      </c>
      <c r="D16" s="1035" t="s">
        <v>2495</v>
      </c>
      <c r="E16" s="1035" t="s">
        <v>1401</v>
      </c>
      <c r="F16" s="1035" t="s">
        <v>2504</v>
      </c>
      <c r="G16" s="1035">
        <f>535+410</f>
        <v>945</v>
      </c>
      <c r="H16" s="1035">
        <v>4</v>
      </c>
      <c r="I16" s="1035">
        <f>0.6*0.6</f>
        <v>0.36</v>
      </c>
      <c r="J16" s="1124">
        <f>ROUND((G16*H16*I16)*10.764,2)</f>
        <v>14647.65</v>
      </c>
      <c r="K16" s="1100">
        <v>1024.1279999999999</v>
      </c>
      <c r="L16" s="1125">
        <f>ROUND(K16*G16,0)</f>
        <v>967801</v>
      </c>
      <c r="M16" s="118">
        <f>L16/J16</f>
        <v>66.072100302778949</v>
      </c>
      <c r="N16" s="529"/>
    </row>
    <row r="17" spans="1:14">
      <c r="A17" s="529">
        <f>A16+1</f>
        <v>7</v>
      </c>
      <c r="B17" s="1036">
        <v>42565</v>
      </c>
      <c r="C17" s="1035">
        <v>2752</v>
      </c>
      <c r="D17" s="1035" t="s">
        <v>2495</v>
      </c>
      <c r="E17" s="1035" t="s">
        <v>1401</v>
      </c>
      <c r="F17" s="1035" t="s">
        <v>2504</v>
      </c>
      <c r="G17" s="1035">
        <v>227</v>
      </c>
      <c r="H17" s="1035">
        <v>4</v>
      </c>
      <c r="I17" s="1035">
        <f>0.6*0.6</f>
        <v>0.36</v>
      </c>
      <c r="J17" s="1124">
        <f>ROUND((G17*H17*I17)*10.764,2)</f>
        <v>3518.54</v>
      </c>
      <c r="K17" s="1100">
        <v>1024.1279999999999</v>
      </c>
      <c r="L17" s="1125">
        <f>ROUND(K17*G17,0)</f>
        <v>232477</v>
      </c>
      <c r="M17" s="118">
        <f>L17/J17</f>
        <v>66.072007139324839</v>
      </c>
      <c r="N17" s="529"/>
    </row>
    <row r="18" spans="1:14">
      <c r="A18" s="529">
        <f t="shared" ref="A18" si="0">A17+1</f>
        <v>8</v>
      </c>
      <c r="B18" s="1036"/>
      <c r="C18" s="1039"/>
      <c r="D18" s="1130" t="s">
        <v>2506</v>
      </c>
      <c r="E18" s="1035"/>
      <c r="F18" s="1035"/>
      <c r="G18" s="1039"/>
      <c r="H18" s="1039"/>
      <c r="I18" s="1039"/>
      <c r="J18" s="1129">
        <f>SUM(J13:J17)</f>
        <v>57924.1</v>
      </c>
      <c r="K18" s="1100"/>
      <c r="L18" s="1126">
        <f>SUM(L13:L17)</f>
        <v>3827167</v>
      </c>
      <c r="M18" s="1128">
        <f>ROUND(L18/J18,2)</f>
        <v>66.069999999999993</v>
      </c>
      <c r="N18" s="529"/>
    </row>
    <row r="19" spans="1:14">
      <c r="A19" s="117"/>
      <c r="B19" s="117"/>
      <c r="C19" s="117"/>
      <c r="D19" s="538"/>
      <c r="E19" s="538"/>
      <c r="F19" s="538"/>
      <c r="G19" s="117"/>
      <c r="H19" s="117"/>
      <c r="I19" s="117"/>
      <c r="J19" s="1127">
        <f>ROUND(J18/10.764,2)</f>
        <v>5381.28</v>
      </c>
      <c r="K19" s="1132" t="s">
        <v>350</v>
      </c>
      <c r="L19" s="117"/>
      <c r="M19" s="117"/>
      <c r="N19" s="117"/>
    </row>
  </sheetData>
  <sortState ref="A7:S15">
    <sortCondition ref="E7"/>
  </sortState>
  <mergeCells count="13">
    <mergeCell ref="A1:N1"/>
    <mergeCell ref="A2:N2"/>
    <mergeCell ref="A4:A5"/>
    <mergeCell ref="C4:C5"/>
    <mergeCell ref="B4:B5"/>
    <mergeCell ref="D4:D5"/>
    <mergeCell ref="M4:M5"/>
    <mergeCell ref="N4:N5"/>
    <mergeCell ref="G4:J4"/>
    <mergeCell ref="E4:E5"/>
    <mergeCell ref="F4:F5"/>
    <mergeCell ref="K4:K5"/>
    <mergeCell ref="L4:L5"/>
  </mergeCells>
  <printOptions horizontalCentered="1"/>
  <pageMargins left="0.39370078740157483" right="0.39370078740157483" top="0.55118110236220474" bottom="0.35433070866141736" header="0.31496062992125984" footer="0.31496062992125984"/>
  <pageSetup paperSize="9"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8"/>
  <sheetViews>
    <sheetView view="pageBreakPreview" zoomScaleSheetLayoutView="100" workbookViewId="0">
      <pane ySplit="4" topLeftCell="A11" activePane="bottomLeft" state="frozen"/>
      <selection activeCell="H3" sqref="H3"/>
      <selection pane="bottomLeft" activeCell="L18" sqref="L18"/>
    </sheetView>
  </sheetViews>
  <sheetFormatPr defaultRowHeight="14.25"/>
  <cols>
    <col min="1" max="1" width="6" style="71" bestFit="1" customWidth="1"/>
    <col min="2" max="2" width="11.5703125" style="71" bestFit="1" customWidth="1"/>
    <col min="3" max="3" width="12.85546875" style="71" bestFit="1" customWidth="1"/>
    <col min="4" max="4" width="37.42578125" style="71" bestFit="1" customWidth="1"/>
    <col min="5" max="5" width="12.42578125" style="71" bestFit="1" customWidth="1"/>
    <col min="6" max="6" width="10.7109375" style="71" bestFit="1" customWidth="1"/>
    <col min="7" max="7" width="9.42578125" style="71" bestFit="1" customWidth="1"/>
    <col min="8" max="9" width="10.7109375" style="71" bestFit="1" customWidth="1"/>
    <col min="10" max="10" width="9.42578125" style="71" bestFit="1" customWidth="1"/>
    <col min="11" max="11" width="10.7109375" style="71" bestFit="1" customWidth="1"/>
    <col min="12" max="12" width="12.85546875" style="71" bestFit="1" customWidth="1"/>
    <col min="13" max="16384" width="9.140625" style="71"/>
  </cols>
  <sheetData>
    <row r="1" spans="1:12" ht="19.5" customHeight="1">
      <c r="A1" s="1051" t="s">
        <v>596</v>
      </c>
      <c r="B1" s="1051"/>
      <c r="C1" s="1051"/>
      <c r="D1" s="1051"/>
      <c r="E1" s="1051"/>
      <c r="F1" s="1051"/>
      <c r="G1" s="1051"/>
      <c r="H1" s="1051"/>
      <c r="I1" s="1051"/>
      <c r="J1" s="1051"/>
      <c r="K1" s="1051"/>
      <c r="L1" s="1051"/>
    </row>
    <row r="2" spans="1:12" ht="19.5" customHeight="1">
      <c r="A2" s="1051" t="s">
        <v>1735</v>
      </c>
      <c r="B2" s="1051"/>
      <c r="C2" s="1051"/>
      <c r="D2" s="1051"/>
      <c r="E2" s="1051"/>
      <c r="F2" s="1051"/>
      <c r="G2" s="1051"/>
      <c r="H2" s="1051"/>
      <c r="I2" s="1051"/>
      <c r="J2" s="1051"/>
      <c r="K2" s="1051"/>
      <c r="L2" s="1051"/>
    </row>
    <row r="3" spans="1:12" ht="27.75" customHeight="1">
      <c r="A3" s="1034" t="s">
        <v>2340</v>
      </c>
      <c r="B3" s="1034"/>
      <c r="C3" s="1034"/>
      <c r="D3" s="1034"/>
      <c r="E3" s="1034"/>
      <c r="F3" s="1034"/>
      <c r="G3" s="1034"/>
      <c r="H3" s="1034"/>
      <c r="I3" s="1034"/>
      <c r="J3" s="1034"/>
      <c r="K3" s="1346" t="s">
        <v>2554</v>
      </c>
      <c r="L3" s="1346"/>
    </row>
    <row r="4" spans="1:12" ht="30.75" customHeight="1">
      <c r="A4" s="526" t="s">
        <v>300</v>
      </c>
      <c r="B4" s="527" t="s">
        <v>1738</v>
      </c>
      <c r="C4" s="527" t="s">
        <v>1737</v>
      </c>
      <c r="D4" s="527" t="s">
        <v>1739</v>
      </c>
      <c r="E4" s="527" t="s">
        <v>1740</v>
      </c>
      <c r="F4" s="527" t="s">
        <v>1741</v>
      </c>
      <c r="G4" s="527" t="s">
        <v>1742</v>
      </c>
      <c r="H4" s="527" t="s">
        <v>1743</v>
      </c>
      <c r="I4" s="527" t="s">
        <v>1744</v>
      </c>
      <c r="J4" s="527" t="s">
        <v>1745</v>
      </c>
      <c r="K4" s="527" t="s">
        <v>1746</v>
      </c>
      <c r="L4" s="527" t="s">
        <v>1747</v>
      </c>
    </row>
    <row r="5" spans="1:12">
      <c r="A5" s="1035">
        <v>1</v>
      </c>
      <c r="B5" s="1036">
        <v>42429</v>
      </c>
      <c r="C5" s="1035" t="s">
        <v>1748</v>
      </c>
      <c r="D5" s="1035" t="s">
        <v>2331</v>
      </c>
      <c r="E5" s="1039" t="s">
        <v>2337</v>
      </c>
      <c r="F5" s="1102"/>
      <c r="G5" s="1102">
        <f>1.56+0.23</f>
        <v>1.79</v>
      </c>
      <c r="H5" s="1102">
        <f>3.304+5.266</f>
        <v>8.57</v>
      </c>
      <c r="I5" s="1102">
        <f>3.268+0.302</f>
        <v>3.57</v>
      </c>
      <c r="J5" s="1102">
        <f>0.75+0.32</f>
        <v>1.07</v>
      </c>
      <c r="K5" s="1102">
        <f t="shared" ref="K5:K14" si="0">SUM(F5:J5)</f>
        <v>15</v>
      </c>
      <c r="L5" s="1047">
        <v>520439</v>
      </c>
    </row>
    <row r="6" spans="1:12">
      <c r="A6" s="1035">
        <f>A5+1</f>
        <v>2</v>
      </c>
      <c r="B6" s="1036">
        <v>42429</v>
      </c>
      <c r="C6" s="1035" t="s">
        <v>1748</v>
      </c>
      <c r="D6" s="1035" t="s">
        <v>2331</v>
      </c>
      <c r="E6" s="1039" t="s">
        <v>2336</v>
      </c>
      <c r="F6" s="1102">
        <v>6.52</v>
      </c>
      <c r="G6" s="1102"/>
      <c r="H6" s="1102"/>
      <c r="I6" s="1102"/>
      <c r="J6" s="1102"/>
      <c r="K6" s="1102">
        <f t="shared" si="0"/>
        <v>6.52</v>
      </c>
      <c r="L6" s="1047">
        <v>235970</v>
      </c>
    </row>
    <row r="7" spans="1:12" s="1040" customFormat="1">
      <c r="A7" s="1035">
        <f t="shared" ref="A7:A15" si="1">A6+1</f>
        <v>3</v>
      </c>
      <c r="B7" s="1037">
        <v>42439</v>
      </c>
      <c r="C7" s="1038" t="s">
        <v>1749</v>
      </c>
      <c r="D7" s="1035" t="s">
        <v>2331</v>
      </c>
      <c r="E7" s="1039" t="s">
        <v>2338</v>
      </c>
      <c r="F7" s="1103"/>
      <c r="G7" s="1103"/>
      <c r="H7" s="1103"/>
      <c r="I7" s="1103">
        <f>4.386+3.444</f>
        <v>7.83</v>
      </c>
      <c r="J7" s="1103"/>
      <c r="K7" s="1102">
        <f t="shared" si="0"/>
        <v>7.83</v>
      </c>
      <c r="L7" s="1047">
        <v>284601</v>
      </c>
    </row>
    <row r="8" spans="1:12">
      <c r="A8" s="1035">
        <f t="shared" si="1"/>
        <v>4</v>
      </c>
      <c r="B8" s="1037">
        <v>42445</v>
      </c>
      <c r="C8" s="1038" t="s">
        <v>1750</v>
      </c>
      <c r="D8" s="1035" t="s">
        <v>2331</v>
      </c>
      <c r="E8" s="1041" t="s">
        <v>2333</v>
      </c>
      <c r="F8" s="1103"/>
      <c r="G8" s="1103"/>
      <c r="H8" s="1103">
        <v>10.35</v>
      </c>
      <c r="I8" s="1103"/>
      <c r="J8" s="1103"/>
      <c r="K8" s="1102">
        <f t="shared" si="0"/>
        <v>10.35</v>
      </c>
      <c r="L8" s="1047">
        <v>376197</v>
      </c>
    </row>
    <row r="9" spans="1:12">
      <c r="A9" s="1035">
        <f t="shared" si="1"/>
        <v>5</v>
      </c>
      <c r="B9" s="1037">
        <v>42445</v>
      </c>
      <c r="C9" s="1038" t="s">
        <v>1750</v>
      </c>
      <c r="D9" s="1035" t="s">
        <v>2331</v>
      </c>
      <c r="E9" s="1041" t="s">
        <v>2332</v>
      </c>
      <c r="F9" s="1103">
        <v>11.57</v>
      </c>
      <c r="G9" s="1103"/>
      <c r="H9" s="1103"/>
      <c r="I9" s="1103"/>
      <c r="J9" s="1103"/>
      <c r="K9" s="1102">
        <f t="shared" si="0"/>
        <v>11.57</v>
      </c>
      <c r="L9" s="1047">
        <v>438564</v>
      </c>
    </row>
    <row r="10" spans="1:12">
      <c r="A10" s="1035">
        <f t="shared" si="1"/>
        <v>6</v>
      </c>
      <c r="B10" s="1037">
        <v>42478</v>
      </c>
      <c r="C10" s="1038" t="s">
        <v>1751</v>
      </c>
      <c r="D10" s="1035" t="s">
        <v>2331</v>
      </c>
      <c r="E10" s="1041" t="s">
        <v>2330</v>
      </c>
      <c r="F10" s="1103"/>
      <c r="G10" s="1103"/>
      <c r="H10" s="1103">
        <v>2.5</v>
      </c>
      <c r="I10" s="1103"/>
      <c r="J10" s="1103"/>
      <c r="K10" s="1102">
        <f t="shared" si="0"/>
        <v>2.5</v>
      </c>
      <c r="L10" s="1047">
        <v>93465</v>
      </c>
    </row>
    <row r="11" spans="1:12">
      <c r="A11" s="1035">
        <f t="shared" si="1"/>
        <v>7</v>
      </c>
      <c r="B11" s="1037">
        <v>42503</v>
      </c>
      <c r="C11" s="1038" t="s">
        <v>1752</v>
      </c>
      <c r="D11" s="1035" t="s">
        <v>2331</v>
      </c>
      <c r="E11" s="1041" t="s">
        <v>2334</v>
      </c>
      <c r="F11" s="1103">
        <v>11.98</v>
      </c>
      <c r="G11" s="1103"/>
      <c r="H11" s="1103"/>
      <c r="I11" s="1103"/>
      <c r="J11" s="1103"/>
      <c r="K11" s="1102">
        <f t="shared" si="0"/>
        <v>11.98</v>
      </c>
      <c r="L11" s="1047">
        <v>466546</v>
      </c>
    </row>
    <row r="12" spans="1:12">
      <c r="A12" s="1035">
        <f t="shared" si="1"/>
        <v>8</v>
      </c>
      <c r="B12" s="1037">
        <v>42530</v>
      </c>
      <c r="C12" s="1038" t="s">
        <v>1753</v>
      </c>
      <c r="D12" s="1035" t="s">
        <v>2331</v>
      </c>
      <c r="E12" s="1041" t="s">
        <v>2335</v>
      </c>
      <c r="F12" s="1103">
        <v>1.35</v>
      </c>
      <c r="G12" s="1103"/>
      <c r="H12" s="1103"/>
      <c r="I12" s="1103"/>
      <c r="J12" s="1103"/>
      <c r="K12" s="1102">
        <f t="shared" si="0"/>
        <v>1.35</v>
      </c>
      <c r="L12" s="1047">
        <v>50892</v>
      </c>
    </row>
    <row r="13" spans="1:12">
      <c r="A13" s="1035">
        <f t="shared" si="1"/>
        <v>9</v>
      </c>
      <c r="B13" s="1037">
        <v>42530</v>
      </c>
      <c r="C13" s="1038" t="s">
        <v>1753</v>
      </c>
      <c r="D13" s="1035" t="s">
        <v>2331</v>
      </c>
      <c r="E13" s="1041" t="s">
        <v>2329</v>
      </c>
      <c r="F13" s="1103"/>
      <c r="G13" s="1103">
        <v>1.05</v>
      </c>
      <c r="H13" s="1103">
        <v>2.4500000000000002</v>
      </c>
      <c r="I13" s="1103"/>
      <c r="J13" s="1103"/>
      <c r="K13" s="1102">
        <f t="shared" si="0"/>
        <v>3.5</v>
      </c>
      <c r="L13" s="1047">
        <v>127035</v>
      </c>
    </row>
    <row r="14" spans="1:12">
      <c r="A14" s="1035">
        <f t="shared" si="1"/>
        <v>10</v>
      </c>
      <c r="B14" s="1037">
        <v>42641</v>
      </c>
      <c r="C14" s="1038" t="s">
        <v>2455</v>
      </c>
      <c r="D14" s="1035" t="s">
        <v>2456</v>
      </c>
      <c r="E14" s="1041" t="s">
        <v>2458</v>
      </c>
      <c r="F14" s="1103">
        <v>0.10290000000000001</v>
      </c>
      <c r="G14" s="1103">
        <v>0.19869999999999999</v>
      </c>
      <c r="H14" s="1103"/>
      <c r="I14" s="1103">
        <v>0.19</v>
      </c>
      <c r="J14" s="1103"/>
      <c r="K14" s="1102">
        <f t="shared" si="0"/>
        <v>0.49159999999999998</v>
      </c>
      <c r="L14" s="1047">
        <v>19680</v>
      </c>
    </row>
    <row r="15" spans="1:12">
      <c r="A15" s="1035">
        <f t="shared" si="1"/>
        <v>11</v>
      </c>
      <c r="B15" s="1037">
        <v>42649</v>
      </c>
      <c r="C15" s="1038" t="s">
        <v>2455</v>
      </c>
      <c r="D15" s="1035" t="s">
        <v>2456</v>
      </c>
      <c r="E15" s="1041" t="s">
        <v>2457</v>
      </c>
      <c r="F15" s="1103"/>
      <c r="G15" s="1103">
        <v>1.405E-2</v>
      </c>
      <c r="H15" s="1103"/>
      <c r="I15" s="1103"/>
      <c r="J15" s="1103"/>
      <c r="K15" s="1102">
        <f t="shared" ref="K15" si="2">SUM(F15:J15)</f>
        <v>1.405E-2</v>
      </c>
      <c r="L15" s="1047">
        <v>618</v>
      </c>
    </row>
    <row r="16" spans="1:12">
      <c r="A16" s="531"/>
      <c r="B16" s="531"/>
      <c r="C16" s="531"/>
      <c r="D16" s="531"/>
      <c r="E16" s="531"/>
      <c r="F16" s="1104"/>
      <c r="G16" s="1104"/>
      <c r="H16" s="1104"/>
      <c r="I16" s="1104"/>
      <c r="J16" s="1104"/>
      <c r="K16" s="1104"/>
      <c r="L16" s="1049"/>
    </row>
    <row r="17" spans="1:12" ht="15" customHeight="1">
      <c r="A17" s="1402" t="s">
        <v>7</v>
      </c>
      <c r="B17" s="1402"/>
      <c r="C17" s="1402"/>
      <c r="D17" s="1402"/>
      <c r="E17" s="1402"/>
      <c r="F17" s="1105">
        <f>SUM(F5:F16)</f>
        <v>31.522900000000003</v>
      </c>
      <c r="G17" s="1105">
        <f t="shared" ref="G17:J17" si="3">SUM(G5:G16)</f>
        <v>3.0527500000000001</v>
      </c>
      <c r="H17" s="1105">
        <f t="shared" si="3"/>
        <v>23.87</v>
      </c>
      <c r="I17" s="1105">
        <f t="shared" si="3"/>
        <v>11.59</v>
      </c>
      <c r="J17" s="1105">
        <f t="shared" si="3"/>
        <v>1.07</v>
      </c>
      <c r="K17" s="1105">
        <f>SUM(K5:K16)</f>
        <v>71.105649999999997</v>
      </c>
      <c r="L17" s="1048">
        <f>SUM(L5:L16)</f>
        <v>2614007</v>
      </c>
    </row>
    <row r="18" spans="1:12">
      <c r="D18" s="71" t="s">
        <v>2421</v>
      </c>
      <c r="F18" s="1101"/>
      <c r="G18" s="1101"/>
      <c r="H18" s="1101"/>
      <c r="I18" s="1401" t="s">
        <v>2339</v>
      </c>
      <c r="J18" s="1401"/>
      <c r="K18" s="1401"/>
      <c r="L18" s="1050">
        <f>ROUND(L17/K17,0)</f>
        <v>36762</v>
      </c>
    </row>
  </sheetData>
  <mergeCells count="3">
    <mergeCell ref="I18:K18"/>
    <mergeCell ref="A17:E17"/>
    <mergeCell ref="K3:L3"/>
  </mergeCells>
  <printOptions horizontalCentered="1"/>
  <pageMargins left="0.19685039370078741" right="0.19685039370078741" top="0.98425196850393704" bottom="0.78740157480314965" header="0.19685039370078741" footer="0.19685039370078741"/>
  <pageSetup paperSize="9" scale="93"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5"/>
  <sheetViews>
    <sheetView tabSelected="1" view="pageBreakPreview" zoomScaleSheetLayoutView="100" workbookViewId="0">
      <pane ySplit="4" topLeftCell="A5" activePane="bottomLeft" state="frozen"/>
      <selection activeCell="H3" sqref="H3"/>
      <selection pane="bottomLeft" activeCell="N11" sqref="N11"/>
    </sheetView>
  </sheetViews>
  <sheetFormatPr defaultRowHeight="14.25"/>
  <cols>
    <col min="1" max="1" width="6" style="71" bestFit="1" customWidth="1"/>
    <col min="2" max="2" width="13" style="71" bestFit="1" customWidth="1"/>
    <col min="3" max="3" width="14.42578125" style="71" bestFit="1" customWidth="1"/>
    <col min="4" max="4" width="13.7109375" style="71" bestFit="1" customWidth="1"/>
    <col min="5" max="5" width="11.5703125" style="71" bestFit="1" customWidth="1"/>
    <col min="6" max="6" width="27" style="71" bestFit="1" customWidth="1"/>
    <col min="7" max="7" width="8.85546875" style="71" bestFit="1" customWidth="1"/>
    <col min="8" max="8" width="8.42578125" style="71" bestFit="1" customWidth="1"/>
    <col min="9" max="9" width="6.5703125" style="71" bestFit="1" customWidth="1"/>
    <col min="10" max="10" width="10.28515625" style="71" bestFit="1" customWidth="1"/>
    <col min="11" max="11" width="9.42578125" style="71" bestFit="1" customWidth="1"/>
    <col min="12" max="12" width="25.5703125" style="71" bestFit="1" customWidth="1"/>
    <col min="13" max="16384" width="9.140625" style="71"/>
  </cols>
  <sheetData>
    <row r="1" spans="1:12" ht="19.5" customHeight="1">
      <c r="A1" s="1394" t="s">
        <v>596</v>
      </c>
      <c r="B1" s="1394"/>
      <c r="C1" s="1394"/>
      <c r="D1" s="1394"/>
      <c r="E1" s="1394"/>
      <c r="F1" s="1394"/>
      <c r="G1" s="1394"/>
      <c r="H1" s="1394"/>
      <c r="I1" s="1394"/>
      <c r="J1" s="1394"/>
      <c r="K1" s="1394"/>
      <c r="L1" s="1394"/>
    </row>
    <row r="2" spans="1:12" ht="19.5" customHeight="1">
      <c r="A2" s="1394" t="s">
        <v>2324</v>
      </c>
      <c r="B2" s="1394"/>
      <c r="C2" s="1394"/>
      <c r="D2" s="1394"/>
      <c r="E2" s="1394"/>
      <c r="F2" s="1394"/>
      <c r="G2" s="1394"/>
      <c r="H2" s="1394"/>
      <c r="I2" s="1394"/>
      <c r="J2" s="1394"/>
      <c r="K2" s="1394"/>
      <c r="L2" s="1394"/>
    </row>
    <row r="3" spans="1:12" ht="19.5" customHeight="1">
      <c r="A3" s="1224" t="s">
        <v>2343</v>
      </c>
      <c r="B3" s="1034"/>
      <c r="C3" s="1034"/>
      <c r="D3" s="1034"/>
      <c r="E3" s="1034"/>
      <c r="F3" s="1034"/>
      <c r="G3" s="1034"/>
      <c r="H3" s="1034"/>
      <c r="I3" s="1034"/>
      <c r="J3" s="1034"/>
      <c r="K3" s="1346" t="s">
        <v>2554</v>
      </c>
      <c r="L3" s="1346"/>
    </row>
    <row r="4" spans="1:12" ht="30.75" customHeight="1">
      <c r="A4" s="741" t="s">
        <v>300</v>
      </c>
      <c r="B4" s="741" t="s">
        <v>1759</v>
      </c>
      <c r="C4" s="537" t="s">
        <v>1736</v>
      </c>
      <c r="D4" s="537" t="s">
        <v>1737</v>
      </c>
      <c r="E4" s="537" t="s">
        <v>1738</v>
      </c>
      <c r="F4" s="537" t="s">
        <v>1739</v>
      </c>
      <c r="G4" s="537" t="s">
        <v>2323</v>
      </c>
      <c r="H4" s="537" t="s">
        <v>2275</v>
      </c>
      <c r="I4" s="537" t="s">
        <v>1746</v>
      </c>
      <c r="J4" s="537" t="s">
        <v>1747</v>
      </c>
      <c r="K4" s="537" t="s">
        <v>2321</v>
      </c>
      <c r="L4" s="741" t="s">
        <v>2322</v>
      </c>
    </row>
    <row r="5" spans="1:12">
      <c r="A5" s="529">
        <v>1</v>
      </c>
      <c r="B5" s="119">
        <v>42450</v>
      </c>
      <c r="C5" s="529"/>
      <c r="D5" s="529"/>
      <c r="E5" s="1036">
        <v>42450</v>
      </c>
      <c r="F5" s="1035" t="s">
        <v>2274</v>
      </c>
      <c r="G5" s="1035"/>
      <c r="H5" s="1035">
        <v>108</v>
      </c>
      <c r="I5" s="1100">
        <v>50</v>
      </c>
      <c r="J5" s="117">
        <v>14000</v>
      </c>
      <c r="K5" s="118">
        <f t="shared" ref="K5:K33" si="0">+J5/I5</f>
        <v>280</v>
      </c>
      <c r="L5" s="529"/>
    </row>
    <row r="6" spans="1:12">
      <c r="A6" s="529">
        <f t="shared" ref="A6:A16" si="1">A5+1</f>
        <v>2</v>
      </c>
      <c r="B6" s="119">
        <v>42458</v>
      </c>
      <c r="C6" s="529"/>
      <c r="D6" s="529"/>
      <c r="E6" s="1036">
        <v>42467</v>
      </c>
      <c r="F6" s="1035" t="s">
        <v>2274</v>
      </c>
      <c r="G6" s="1035"/>
      <c r="H6" s="1035">
        <v>119</v>
      </c>
      <c r="I6" s="1100">
        <v>50</v>
      </c>
      <c r="J6" s="117">
        <v>14500</v>
      </c>
      <c r="K6" s="118">
        <f>+J6/I6</f>
        <v>290</v>
      </c>
      <c r="L6" s="529"/>
    </row>
    <row r="7" spans="1:12">
      <c r="A7" s="529">
        <f t="shared" si="1"/>
        <v>3</v>
      </c>
      <c r="B7" s="119">
        <v>42460</v>
      </c>
      <c r="C7" s="529"/>
      <c r="D7" s="529" t="s">
        <v>2476</v>
      </c>
      <c r="E7" s="1036">
        <v>42460</v>
      </c>
      <c r="F7" s="1035" t="s">
        <v>2274</v>
      </c>
      <c r="G7" s="1035"/>
      <c r="H7" s="1035">
        <v>114</v>
      </c>
      <c r="I7" s="1100">
        <v>260</v>
      </c>
      <c r="J7" s="117">
        <v>72800</v>
      </c>
      <c r="K7" s="118">
        <f t="shared" si="0"/>
        <v>280</v>
      </c>
      <c r="L7" s="529"/>
    </row>
    <row r="8" spans="1:12">
      <c r="A8" s="529">
        <f t="shared" si="1"/>
        <v>4</v>
      </c>
      <c r="B8" s="119">
        <v>42464</v>
      </c>
      <c r="C8" s="529"/>
      <c r="D8" s="529"/>
      <c r="E8" s="1036">
        <v>42467</v>
      </c>
      <c r="F8" s="1035" t="s">
        <v>2274</v>
      </c>
      <c r="G8" s="1035"/>
      <c r="H8" s="1035">
        <v>119</v>
      </c>
      <c r="I8" s="1100">
        <v>50</v>
      </c>
      <c r="J8" s="117">
        <v>14500</v>
      </c>
      <c r="K8" s="118">
        <f>+J8/I8</f>
        <v>290</v>
      </c>
      <c r="L8" s="529"/>
    </row>
    <row r="9" spans="1:12">
      <c r="A9" s="529">
        <f t="shared" si="1"/>
        <v>5</v>
      </c>
      <c r="B9" s="119">
        <v>42467</v>
      </c>
      <c r="C9" s="529"/>
      <c r="D9" s="529"/>
      <c r="E9" s="1036">
        <v>42467</v>
      </c>
      <c r="F9" s="1035" t="s">
        <v>2274</v>
      </c>
      <c r="G9" s="1035"/>
      <c r="H9" s="1035">
        <v>118</v>
      </c>
      <c r="I9" s="1100">
        <v>70</v>
      </c>
      <c r="J9" s="117">
        <v>20300</v>
      </c>
      <c r="K9" s="118">
        <f t="shared" si="0"/>
        <v>290</v>
      </c>
      <c r="L9" s="529"/>
    </row>
    <row r="10" spans="1:12">
      <c r="A10" s="529">
        <f t="shared" si="1"/>
        <v>6</v>
      </c>
      <c r="B10" s="119">
        <v>42485</v>
      </c>
      <c r="C10" s="529"/>
      <c r="D10" s="529" t="s">
        <v>2419</v>
      </c>
      <c r="E10" s="1036">
        <v>42485</v>
      </c>
      <c r="F10" s="1035" t="s">
        <v>2273</v>
      </c>
      <c r="G10" s="1035"/>
      <c r="H10" s="1035">
        <v>1284</v>
      </c>
      <c r="I10" s="1100">
        <v>250</v>
      </c>
      <c r="J10" s="117">
        <v>78750</v>
      </c>
      <c r="K10" s="118">
        <f t="shared" si="0"/>
        <v>315</v>
      </c>
      <c r="L10" s="529"/>
    </row>
    <row r="11" spans="1:12">
      <c r="A11" s="529">
        <f t="shared" si="1"/>
        <v>7</v>
      </c>
      <c r="B11" s="119">
        <v>42522</v>
      </c>
      <c r="C11" s="529" t="s">
        <v>2489</v>
      </c>
      <c r="D11" s="529" t="s">
        <v>2476</v>
      </c>
      <c r="E11" s="1036">
        <v>42522</v>
      </c>
      <c r="F11" s="1035" t="s">
        <v>2274</v>
      </c>
      <c r="G11" s="1035"/>
      <c r="H11" s="1035">
        <v>130</v>
      </c>
      <c r="I11" s="1100">
        <v>70</v>
      </c>
      <c r="J11" s="117">
        <v>21000</v>
      </c>
      <c r="K11" s="118">
        <f t="shared" si="0"/>
        <v>300</v>
      </c>
      <c r="L11" s="529"/>
    </row>
    <row r="12" spans="1:12">
      <c r="A12" s="529">
        <f t="shared" si="1"/>
        <v>8</v>
      </c>
      <c r="B12" s="119">
        <v>42523</v>
      </c>
      <c r="C12" s="529"/>
      <c r="D12" s="529"/>
      <c r="E12" s="1036">
        <v>42523</v>
      </c>
      <c r="F12" s="1035" t="s">
        <v>2274</v>
      </c>
      <c r="G12" s="1035"/>
      <c r="H12" s="1035">
        <v>132</v>
      </c>
      <c r="I12" s="1100">
        <v>50</v>
      </c>
      <c r="J12" s="117">
        <v>15000</v>
      </c>
      <c r="K12" s="118">
        <f t="shared" si="0"/>
        <v>300</v>
      </c>
      <c r="L12" s="529"/>
    </row>
    <row r="13" spans="1:12">
      <c r="A13" s="529">
        <f t="shared" si="1"/>
        <v>9</v>
      </c>
      <c r="B13" s="119">
        <v>42523</v>
      </c>
      <c r="C13" s="529" t="s">
        <v>2483</v>
      </c>
      <c r="D13" s="529" t="s">
        <v>2276</v>
      </c>
      <c r="E13" s="1036">
        <v>42528</v>
      </c>
      <c r="F13" s="1035" t="s">
        <v>2273</v>
      </c>
      <c r="G13" s="1035">
        <v>163</v>
      </c>
      <c r="H13" s="1035">
        <v>1313</v>
      </c>
      <c r="I13" s="1100">
        <v>300</v>
      </c>
      <c r="J13" s="117">
        <v>88500</v>
      </c>
      <c r="K13" s="118">
        <f t="shared" si="0"/>
        <v>295</v>
      </c>
      <c r="L13" s="529"/>
    </row>
    <row r="14" spans="1:12">
      <c r="A14" s="529">
        <f t="shared" si="1"/>
        <v>10</v>
      </c>
      <c r="B14" s="119">
        <v>42531</v>
      </c>
      <c r="C14" s="529" t="s">
        <v>2484</v>
      </c>
      <c r="D14" s="529" t="s">
        <v>2276</v>
      </c>
      <c r="E14" s="1036">
        <v>42531</v>
      </c>
      <c r="F14" s="1035" t="s">
        <v>2273</v>
      </c>
      <c r="G14" s="1035">
        <v>189</v>
      </c>
      <c r="H14" s="1035">
        <v>1315</v>
      </c>
      <c r="I14" s="1100">
        <v>300</v>
      </c>
      <c r="J14" s="117">
        <v>94500</v>
      </c>
      <c r="K14" s="118">
        <f t="shared" si="0"/>
        <v>315</v>
      </c>
      <c r="L14" s="529"/>
    </row>
    <row r="15" spans="1:12">
      <c r="A15" s="529">
        <f t="shared" si="1"/>
        <v>11</v>
      </c>
      <c r="B15" s="119">
        <v>42535</v>
      </c>
      <c r="C15" s="529" t="s">
        <v>2486</v>
      </c>
      <c r="D15" s="529" t="s">
        <v>2478</v>
      </c>
      <c r="E15" s="1036">
        <v>42535</v>
      </c>
      <c r="F15" s="1035" t="s">
        <v>2274</v>
      </c>
      <c r="G15" s="1035"/>
      <c r="H15" s="1039">
        <v>152</v>
      </c>
      <c r="I15" s="1100">
        <v>50</v>
      </c>
      <c r="J15" s="117">
        <v>15500</v>
      </c>
      <c r="K15" s="118">
        <f t="shared" si="0"/>
        <v>310</v>
      </c>
      <c r="L15" s="529"/>
    </row>
    <row r="16" spans="1:12">
      <c r="A16" s="529">
        <f t="shared" si="1"/>
        <v>12</v>
      </c>
      <c r="B16" s="119">
        <v>42535</v>
      </c>
      <c r="C16" s="529" t="s">
        <v>2485</v>
      </c>
      <c r="D16" s="529" t="s">
        <v>2276</v>
      </c>
      <c r="E16" s="1036">
        <v>42534</v>
      </c>
      <c r="F16" s="1035" t="s">
        <v>2273</v>
      </c>
      <c r="G16" s="1035">
        <v>195</v>
      </c>
      <c r="H16" s="1035">
        <v>1319</v>
      </c>
      <c r="I16" s="1100">
        <v>900</v>
      </c>
      <c r="J16" s="117">
        <v>283500</v>
      </c>
      <c r="K16" s="118">
        <f t="shared" si="0"/>
        <v>315</v>
      </c>
      <c r="L16" s="529"/>
    </row>
    <row r="17" spans="1:12">
      <c r="A17" s="529">
        <f t="shared" ref="A17:A33" si="2">A16+1</f>
        <v>13</v>
      </c>
      <c r="B17" s="119">
        <v>42537</v>
      </c>
      <c r="C17" s="529"/>
      <c r="D17" s="529"/>
      <c r="E17" s="1036">
        <v>42537</v>
      </c>
      <c r="F17" s="1035" t="s">
        <v>2274</v>
      </c>
      <c r="G17" s="1035"/>
      <c r="H17" s="1035">
        <v>157</v>
      </c>
      <c r="I17" s="1100">
        <v>50</v>
      </c>
      <c r="J17" s="117">
        <f>310*I17</f>
        <v>15500</v>
      </c>
      <c r="K17" s="118">
        <f t="shared" si="0"/>
        <v>310</v>
      </c>
      <c r="L17" s="529"/>
    </row>
    <row r="18" spans="1:12">
      <c r="A18" s="529">
        <f t="shared" si="2"/>
        <v>14</v>
      </c>
      <c r="B18" s="119">
        <v>42545</v>
      </c>
      <c r="C18" s="529" t="s">
        <v>2480</v>
      </c>
      <c r="D18" s="529" t="s">
        <v>2481</v>
      </c>
      <c r="E18" s="1036">
        <v>42545</v>
      </c>
      <c r="F18" s="1035" t="s">
        <v>2482</v>
      </c>
      <c r="G18" s="1035"/>
      <c r="H18" s="1035">
        <v>3828</v>
      </c>
      <c r="I18" s="1100">
        <v>50</v>
      </c>
      <c r="J18" s="117">
        <v>16500</v>
      </c>
      <c r="K18" s="118">
        <f t="shared" si="0"/>
        <v>330</v>
      </c>
      <c r="L18" s="529"/>
    </row>
    <row r="19" spans="1:12">
      <c r="A19" s="529">
        <f t="shared" si="2"/>
        <v>15</v>
      </c>
      <c r="B19" s="119">
        <v>42545</v>
      </c>
      <c r="C19" s="529" t="s">
        <v>2487</v>
      </c>
      <c r="D19" s="529" t="s">
        <v>2478</v>
      </c>
      <c r="E19" s="1036">
        <v>42544</v>
      </c>
      <c r="F19" s="1035" t="s">
        <v>2274</v>
      </c>
      <c r="G19" s="1035"/>
      <c r="H19" s="1035">
        <v>176</v>
      </c>
      <c r="I19" s="1100">
        <v>100</v>
      </c>
      <c r="J19" s="117">
        <v>31000</v>
      </c>
      <c r="K19" s="118">
        <f t="shared" si="0"/>
        <v>310</v>
      </c>
      <c r="L19" s="529"/>
    </row>
    <row r="20" spans="1:12">
      <c r="A20" s="529">
        <f t="shared" si="2"/>
        <v>16</v>
      </c>
      <c r="B20" s="119">
        <v>42545</v>
      </c>
      <c r="C20" s="529" t="s">
        <v>2488</v>
      </c>
      <c r="D20" s="529" t="s">
        <v>2481</v>
      </c>
      <c r="E20" s="1036">
        <v>42545</v>
      </c>
      <c r="F20" s="1035" t="s">
        <v>2482</v>
      </c>
      <c r="G20" s="1035"/>
      <c r="H20" s="1035">
        <v>3829</v>
      </c>
      <c r="I20" s="1100">
        <v>50</v>
      </c>
      <c r="J20" s="117">
        <v>16500</v>
      </c>
      <c r="K20" s="118">
        <f t="shared" si="0"/>
        <v>330</v>
      </c>
      <c r="L20" s="529"/>
    </row>
    <row r="21" spans="1:12">
      <c r="A21" s="529">
        <f t="shared" si="2"/>
        <v>17</v>
      </c>
      <c r="B21" s="119">
        <v>42545</v>
      </c>
      <c r="C21" s="529" t="s">
        <v>2466</v>
      </c>
      <c r="D21" s="529" t="s">
        <v>2420</v>
      </c>
      <c r="E21" s="1036">
        <v>42547</v>
      </c>
      <c r="F21" s="1035" t="s">
        <v>2273</v>
      </c>
      <c r="G21" s="1035">
        <v>752</v>
      </c>
      <c r="H21" s="1035">
        <v>1325</v>
      </c>
      <c r="I21" s="1100">
        <v>800</v>
      </c>
      <c r="J21" s="117">
        <v>252000</v>
      </c>
      <c r="K21" s="118">
        <f t="shared" si="0"/>
        <v>315</v>
      </c>
      <c r="L21" s="529"/>
    </row>
    <row r="22" spans="1:12">
      <c r="A22" s="529">
        <f t="shared" si="2"/>
        <v>18</v>
      </c>
      <c r="B22" s="119">
        <v>42546</v>
      </c>
      <c r="C22" s="529" t="s">
        <v>2474</v>
      </c>
      <c r="D22" s="529" t="s">
        <v>2475</v>
      </c>
      <c r="E22" s="1036">
        <v>42545</v>
      </c>
      <c r="F22" s="1035" t="s">
        <v>2445</v>
      </c>
      <c r="G22" s="1035"/>
      <c r="H22" s="1035">
        <v>141</v>
      </c>
      <c r="I22" s="1100">
        <v>100</v>
      </c>
      <c r="J22" s="117">
        <f>33500</f>
        <v>33500</v>
      </c>
      <c r="K22" s="118">
        <f>+J22/I22</f>
        <v>335</v>
      </c>
      <c r="L22" s="529"/>
    </row>
    <row r="23" spans="1:12">
      <c r="A23" s="529">
        <f t="shared" si="2"/>
        <v>19</v>
      </c>
      <c r="B23" s="119">
        <v>42546</v>
      </c>
      <c r="C23" s="529" t="s">
        <v>2465</v>
      </c>
      <c r="D23" s="529">
        <v>8455</v>
      </c>
      <c r="E23" s="1036">
        <v>42549</v>
      </c>
      <c r="F23" s="1035" t="s">
        <v>2273</v>
      </c>
      <c r="G23" s="1035">
        <v>757</v>
      </c>
      <c r="H23" s="1035">
        <v>1326</v>
      </c>
      <c r="I23" s="1100">
        <v>800</v>
      </c>
      <c r="J23" s="117">
        <v>252000</v>
      </c>
      <c r="K23" s="118">
        <f t="shared" si="0"/>
        <v>315</v>
      </c>
      <c r="L23" s="529"/>
    </row>
    <row r="24" spans="1:12">
      <c r="A24" s="529">
        <f t="shared" si="2"/>
        <v>20</v>
      </c>
      <c r="B24" s="119">
        <v>42547</v>
      </c>
      <c r="C24" s="529"/>
      <c r="D24" s="529"/>
      <c r="E24" s="1036">
        <v>42547</v>
      </c>
      <c r="F24" s="1035" t="s">
        <v>2274</v>
      </c>
      <c r="G24" s="1035"/>
      <c r="H24" s="1035">
        <v>185</v>
      </c>
      <c r="I24" s="1100">
        <v>100</v>
      </c>
      <c r="J24" s="117">
        <v>31000</v>
      </c>
      <c r="K24" s="118">
        <f>+J24/I24</f>
        <v>310</v>
      </c>
      <c r="L24" s="529"/>
    </row>
    <row r="25" spans="1:12">
      <c r="A25" s="529">
        <f t="shared" si="2"/>
        <v>21</v>
      </c>
      <c r="B25" s="119">
        <v>42555</v>
      </c>
      <c r="C25" s="529" t="s">
        <v>2472</v>
      </c>
      <c r="D25" s="529" t="s">
        <v>2473</v>
      </c>
      <c r="E25" s="1036">
        <v>42556</v>
      </c>
      <c r="F25" s="1035" t="s">
        <v>2273</v>
      </c>
      <c r="G25" s="1035">
        <v>207</v>
      </c>
      <c r="H25" s="1035">
        <v>1330</v>
      </c>
      <c r="I25" s="1100">
        <v>700</v>
      </c>
      <c r="J25" s="117">
        <v>220500</v>
      </c>
      <c r="K25" s="118">
        <f t="shared" si="0"/>
        <v>315</v>
      </c>
      <c r="L25" s="529"/>
    </row>
    <row r="26" spans="1:12">
      <c r="A26" s="529">
        <f t="shared" si="2"/>
        <v>22</v>
      </c>
      <c r="B26" s="119">
        <v>42565</v>
      </c>
      <c r="C26" s="529" t="s">
        <v>2491</v>
      </c>
      <c r="D26" s="529" t="s">
        <v>2277</v>
      </c>
      <c r="E26" s="1036"/>
      <c r="F26" s="1035" t="s">
        <v>2273</v>
      </c>
      <c r="G26" s="1035">
        <v>221</v>
      </c>
      <c r="H26" s="1035"/>
      <c r="I26" s="1100"/>
      <c r="J26" s="117"/>
      <c r="K26" s="118"/>
      <c r="L26" s="529" t="s">
        <v>2492</v>
      </c>
    </row>
    <row r="27" spans="1:12">
      <c r="A27" s="529">
        <f t="shared" si="2"/>
        <v>23</v>
      </c>
      <c r="B27" s="119">
        <v>42573</v>
      </c>
      <c r="C27" s="529" t="s">
        <v>2470</v>
      </c>
      <c r="D27" s="529"/>
      <c r="E27" s="1036">
        <v>42573</v>
      </c>
      <c r="F27" s="1035" t="s">
        <v>2274</v>
      </c>
      <c r="G27" s="1035"/>
      <c r="H27" s="1039" t="s">
        <v>2471</v>
      </c>
      <c r="I27" s="1100">
        <v>50</v>
      </c>
      <c r="J27" s="117">
        <v>15500</v>
      </c>
      <c r="K27" s="118">
        <f t="shared" si="0"/>
        <v>310</v>
      </c>
      <c r="L27" s="529"/>
    </row>
    <row r="28" spans="1:12">
      <c r="A28" s="529">
        <f t="shared" si="2"/>
        <v>24</v>
      </c>
      <c r="B28" s="119">
        <v>42575</v>
      </c>
      <c r="C28" s="529" t="s">
        <v>2467</v>
      </c>
      <c r="D28" s="529" t="s">
        <v>2419</v>
      </c>
      <c r="E28" s="1036">
        <v>42577</v>
      </c>
      <c r="F28" s="1035" t="s">
        <v>2273</v>
      </c>
      <c r="G28" s="1035">
        <v>792</v>
      </c>
      <c r="H28" s="1035">
        <v>1335</v>
      </c>
      <c r="I28" s="1100">
        <v>200</v>
      </c>
      <c r="J28" s="117">
        <v>63000</v>
      </c>
      <c r="K28" s="118">
        <f t="shared" si="0"/>
        <v>315</v>
      </c>
      <c r="L28" s="529"/>
    </row>
    <row r="29" spans="1:12">
      <c r="A29" s="529">
        <f t="shared" si="2"/>
        <v>25</v>
      </c>
      <c r="B29" s="119">
        <v>42575</v>
      </c>
      <c r="C29" s="529" t="s">
        <v>2468</v>
      </c>
      <c r="D29" s="529"/>
      <c r="E29" s="1036">
        <v>42575</v>
      </c>
      <c r="F29" s="1035" t="s">
        <v>2274</v>
      </c>
      <c r="G29" s="1035"/>
      <c r="H29" s="1039" t="s">
        <v>2469</v>
      </c>
      <c r="I29" s="1100">
        <v>50</v>
      </c>
      <c r="J29" s="117">
        <v>15500</v>
      </c>
      <c r="K29" s="118">
        <f t="shared" si="0"/>
        <v>310</v>
      </c>
      <c r="L29" s="529"/>
    </row>
    <row r="30" spans="1:12">
      <c r="A30" s="529">
        <f t="shared" si="2"/>
        <v>26</v>
      </c>
      <c r="B30" s="119">
        <v>42580</v>
      </c>
      <c r="C30" s="529"/>
      <c r="D30" s="529"/>
      <c r="E30" s="530">
        <v>42580</v>
      </c>
      <c r="F30" s="529" t="s">
        <v>2274</v>
      </c>
      <c r="G30" s="529"/>
      <c r="H30" s="1092" t="s">
        <v>2444</v>
      </c>
      <c r="I30" s="120">
        <v>100</v>
      </c>
      <c r="J30" s="117">
        <v>31000</v>
      </c>
      <c r="K30" s="118">
        <f t="shared" si="0"/>
        <v>310</v>
      </c>
      <c r="L30" s="529"/>
    </row>
    <row r="31" spans="1:12">
      <c r="A31" s="529">
        <f t="shared" si="2"/>
        <v>27</v>
      </c>
      <c r="B31" s="119">
        <v>42589</v>
      </c>
      <c r="C31" s="529" t="s">
        <v>2477</v>
      </c>
      <c r="D31" s="529" t="s">
        <v>2478</v>
      </c>
      <c r="E31" s="530">
        <v>42586</v>
      </c>
      <c r="F31" s="529" t="s">
        <v>2274</v>
      </c>
      <c r="G31" s="529"/>
      <c r="H31" s="1092" t="s">
        <v>2479</v>
      </c>
      <c r="I31" s="120">
        <v>20</v>
      </c>
      <c r="J31" s="117">
        <v>6200</v>
      </c>
      <c r="K31" s="118">
        <f t="shared" si="0"/>
        <v>310</v>
      </c>
      <c r="L31" s="529"/>
    </row>
    <row r="32" spans="1:12">
      <c r="A32" s="529">
        <f t="shared" si="2"/>
        <v>28</v>
      </c>
      <c r="B32" s="119">
        <v>42602</v>
      </c>
      <c r="C32" s="529"/>
      <c r="D32" s="529"/>
      <c r="E32" s="119">
        <v>42602</v>
      </c>
      <c r="F32" s="529" t="s">
        <v>2274</v>
      </c>
      <c r="G32" s="529"/>
      <c r="H32" s="1092" t="s">
        <v>2446</v>
      </c>
      <c r="I32" s="120">
        <v>80</v>
      </c>
      <c r="J32" s="117">
        <f>I32*320</f>
        <v>25600</v>
      </c>
      <c r="K32" s="118">
        <f t="shared" si="0"/>
        <v>320</v>
      </c>
      <c r="L32" s="529"/>
    </row>
    <row r="33" spans="1:12">
      <c r="A33" s="529">
        <f t="shared" si="2"/>
        <v>29</v>
      </c>
      <c r="B33" s="119">
        <v>42640</v>
      </c>
      <c r="C33" s="529"/>
      <c r="D33" s="529"/>
      <c r="E33" s="119">
        <v>42640</v>
      </c>
      <c r="F33" s="529" t="s">
        <v>2274</v>
      </c>
      <c r="G33" s="529"/>
      <c r="H33" s="1092" t="s">
        <v>2447</v>
      </c>
      <c r="I33" s="120">
        <v>80</v>
      </c>
      <c r="J33" s="117">
        <f>I33*320</f>
        <v>25600</v>
      </c>
      <c r="K33" s="118">
        <f t="shared" si="0"/>
        <v>320</v>
      </c>
      <c r="L33" s="529"/>
    </row>
    <row r="34" spans="1:12">
      <c r="A34" s="538"/>
      <c r="B34" s="538"/>
      <c r="C34" s="538" t="s">
        <v>2490</v>
      </c>
      <c r="D34" s="538"/>
      <c r="E34" s="538"/>
      <c r="F34" s="538"/>
      <c r="G34" s="538"/>
      <c r="H34" s="538"/>
      <c r="I34" s="538">
        <f>SUM(I5:I33)</f>
        <v>5730</v>
      </c>
      <c r="J34" s="538">
        <f>SUM(J5:J33)</f>
        <v>1783750</v>
      </c>
      <c r="K34" s="121">
        <f>ROUND(J34/I34,2)</f>
        <v>311.3</v>
      </c>
      <c r="L34" s="538"/>
    </row>
    <row r="35" spans="1:12">
      <c r="F35" s="1032"/>
      <c r="K35" s="121"/>
    </row>
  </sheetData>
  <mergeCells count="3">
    <mergeCell ref="A1:L1"/>
    <mergeCell ref="A2:L2"/>
    <mergeCell ref="K3:L3"/>
  </mergeCells>
  <printOptions horizontalCentered="1"/>
  <pageMargins left="0.39370078740157483" right="0.39370078740157483" top="0.55118110236220474" bottom="0.35433070866141736" header="0.31496062992125984" footer="0.31496062992125984"/>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topLeftCell="E1" workbookViewId="0">
      <selection activeCell="S29" sqref="S29:X31"/>
    </sheetView>
  </sheetViews>
  <sheetFormatPr defaultRowHeight="14.25"/>
  <cols>
    <col min="1" max="2" width="9.140625" style="96" hidden="1" customWidth="1"/>
    <col min="3" max="3" width="5.5703125" style="96" bestFit="1" customWidth="1"/>
    <col min="4" max="4" width="28.28515625" style="96" bestFit="1" customWidth="1"/>
    <col min="5" max="5" width="12.140625" style="96" customWidth="1"/>
    <col min="6" max="6" width="9.28515625" style="96" bestFit="1" customWidth="1"/>
    <col min="7" max="7" width="7.140625" style="96" bestFit="1" customWidth="1"/>
    <col min="8" max="8" width="7.7109375" style="96" bestFit="1" customWidth="1"/>
    <col min="9" max="9" width="8.28515625" style="96" bestFit="1" customWidth="1"/>
    <col min="10" max="10" width="7" style="96" bestFit="1" customWidth="1"/>
    <col min="11" max="11" width="7.42578125" style="96" bestFit="1" customWidth="1"/>
    <col min="12" max="12" width="7" style="96" bestFit="1" customWidth="1"/>
    <col min="13" max="14" width="6" style="96" bestFit="1" customWidth="1"/>
    <col min="15" max="15" width="9.42578125" style="96" bestFit="1" customWidth="1"/>
    <col min="16" max="16" width="7" style="96" bestFit="1" customWidth="1"/>
    <col min="17" max="17" width="9.140625" style="96"/>
    <col min="18" max="18" width="9.42578125" style="96" bestFit="1" customWidth="1"/>
    <col min="19" max="19" width="10.85546875" style="96" bestFit="1" customWidth="1"/>
    <col min="20" max="22" width="11" style="96" bestFit="1" customWidth="1"/>
    <col min="23" max="23" width="9.7109375" style="96" bestFit="1" customWidth="1"/>
    <col min="24" max="24" width="8" style="96" bestFit="1" customWidth="1"/>
    <col min="25" max="16384" width="9.140625" style="96"/>
  </cols>
  <sheetData>
    <row r="1" spans="3:24" s="95" customFormat="1" ht="18">
      <c r="C1" s="1411" t="s">
        <v>972</v>
      </c>
      <c r="D1" s="1412"/>
      <c r="E1" s="1412"/>
      <c r="F1" s="1412"/>
      <c r="G1" s="1412"/>
      <c r="H1" s="1412"/>
      <c r="I1" s="1412"/>
      <c r="J1" s="1412"/>
      <c r="K1" s="1412"/>
      <c r="L1" s="1412"/>
      <c r="M1" s="1412"/>
      <c r="N1" s="1412"/>
      <c r="O1" s="1412"/>
      <c r="P1" s="1412"/>
      <c r="Q1" s="1412"/>
      <c r="R1" s="1412"/>
      <c r="S1" s="1412"/>
      <c r="T1" s="1412"/>
      <c r="U1" s="1412"/>
      <c r="V1" s="1412"/>
      <c r="W1" s="1412"/>
      <c r="X1" s="1413"/>
    </row>
    <row r="2" spans="3:24">
      <c r="C2" s="1414" t="s">
        <v>302</v>
      </c>
      <c r="D2" s="1416" t="s">
        <v>0</v>
      </c>
      <c r="E2" s="1417" t="s">
        <v>609</v>
      </c>
      <c r="F2" s="1418" t="s">
        <v>595</v>
      </c>
      <c r="G2" s="1414" t="s">
        <v>610</v>
      </c>
      <c r="H2" s="1414"/>
      <c r="I2" s="1414"/>
      <c r="J2" s="1417" t="s">
        <v>611</v>
      </c>
      <c r="K2" s="1417"/>
      <c r="L2" s="1417"/>
      <c r="M2" s="1417"/>
      <c r="N2" s="1417"/>
      <c r="O2" s="1417" t="s">
        <v>612</v>
      </c>
      <c r="P2" s="1419" t="s">
        <v>613</v>
      </c>
      <c r="Q2" s="1420"/>
      <c r="R2" s="1417" t="s">
        <v>614</v>
      </c>
      <c r="S2" s="1404" t="s">
        <v>615</v>
      </c>
      <c r="T2" s="1404"/>
      <c r="U2" s="1404"/>
      <c r="V2" s="1404"/>
      <c r="W2" s="1404"/>
      <c r="X2" s="1404"/>
    </row>
    <row r="3" spans="3:24">
      <c r="C3" s="1415"/>
      <c r="D3" s="1414"/>
      <c r="E3" s="1404"/>
      <c r="F3" s="1417"/>
      <c r="G3" s="1415"/>
      <c r="H3" s="1415"/>
      <c r="I3" s="1415"/>
      <c r="J3" s="97" t="s">
        <v>299</v>
      </c>
      <c r="K3" s="97" t="s">
        <v>46</v>
      </c>
      <c r="L3" s="97" t="s">
        <v>50</v>
      </c>
      <c r="M3" s="97" t="s">
        <v>67</v>
      </c>
      <c r="N3" s="97" t="s">
        <v>73</v>
      </c>
      <c r="O3" s="1404"/>
      <c r="P3" s="1421"/>
      <c r="Q3" s="1422"/>
      <c r="R3" s="1404"/>
      <c r="S3" s="98" t="s">
        <v>616</v>
      </c>
      <c r="T3" s="98" t="s">
        <v>617</v>
      </c>
      <c r="U3" s="98" t="s">
        <v>618</v>
      </c>
      <c r="V3" s="98" t="s">
        <v>619</v>
      </c>
      <c r="W3" s="98" t="s">
        <v>620</v>
      </c>
      <c r="X3" s="98" t="s">
        <v>621</v>
      </c>
    </row>
    <row r="4" spans="3:24" ht="28.5">
      <c r="C4" s="97"/>
      <c r="D4" s="1405"/>
      <c r="E4" s="1406"/>
      <c r="F4" s="99"/>
      <c r="G4" s="97" t="s">
        <v>623</v>
      </c>
      <c r="H4" s="100" t="s">
        <v>624</v>
      </c>
      <c r="I4" s="100" t="s">
        <v>625</v>
      </c>
      <c r="J4" s="97"/>
      <c r="K4" s="97"/>
      <c r="L4" s="97"/>
      <c r="M4" s="97"/>
      <c r="N4" s="97"/>
      <c r="O4" s="100"/>
      <c r="P4" s="97"/>
      <c r="Q4" s="97"/>
      <c r="R4" s="100"/>
      <c r="S4" s="98"/>
      <c r="T4" s="98"/>
      <c r="U4" s="98"/>
      <c r="V4" s="98"/>
      <c r="W4" s="98"/>
      <c r="X4" s="98"/>
    </row>
    <row r="5" spans="3:24">
      <c r="C5" s="101">
        <v>1</v>
      </c>
      <c r="D5" s="102" t="s">
        <v>298</v>
      </c>
      <c r="E5" s="103"/>
      <c r="F5" s="103"/>
      <c r="G5" s="103"/>
      <c r="H5" s="103"/>
      <c r="I5" s="103"/>
      <c r="J5" s="103"/>
      <c r="K5" s="103"/>
      <c r="L5" s="103"/>
      <c r="M5" s="104"/>
      <c r="N5" s="104"/>
      <c r="O5" s="103"/>
      <c r="P5" s="105"/>
      <c r="Q5" s="103"/>
      <c r="R5" s="103"/>
      <c r="S5" s="103"/>
      <c r="T5" s="103"/>
      <c r="U5" s="103"/>
      <c r="V5" s="103"/>
      <c r="W5" s="103"/>
      <c r="X5" s="103"/>
    </row>
    <row r="6" spans="3:24">
      <c r="C6" s="106">
        <v>1</v>
      </c>
      <c r="D6" s="115" t="s">
        <v>891</v>
      </c>
      <c r="E6" s="103"/>
      <c r="F6" s="103">
        <v>12</v>
      </c>
      <c r="G6" s="103">
        <v>1</v>
      </c>
      <c r="H6" s="103">
        <v>20</v>
      </c>
      <c r="I6" s="103">
        <v>42</v>
      </c>
      <c r="J6" s="256">
        <v>0.2</v>
      </c>
      <c r="K6" s="256">
        <v>1.7</v>
      </c>
      <c r="L6" s="256">
        <v>0.2</v>
      </c>
      <c r="M6" s="256"/>
      <c r="N6" s="256"/>
      <c r="O6" s="256">
        <f>IF(F6=8,ROUND(SUM(J6:N6),2),IF(F6=10,ROUND(SUM(J6:N6),2),IF(F6=12,ROUND(SUM(J6:N6),2),IF(F6=16,ROUND(SUM(J6:N6),2),IF(F6=20,ROUND(SUM(J6:N6),2),IF(F6=25,ROUND(SUM(J6:N6),2),"-"))))))</f>
        <v>2.1</v>
      </c>
      <c r="P6" s="256">
        <f>IF(F6=8,F6*2*2,IF(F6=10,F6*2*2,IF(F6=12,F6*2*2,IF(F6=16,F6*2*2,IF(F6=20,F6*2*2,IF(F6=25,F6*2*2))))))/1000</f>
        <v>4.8000000000000001E-2</v>
      </c>
      <c r="Q6" s="256"/>
      <c r="R6" s="256">
        <f>IF(F6=8,O6-P6,IF(F6=10,O6-P6,IF(F6=12,O6-P6,IF(F6=16,O6-P6,IF(F6=20,O6-P6,IF(F6=25,O6-P6,"-"))))))</f>
        <v>2.052</v>
      </c>
      <c r="S6" s="256" t="str">
        <f>IF(F6=8,ROUND(PRODUCT(G6:I6,R6),2),"-")</f>
        <v>-</v>
      </c>
      <c r="T6" s="256" t="str">
        <f>IF(F6=10,ROUND(PRODUCT(G6:I6,R6),2),"-")</f>
        <v>-</v>
      </c>
      <c r="U6" s="256">
        <f>IF(F6=12,ROUND(PRODUCT(G6:I6,R6),2),"-")</f>
        <v>1723.68</v>
      </c>
      <c r="V6" s="256" t="str">
        <f>IF(F6=16,ROUND(PRODUCT(G6:I6,R6),2),"-")</f>
        <v>-</v>
      </c>
      <c r="W6" s="256" t="str">
        <f>IF(F6=20,ROUND(PRODUCT(G6:I6,R6),2),"-")</f>
        <v>-</v>
      </c>
      <c r="X6" s="256" t="str">
        <f>IF(F6=25,ROUND(PRODUCT(G6:I6,R6),2),"-")</f>
        <v>-</v>
      </c>
    </row>
    <row r="7" spans="3:24">
      <c r="C7" s="106">
        <v>2</v>
      </c>
      <c r="D7" s="107" t="s">
        <v>892</v>
      </c>
      <c r="E7" s="103"/>
      <c r="F7" s="103">
        <v>12</v>
      </c>
      <c r="G7" s="103">
        <v>1</v>
      </c>
      <c r="H7" s="103">
        <v>24</v>
      </c>
      <c r="I7" s="103">
        <v>40</v>
      </c>
      <c r="J7" s="256">
        <v>0.2</v>
      </c>
      <c r="K7" s="256">
        <v>2</v>
      </c>
      <c r="L7" s="256">
        <v>0.2</v>
      </c>
      <c r="M7" s="256"/>
      <c r="N7" s="256"/>
      <c r="O7" s="256">
        <f t="shared" ref="O7:O21" si="0">IF(F7=8,ROUND(SUM(J7:N7),2),IF(F7=10,ROUND(SUM(J7:N7),2),IF(F7=12,ROUND(SUM(J7:N7),2),IF(F7=16,ROUND(SUM(J7:N7),2),IF(F7=20,ROUND(SUM(J7:N7),2),IF(F7=25,ROUND(SUM(J7:N7),2),"-"))))))</f>
        <v>2.4</v>
      </c>
      <c r="P7" s="256">
        <f t="shared" ref="P7:P21" si="1">IF(F7=8,F7*2*2,IF(F7=10,F7*2*2,IF(F7=12,F7*2*2,IF(F7=16,F7*2*2,IF(F7=20,F7*2*2,IF(F7=25,F7*2*2))))))/1000</f>
        <v>4.8000000000000001E-2</v>
      </c>
      <c r="Q7" s="256"/>
      <c r="R7" s="256">
        <f t="shared" ref="R7:R26" si="2">IF(F7=8,O7-P7,IF(F7=10,O7-P7,IF(F7=12,O7-P7,IF(F7=16,O7-P7,IF(F7=20,O7-P7,IF(F7=25,O7-P7,"-"))))))</f>
        <v>2.3519999999999999</v>
      </c>
      <c r="S7" s="256" t="str">
        <f t="shared" ref="S7:S26" si="3">IF(F7=8,ROUND(PRODUCT(G7:I7,R7),2),"-")</f>
        <v>-</v>
      </c>
      <c r="T7" s="256" t="str">
        <f t="shared" ref="T7:T26" si="4">IF(F7=10,ROUND(PRODUCT(G7:I7,R7),2),"-")</f>
        <v>-</v>
      </c>
      <c r="U7" s="256">
        <f t="shared" ref="U7:U26" si="5">IF(F7=12,ROUND(PRODUCT(G7:I7,R7),2),"-")</f>
        <v>2257.92</v>
      </c>
      <c r="V7" s="256" t="str">
        <f t="shared" ref="V7:V26" si="6">IF(F7=16,ROUND(PRODUCT(G7:I7,R7),2),"-")</f>
        <v>-</v>
      </c>
      <c r="W7" s="256" t="str">
        <f t="shared" ref="W7:W26" si="7">IF(F7=20,ROUND(PRODUCT(G7:I7,R7),2),"-")</f>
        <v>-</v>
      </c>
      <c r="X7" s="256" t="str">
        <f t="shared" ref="X7:X26" si="8">IF(F7=25,ROUND(PRODUCT(G7:I7,R7),2),"-")</f>
        <v>-</v>
      </c>
    </row>
    <row r="8" spans="3:24">
      <c r="C8" s="106">
        <v>3</v>
      </c>
      <c r="D8" s="107" t="s">
        <v>893</v>
      </c>
      <c r="E8" s="103"/>
      <c r="F8" s="103">
        <v>12</v>
      </c>
      <c r="G8" s="103">
        <v>1</v>
      </c>
      <c r="H8" s="103">
        <v>28</v>
      </c>
      <c r="I8" s="103">
        <v>18</v>
      </c>
      <c r="J8" s="256">
        <v>0.2</v>
      </c>
      <c r="K8" s="256">
        <v>2.2999999999999998</v>
      </c>
      <c r="L8" s="256">
        <v>0.2</v>
      </c>
      <c r="M8" s="256"/>
      <c r="N8" s="256"/>
      <c r="O8" s="256">
        <f t="shared" si="0"/>
        <v>2.7</v>
      </c>
      <c r="P8" s="256">
        <f t="shared" si="1"/>
        <v>4.8000000000000001E-2</v>
      </c>
      <c r="Q8" s="256"/>
      <c r="R8" s="256">
        <f t="shared" si="2"/>
        <v>2.6520000000000001</v>
      </c>
      <c r="S8" s="256" t="str">
        <f t="shared" si="3"/>
        <v>-</v>
      </c>
      <c r="T8" s="256" t="str">
        <f t="shared" si="4"/>
        <v>-</v>
      </c>
      <c r="U8" s="256">
        <f t="shared" si="5"/>
        <v>1336.61</v>
      </c>
      <c r="V8" s="256" t="str">
        <f t="shared" si="6"/>
        <v>-</v>
      </c>
      <c r="W8" s="256" t="str">
        <f t="shared" si="7"/>
        <v>-</v>
      </c>
      <c r="X8" s="256" t="str">
        <f t="shared" si="8"/>
        <v>-</v>
      </c>
    </row>
    <row r="9" spans="3:24">
      <c r="C9" s="106">
        <v>4</v>
      </c>
      <c r="D9" s="107" t="s">
        <v>894</v>
      </c>
      <c r="E9" s="103" t="s">
        <v>627</v>
      </c>
      <c r="F9" s="103">
        <v>12</v>
      </c>
      <c r="G9" s="103">
        <v>1</v>
      </c>
      <c r="H9" s="103">
        <v>20</v>
      </c>
      <c r="I9" s="103">
        <v>4</v>
      </c>
      <c r="J9" s="256">
        <v>0.2</v>
      </c>
      <c r="K9" s="256">
        <v>2.6</v>
      </c>
      <c r="L9" s="256">
        <v>0.2</v>
      </c>
      <c r="M9" s="256"/>
      <c r="N9" s="256"/>
      <c r="O9" s="256">
        <f t="shared" si="0"/>
        <v>3</v>
      </c>
      <c r="P9" s="256">
        <f t="shared" si="1"/>
        <v>4.8000000000000001E-2</v>
      </c>
      <c r="Q9" s="256"/>
      <c r="R9" s="256">
        <f t="shared" si="2"/>
        <v>2.952</v>
      </c>
      <c r="S9" s="256" t="str">
        <f t="shared" si="3"/>
        <v>-</v>
      </c>
      <c r="T9" s="256" t="str">
        <f t="shared" si="4"/>
        <v>-</v>
      </c>
      <c r="U9" s="256">
        <f t="shared" si="5"/>
        <v>236.16</v>
      </c>
      <c r="V9" s="256" t="str">
        <f t="shared" si="6"/>
        <v>-</v>
      </c>
      <c r="W9" s="256" t="str">
        <f t="shared" si="7"/>
        <v>-</v>
      </c>
      <c r="X9" s="256" t="str">
        <f t="shared" si="8"/>
        <v>-</v>
      </c>
    </row>
    <row r="10" spans="3:24">
      <c r="C10" s="106"/>
      <c r="D10" s="107" t="s">
        <v>895</v>
      </c>
      <c r="E10" s="103"/>
      <c r="F10" s="103">
        <v>12</v>
      </c>
      <c r="G10" s="103">
        <v>1</v>
      </c>
      <c r="H10" s="103">
        <v>18</v>
      </c>
      <c r="I10" s="103">
        <v>4</v>
      </c>
      <c r="J10" s="256">
        <v>0</v>
      </c>
      <c r="K10" s="256">
        <v>2.1</v>
      </c>
      <c r="L10" s="256">
        <v>0</v>
      </c>
      <c r="M10" s="256"/>
      <c r="N10" s="256"/>
      <c r="O10" s="256">
        <f t="shared" si="0"/>
        <v>2.1</v>
      </c>
      <c r="P10" s="256">
        <f>IF(F10=8,F10*2*2,IF(F10=10,F10*2*2,IF(F10=12,F10*2*2,IF(F10=16,F10*2*2,IF(F10=20,F10*2*2,IF(F10=25,F10*2*2))))))/1000*0</f>
        <v>0</v>
      </c>
      <c r="Q10" s="256"/>
      <c r="R10" s="256">
        <f t="shared" si="2"/>
        <v>2.1</v>
      </c>
      <c r="S10" s="256" t="str">
        <f t="shared" si="3"/>
        <v>-</v>
      </c>
      <c r="T10" s="256" t="str">
        <f t="shared" si="4"/>
        <v>-</v>
      </c>
      <c r="U10" s="256">
        <f t="shared" si="5"/>
        <v>151.19999999999999</v>
      </c>
      <c r="V10" s="256" t="str">
        <f t="shared" si="6"/>
        <v>-</v>
      </c>
      <c r="W10" s="256" t="str">
        <f t="shared" si="7"/>
        <v>-</v>
      </c>
      <c r="X10" s="256" t="str">
        <f t="shared" si="8"/>
        <v>-</v>
      </c>
    </row>
    <row r="11" spans="3:24">
      <c r="C11" s="106">
        <v>5</v>
      </c>
      <c r="D11" s="107" t="s">
        <v>896</v>
      </c>
      <c r="E11" s="103"/>
      <c r="F11" s="103">
        <v>12</v>
      </c>
      <c r="G11" s="103">
        <v>1</v>
      </c>
      <c r="H11" s="103">
        <v>10</v>
      </c>
      <c r="I11" s="103">
        <v>4</v>
      </c>
      <c r="J11" s="256">
        <v>0.2</v>
      </c>
      <c r="K11" s="256">
        <v>3.15</v>
      </c>
      <c r="L11" s="256">
        <v>0.2</v>
      </c>
      <c r="M11" s="256"/>
      <c r="N11" s="256"/>
      <c r="O11" s="256">
        <f t="shared" si="0"/>
        <v>3.55</v>
      </c>
      <c r="P11" s="256">
        <f t="shared" si="1"/>
        <v>4.8000000000000001E-2</v>
      </c>
      <c r="Q11" s="256"/>
      <c r="R11" s="256">
        <f t="shared" si="2"/>
        <v>3.5019999999999998</v>
      </c>
      <c r="S11" s="256" t="str">
        <f t="shared" si="3"/>
        <v>-</v>
      </c>
      <c r="T11" s="256" t="str">
        <f t="shared" si="4"/>
        <v>-</v>
      </c>
      <c r="U11" s="256">
        <f t="shared" si="5"/>
        <v>140.08000000000001</v>
      </c>
      <c r="V11" s="256" t="str">
        <f t="shared" si="6"/>
        <v>-</v>
      </c>
      <c r="W11" s="256" t="str">
        <f t="shared" si="7"/>
        <v>-</v>
      </c>
      <c r="X11" s="256" t="str">
        <f t="shared" si="8"/>
        <v>-</v>
      </c>
    </row>
    <row r="12" spans="3:24">
      <c r="C12" s="106"/>
      <c r="D12" s="107" t="s">
        <v>895</v>
      </c>
      <c r="E12" s="103"/>
      <c r="F12" s="103">
        <v>12</v>
      </c>
      <c r="G12" s="103">
        <v>1</v>
      </c>
      <c r="H12" s="103">
        <v>9</v>
      </c>
      <c r="I12" s="103">
        <v>4</v>
      </c>
      <c r="J12" s="256">
        <v>0</v>
      </c>
      <c r="K12" s="256">
        <v>2.65</v>
      </c>
      <c r="L12" s="256">
        <v>0</v>
      </c>
      <c r="M12" s="256"/>
      <c r="N12" s="256"/>
      <c r="O12" s="256">
        <f t="shared" si="0"/>
        <v>2.65</v>
      </c>
      <c r="P12" s="256">
        <f>IF(F12=8,F12*2*2,IF(F12=10,F12*2*2,IF(F12=12,F12*2*2,IF(F12=16,F12*2*2,IF(F12=20,F12*2*2,IF(F12=25,F12*2*2))))))/1000*0</f>
        <v>0</v>
      </c>
      <c r="Q12" s="256"/>
      <c r="R12" s="256">
        <f t="shared" si="2"/>
        <v>2.65</v>
      </c>
      <c r="S12" s="256" t="str">
        <f t="shared" si="3"/>
        <v>-</v>
      </c>
      <c r="T12" s="256" t="str">
        <f t="shared" si="4"/>
        <v>-</v>
      </c>
      <c r="U12" s="256">
        <f t="shared" si="5"/>
        <v>95.4</v>
      </c>
      <c r="V12" s="256" t="str">
        <f t="shared" si="6"/>
        <v>-</v>
      </c>
      <c r="W12" s="256" t="str">
        <f t="shared" si="7"/>
        <v>-</v>
      </c>
      <c r="X12" s="256" t="str">
        <f t="shared" si="8"/>
        <v>-</v>
      </c>
    </row>
    <row r="13" spans="3:24">
      <c r="C13" s="106"/>
      <c r="D13" s="107"/>
      <c r="E13" s="103" t="s">
        <v>627</v>
      </c>
      <c r="F13" s="103">
        <v>12</v>
      </c>
      <c r="G13" s="103">
        <v>1</v>
      </c>
      <c r="H13" s="103">
        <v>12</v>
      </c>
      <c r="I13" s="103">
        <v>4</v>
      </c>
      <c r="J13" s="256">
        <v>0.2</v>
      </c>
      <c r="K13" s="256">
        <v>2.15</v>
      </c>
      <c r="L13" s="256">
        <v>0.2</v>
      </c>
      <c r="M13" s="256"/>
      <c r="N13" s="256"/>
      <c r="O13" s="256">
        <f t="shared" si="0"/>
        <v>2.5499999999999998</v>
      </c>
      <c r="P13" s="256">
        <f t="shared" si="1"/>
        <v>4.8000000000000001E-2</v>
      </c>
      <c r="Q13" s="256"/>
      <c r="R13" s="256">
        <f t="shared" si="2"/>
        <v>2.5019999999999998</v>
      </c>
      <c r="S13" s="256" t="str">
        <f t="shared" si="3"/>
        <v>-</v>
      </c>
      <c r="T13" s="256" t="str">
        <f t="shared" si="4"/>
        <v>-</v>
      </c>
      <c r="U13" s="256">
        <f t="shared" si="5"/>
        <v>120.1</v>
      </c>
      <c r="V13" s="256" t="str">
        <f t="shared" si="6"/>
        <v>-</v>
      </c>
      <c r="W13" s="256" t="str">
        <f t="shared" si="7"/>
        <v>-</v>
      </c>
      <c r="X13" s="256" t="str">
        <f t="shared" si="8"/>
        <v>-</v>
      </c>
    </row>
    <row r="14" spans="3:24">
      <c r="C14" s="106"/>
      <c r="D14" s="107" t="s">
        <v>895</v>
      </c>
      <c r="E14" s="103"/>
      <c r="F14" s="103">
        <v>12</v>
      </c>
      <c r="G14" s="103">
        <v>1</v>
      </c>
      <c r="H14" s="103">
        <v>11</v>
      </c>
      <c r="I14" s="103">
        <v>4</v>
      </c>
      <c r="J14" s="256">
        <v>0</v>
      </c>
      <c r="K14" s="256">
        <v>1.65</v>
      </c>
      <c r="L14" s="256">
        <v>0</v>
      </c>
      <c r="M14" s="256"/>
      <c r="N14" s="256"/>
      <c r="O14" s="256">
        <f t="shared" si="0"/>
        <v>1.65</v>
      </c>
      <c r="P14" s="256">
        <f>IF(F14=8,F14*2*2,IF(F14=10,F14*2*2,IF(F14=12,F14*2*2,IF(F14=16,F14*2*2,IF(F14=20,F14*2*2,IF(F14=25,F14*2*2))))))/1000*0</f>
        <v>0</v>
      </c>
      <c r="Q14" s="256"/>
      <c r="R14" s="256">
        <f t="shared" si="2"/>
        <v>1.65</v>
      </c>
      <c r="S14" s="256" t="str">
        <f t="shared" si="3"/>
        <v>-</v>
      </c>
      <c r="T14" s="256" t="str">
        <f t="shared" si="4"/>
        <v>-</v>
      </c>
      <c r="U14" s="256">
        <f t="shared" si="5"/>
        <v>72.599999999999994</v>
      </c>
      <c r="V14" s="256" t="str">
        <f t="shared" si="6"/>
        <v>-</v>
      </c>
      <c r="W14" s="256" t="str">
        <f t="shared" si="7"/>
        <v>-</v>
      </c>
      <c r="X14" s="256" t="str">
        <f t="shared" si="8"/>
        <v>-</v>
      </c>
    </row>
    <row r="15" spans="3:24">
      <c r="C15" s="106">
        <v>6</v>
      </c>
      <c r="D15" s="107" t="s">
        <v>897</v>
      </c>
      <c r="E15" s="103"/>
      <c r="F15" s="103">
        <v>12</v>
      </c>
      <c r="G15" s="103">
        <v>1</v>
      </c>
      <c r="H15" s="103">
        <v>10</v>
      </c>
      <c r="I15" s="103">
        <v>10</v>
      </c>
      <c r="J15" s="256">
        <v>0.2</v>
      </c>
      <c r="K15" s="256">
        <v>4.7</v>
      </c>
      <c r="L15" s="256">
        <v>0.2</v>
      </c>
      <c r="M15" s="256"/>
      <c r="N15" s="256"/>
      <c r="O15" s="256">
        <f t="shared" si="0"/>
        <v>5.0999999999999996</v>
      </c>
      <c r="P15" s="256">
        <f t="shared" si="1"/>
        <v>4.8000000000000001E-2</v>
      </c>
      <c r="Q15" s="256"/>
      <c r="R15" s="256">
        <f t="shared" si="2"/>
        <v>5.0519999999999996</v>
      </c>
      <c r="S15" s="256" t="str">
        <f t="shared" si="3"/>
        <v>-</v>
      </c>
      <c r="T15" s="256" t="str">
        <f t="shared" si="4"/>
        <v>-</v>
      </c>
      <c r="U15" s="256">
        <f t="shared" si="5"/>
        <v>505.2</v>
      </c>
      <c r="V15" s="256" t="str">
        <f t="shared" si="6"/>
        <v>-</v>
      </c>
      <c r="W15" s="256" t="str">
        <f t="shared" si="7"/>
        <v>-</v>
      </c>
      <c r="X15" s="256" t="str">
        <f t="shared" si="8"/>
        <v>-</v>
      </c>
    </row>
    <row r="16" spans="3:24">
      <c r="C16" s="106"/>
      <c r="D16" s="107"/>
      <c r="E16" s="103" t="s">
        <v>627</v>
      </c>
      <c r="F16" s="103">
        <v>12</v>
      </c>
      <c r="G16" s="103">
        <v>1</v>
      </c>
      <c r="H16" s="103">
        <v>25</v>
      </c>
      <c r="I16" s="103">
        <v>10</v>
      </c>
      <c r="J16" s="256">
        <v>0.2</v>
      </c>
      <c r="K16" s="256">
        <v>2.2999999999999998</v>
      </c>
      <c r="L16" s="256">
        <v>0.2</v>
      </c>
      <c r="M16" s="256"/>
      <c r="N16" s="256"/>
      <c r="O16" s="256">
        <f t="shared" si="0"/>
        <v>2.7</v>
      </c>
      <c r="P16" s="256">
        <f t="shared" si="1"/>
        <v>4.8000000000000001E-2</v>
      </c>
      <c r="Q16" s="256"/>
      <c r="R16" s="256">
        <f t="shared" si="2"/>
        <v>2.6520000000000001</v>
      </c>
      <c r="S16" s="256" t="str">
        <f t="shared" si="3"/>
        <v>-</v>
      </c>
      <c r="T16" s="256" t="str">
        <f t="shared" si="4"/>
        <v>-</v>
      </c>
      <c r="U16" s="256">
        <f t="shared" si="5"/>
        <v>663</v>
      </c>
      <c r="V16" s="256" t="str">
        <f t="shared" si="6"/>
        <v>-</v>
      </c>
      <c r="W16" s="256" t="str">
        <f t="shared" si="7"/>
        <v>-</v>
      </c>
      <c r="X16" s="256" t="str">
        <f t="shared" si="8"/>
        <v>-</v>
      </c>
    </row>
    <row r="17" spans="3:24">
      <c r="C17" s="106">
        <v>7</v>
      </c>
      <c r="D17" s="107" t="s">
        <v>898</v>
      </c>
      <c r="E17" s="103"/>
      <c r="F17" s="103">
        <v>12</v>
      </c>
      <c r="G17" s="103">
        <v>1</v>
      </c>
      <c r="H17" s="103">
        <v>23</v>
      </c>
      <c r="I17" s="103">
        <v>2</v>
      </c>
      <c r="J17" s="256">
        <v>0.2</v>
      </c>
      <c r="K17" s="256">
        <v>2.6</v>
      </c>
      <c r="L17" s="256">
        <v>0.2</v>
      </c>
      <c r="M17" s="256"/>
      <c r="N17" s="256"/>
      <c r="O17" s="256">
        <f t="shared" si="0"/>
        <v>3</v>
      </c>
      <c r="P17" s="256">
        <f t="shared" si="1"/>
        <v>4.8000000000000001E-2</v>
      </c>
      <c r="Q17" s="256"/>
      <c r="R17" s="256">
        <f t="shared" si="2"/>
        <v>2.952</v>
      </c>
      <c r="S17" s="256" t="str">
        <f t="shared" si="3"/>
        <v>-</v>
      </c>
      <c r="T17" s="256" t="str">
        <f t="shared" si="4"/>
        <v>-</v>
      </c>
      <c r="U17" s="256">
        <f t="shared" si="5"/>
        <v>135.79</v>
      </c>
      <c r="V17" s="256" t="str">
        <f t="shared" si="6"/>
        <v>-</v>
      </c>
      <c r="W17" s="256" t="str">
        <f t="shared" si="7"/>
        <v>-</v>
      </c>
      <c r="X17" s="256" t="str">
        <f t="shared" si="8"/>
        <v>-</v>
      </c>
    </row>
    <row r="18" spans="3:24">
      <c r="C18" s="106"/>
      <c r="D18" s="107"/>
      <c r="E18" s="103" t="s">
        <v>627</v>
      </c>
      <c r="F18" s="103">
        <v>12</v>
      </c>
      <c r="G18" s="103">
        <v>1</v>
      </c>
      <c r="H18" s="103">
        <v>14</v>
      </c>
      <c r="I18" s="103">
        <v>2</v>
      </c>
      <c r="J18" s="256">
        <v>0.2</v>
      </c>
      <c r="K18" s="256">
        <v>4.4000000000000004</v>
      </c>
      <c r="L18" s="256">
        <v>0.2</v>
      </c>
      <c r="M18" s="256"/>
      <c r="N18" s="256"/>
      <c r="O18" s="256">
        <f t="shared" si="0"/>
        <v>4.8</v>
      </c>
      <c r="P18" s="256">
        <f t="shared" si="1"/>
        <v>4.8000000000000001E-2</v>
      </c>
      <c r="Q18" s="256"/>
      <c r="R18" s="256">
        <f t="shared" si="2"/>
        <v>4.7519999999999998</v>
      </c>
      <c r="S18" s="256" t="str">
        <f t="shared" si="3"/>
        <v>-</v>
      </c>
      <c r="T18" s="256" t="str">
        <f t="shared" si="4"/>
        <v>-</v>
      </c>
      <c r="U18" s="257">
        <f t="shared" si="5"/>
        <v>133.06</v>
      </c>
      <c r="V18" s="256" t="str">
        <f t="shared" si="6"/>
        <v>-</v>
      </c>
      <c r="W18" s="256" t="str">
        <f t="shared" si="7"/>
        <v>-</v>
      </c>
      <c r="X18" s="256" t="str">
        <f t="shared" si="8"/>
        <v>-</v>
      </c>
    </row>
    <row r="19" spans="3:24">
      <c r="C19" s="106">
        <v>8</v>
      </c>
      <c r="D19" s="107" t="s">
        <v>899</v>
      </c>
      <c r="E19" s="103"/>
      <c r="F19" s="103">
        <v>16</v>
      </c>
      <c r="G19" s="103">
        <v>1</v>
      </c>
      <c r="H19" s="103">
        <v>5</v>
      </c>
      <c r="I19" s="103">
        <v>10</v>
      </c>
      <c r="J19" s="256">
        <v>0.3</v>
      </c>
      <c r="K19" s="256">
        <v>4.7</v>
      </c>
      <c r="L19" s="256">
        <v>0.3</v>
      </c>
      <c r="M19" s="256">
        <v>0</v>
      </c>
      <c r="N19" s="256"/>
      <c r="O19" s="256">
        <f t="shared" si="0"/>
        <v>5.3</v>
      </c>
      <c r="P19" s="256">
        <f t="shared" si="1"/>
        <v>6.4000000000000001E-2</v>
      </c>
      <c r="Q19" s="256"/>
      <c r="R19" s="256">
        <f t="shared" si="2"/>
        <v>5.2359999999999998</v>
      </c>
      <c r="S19" s="256" t="str">
        <f t="shared" si="3"/>
        <v>-</v>
      </c>
      <c r="T19" s="256" t="str">
        <f t="shared" si="4"/>
        <v>-</v>
      </c>
      <c r="U19" s="256" t="str">
        <f t="shared" si="5"/>
        <v>-</v>
      </c>
      <c r="V19" s="256">
        <f t="shared" si="6"/>
        <v>261.8</v>
      </c>
      <c r="W19" s="256" t="str">
        <f t="shared" si="7"/>
        <v>-</v>
      </c>
      <c r="X19" s="256" t="str">
        <f t="shared" si="8"/>
        <v>-</v>
      </c>
    </row>
    <row r="20" spans="3:24">
      <c r="C20" s="106"/>
      <c r="D20" s="107" t="s">
        <v>900</v>
      </c>
      <c r="E20" s="103" t="s">
        <v>627</v>
      </c>
      <c r="F20" s="103">
        <v>20</v>
      </c>
      <c r="G20" s="103">
        <v>1</v>
      </c>
      <c r="H20" s="103">
        <v>5</v>
      </c>
      <c r="I20" s="103">
        <v>10</v>
      </c>
      <c r="J20" s="256">
        <v>0.3</v>
      </c>
      <c r="K20" s="256">
        <v>4.7</v>
      </c>
      <c r="L20" s="256">
        <v>0.3</v>
      </c>
      <c r="M20" s="256">
        <v>0</v>
      </c>
      <c r="N20" s="256"/>
      <c r="O20" s="256">
        <f t="shared" si="0"/>
        <v>5.3</v>
      </c>
      <c r="P20" s="256">
        <f t="shared" si="1"/>
        <v>0.08</v>
      </c>
      <c r="Q20" s="256"/>
      <c r="R20" s="256">
        <f t="shared" si="2"/>
        <v>5.22</v>
      </c>
      <c r="S20" s="256" t="str">
        <f t="shared" si="3"/>
        <v>-</v>
      </c>
      <c r="T20" s="256" t="str">
        <f t="shared" si="4"/>
        <v>-</v>
      </c>
      <c r="U20" s="256" t="str">
        <f t="shared" si="5"/>
        <v>-</v>
      </c>
      <c r="V20" s="256" t="str">
        <f t="shared" si="6"/>
        <v>-</v>
      </c>
      <c r="W20" s="256">
        <f t="shared" si="7"/>
        <v>261</v>
      </c>
      <c r="X20" s="256" t="str">
        <f t="shared" si="8"/>
        <v>-</v>
      </c>
    </row>
    <row r="21" spans="3:24">
      <c r="C21" s="106">
        <v>9</v>
      </c>
      <c r="D21" s="107" t="s">
        <v>901</v>
      </c>
      <c r="E21" s="103"/>
      <c r="F21" s="103">
        <v>16</v>
      </c>
      <c r="G21" s="103">
        <v>1</v>
      </c>
      <c r="H21" s="103">
        <v>6</v>
      </c>
      <c r="I21" s="103">
        <v>2</v>
      </c>
      <c r="J21" s="256">
        <v>0.3</v>
      </c>
      <c r="K21" s="256">
        <v>4.4000000000000004</v>
      </c>
      <c r="L21" s="256">
        <v>0.3</v>
      </c>
      <c r="M21" s="256">
        <v>0</v>
      </c>
      <c r="N21" s="256"/>
      <c r="O21" s="256">
        <f t="shared" si="0"/>
        <v>5</v>
      </c>
      <c r="P21" s="256">
        <f t="shared" si="1"/>
        <v>6.4000000000000001E-2</v>
      </c>
      <c r="Q21" s="256"/>
      <c r="R21" s="256">
        <f t="shared" si="2"/>
        <v>4.9359999999999999</v>
      </c>
      <c r="S21" s="256" t="str">
        <f t="shared" si="3"/>
        <v>-</v>
      </c>
      <c r="T21" s="256" t="str">
        <f t="shared" si="4"/>
        <v>-</v>
      </c>
      <c r="U21" s="256" t="str">
        <f t="shared" si="5"/>
        <v>-</v>
      </c>
      <c r="V21" s="256">
        <f t="shared" si="6"/>
        <v>59.23</v>
      </c>
      <c r="W21" s="256" t="str">
        <f t="shared" si="7"/>
        <v>-</v>
      </c>
      <c r="X21" s="256" t="str">
        <f t="shared" si="8"/>
        <v>-</v>
      </c>
    </row>
    <row r="22" spans="3:24">
      <c r="C22" s="106"/>
      <c r="D22" s="107" t="s">
        <v>900</v>
      </c>
      <c r="E22" s="103" t="s">
        <v>627</v>
      </c>
      <c r="F22" s="103">
        <v>20</v>
      </c>
      <c r="G22" s="103">
        <v>1</v>
      </c>
      <c r="H22" s="103">
        <v>6</v>
      </c>
      <c r="I22" s="103">
        <v>2</v>
      </c>
      <c r="J22" s="256">
        <v>0.3</v>
      </c>
      <c r="K22" s="256">
        <v>4.4000000000000004</v>
      </c>
      <c r="L22" s="256">
        <v>0.3</v>
      </c>
      <c r="M22" s="256">
        <v>0</v>
      </c>
      <c r="N22" s="256"/>
      <c r="O22" s="256">
        <f>IF(F22=8,ROUND(SUM(J22:N22),2),IF(F22=10,ROUND(SUM(J22:N22),2),IF(F22=12,ROUND(SUM(J22:N22),2),IF(F22=16,ROUND(SUM(J22:N22),2),IF(F22=20,ROUND(SUM(J22:N22),2),IF(F22=25,ROUND(SUM(J22:N22),2),"-"))))))</f>
        <v>5</v>
      </c>
      <c r="P22" s="256">
        <f>IF(F22=8,F22*2*2,IF(F22=10,F22*2*2,IF(F22=12,F22*2*2,IF(F22=16,F22*2*2,IF(F22=20,F22*2*2,IF(F22=25,F22*2*2))))))/1000</f>
        <v>0.08</v>
      </c>
      <c r="Q22" s="256"/>
      <c r="R22" s="256">
        <f t="shared" si="2"/>
        <v>4.92</v>
      </c>
      <c r="S22" s="256" t="str">
        <f t="shared" si="3"/>
        <v>-</v>
      </c>
      <c r="T22" s="256" t="str">
        <f t="shared" si="4"/>
        <v>-</v>
      </c>
      <c r="U22" s="256" t="str">
        <f t="shared" si="5"/>
        <v>-</v>
      </c>
      <c r="V22" s="256" t="str">
        <f t="shared" si="6"/>
        <v>-</v>
      </c>
      <c r="W22" s="256">
        <f t="shared" si="7"/>
        <v>59.04</v>
      </c>
      <c r="X22" s="256" t="str">
        <f t="shared" si="8"/>
        <v>-</v>
      </c>
    </row>
    <row r="23" spans="3:24">
      <c r="C23" s="106">
        <v>10</v>
      </c>
      <c r="D23" s="107" t="s">
        <v>902</v>
      </c>
      <c r="E23" s="103"/>
      <c r="F23" s="103">
        <v>10</v>
      </c>
      <c r="G23" s="103">
        <v>1</v>
      </c>
      <c r="H23" s="103">
        <v>34</v>
      </c>
      <c r="I23" s="103">
        <v>10</v>
      </c>
      <c r="J23" s="256">
        <v>0.55000000000000004</v>
      </c>
      <c r="K23" s="256">
        <v>0.7</v>
      </c>
      <c r="L23" s="256">
        <v>0.55000000000000004</v>
      </c>
      <c r="M23" s="256">
        <v>0.7</v>
      </c>
      <c r="N23" s="256">
        <v>0.2</v>
      </c>
      <c r="O23" s="256">
        <f>IF(F23=8,ROUND(SUM(J23:N23),2),IF(F23=10,ROUND(SUM(J23:N23),2),IF(F23=12,ROUND(SUM(J23:N23),2),IF(F23=16,ROUND(SUM(J23:N23),2),IF(F23=20,ROUND(SUM(J23:N23),2),IF(F23=25,ROUND(SUM(J23:N23),2),"-"))))))</f>
        <v>2.7</v>
      </c>
      <c r="P23" s="256">
        <f>IF(F23=8,F23*2*5,IF(F23=10,F23*2*5,IF(F23=12,F23*2*5,IF(F23=16,F23*2*5,IF(F23=20,F23*2*5,IF(F23=25,F23*2*5))))))/1000</f>
        <v>0.1</v>
      </c>
      <c r="Q23" s="256"/>
      <c r="R23" s="256">
        <f t="shared" si="2"/>
        <v>2.6</v>
      </c>
      <c r="S23" s="256" t="str">
        <f t="shared" si="3"/>
        <v>-</v>
      </c>
      <c r="T23" s="256">
        <f t="shared" si="4"/>
        <v>884</v>
      </c>
      <c r="U23" s="256" t="str">
        <f t="shared" si="5"/>
        <v>-</v>
      </c>
      <c r="V23" s="256" t="str">
        <f t="shared" si="6"/>
        <v>-</v>
      </c>
      <c r="W23" s="256" t="str">
        <f t="shared" si="7"/>
        <v>-</v>
      </c>
      <c r="X23" s="256" t="str">
        <f t="shared" si="8"/>
        <v>-</v>
      </c>
    </row>
    <row r="24" spans="3:24">
      <c r="C24" s="106"/>
      <c r="D24" s="107" t="s">
        <v>903</v>
      </c>
      <c r="E24" s="103" t="s">
        <v>888</v>
      </c>
      <c r="F24" s="103">
        <v>10</v>
      </c>
      <c r="G24" s="103">
        <v>1</v>
      </c>
      <c r="H24" s="103">
        <v>34</v>
      </c>
      <c r="I24" s="103">
        <v>10</v>
      </c>
      <c r="J24" s="256">
        <v>0.315</v>
      </c>
      <c r="K24" s="256">
        <v>0.7</v>
      </c>
      <c r="L24" s="256">
        <v>0.315</v>
      </c>
      <c r="M24" s="256">
        <v>0.7</v>
      </c>
      <c r="N24" s="256">
        <v>0.2</v>
      </c>
      <c r="O24" s="256">
        <f>IF(F24=8,ROUND(SUM(J24:N24),2),IF(F24=10,ROUND(SUM(J24:N24),2),IF(F24=12,ROUND(SUM(J24:N24),2),IF(F24=16,ROUND(SUM(J24:N24),2),IF(F24=20,ROUND(SUM(J24:N24),2),IF(F24=25,ROUND(SUM(J24:N24),2),"-"))))))</f>
        <v>2.23</v>
      </c>
      <c r="P24" s="256">
        <f>IF(F24=8,F24*2*5,IF(F24=10,F24*2*5,IF(F24=12,F24*2*5,IF(F24=16,F24*2*5,IF(F24=20,F24*2*5,IF(F24=25,F24*2*5))))))/1000</f>
        <v>0.1</v>
      </c>
      <c r="Q24" s="256"/>
      <c r="R24" s="256">
        <f t="shared" si="2"/>
        <v>2.13</v>
      </c>
      <c r="S24" s="256" t="str">
        <f t="shared" si="3"/>
        <v>-</v>
      </c>
      <c r="T24" s="256">
        <f t="shared" si="4"/>
        <v>724.2</v>
      </c>
      <c r="U24" s="256" t="str">
        <f t="shared" si="5"/>
        <v>-</v>
      </c>
      <c r="V24" s="256" t="str">
        <f t="shared" si="6"/>
        <v>-</v>
      </c>
      <c r="W24" s="256" t="str">
        <f t="shared" si="7"/>
        <v>-</v>
      </c>
      <c r="X24" s="256" t="str">
        <f t="shared" si="8"/>
        <v>-</v>
      </c>
    </row>
    <row r="25" spans="3:24">
      <c r="C25" s="106">
        <v>11</v>
      </c>
      <c r="D25" s="107" t="s">
        <v>904</v>
      </c>
      <c r="E25" s="103" t="s">
        <v>888</v>
      </c>
      <c r="F25" s="103">
        <v>10</v>
      </c>
      <c r="G25" s="103">
        <v>1</v>
      </c>
      <c r="H25" s="103">
        <v>34</v>
      </c>
      <c r="I25" s="103">
        <v>2</v>
      </c>
      <c r="J25" s="256">
        <v>0.7</v>
      </c>
      <c r="K25" s="256">
        <v>0.7</v>
      </c>
      <c r="L25" s="256">
        <v>0.7</v>
      </c>
      <c r="M25" s="256">
        <v>0.7</v>
      </c>
      <c r="N25" s="256">
        <v>0.2</v>
      </c>
      <c r="O25" s="256">
        <f>IF(F25=8,ROUND(SUM(J25:N25),2),IF(F25=10,ROUND(SUM(J25:N25),2),IF(F25=12,ROUND(SUM(J25:N25),2),IF(F25=16,ROUND(SUM(J25:N25),2),IF(F25=20,ROUND(SUM(J25:N25),2),IF(F25=25,ROUND(SUM(J25:N25),2),"-"))))))</f>
        <v>3</v>
      </c>
      <c r="P25" s="256">
        <f>IF(F25=8,F25*2*5,IF(F25=10,F25*2*5,IF(F25=12,F25*2*5,IF(F25=16,F25*2*5,IF(F25=20,F25*2*5,IF(F25=25,F25*2*5))))))/1000</f>
        <v>0.1</v>
      </c>
      <c r="Q25" s="256"/>
      <c r="R25" s="256">
        <f t="shared" si="2"/>
        <v>2.9</v>
      </c>
      <c r="S25" s="256" t="str">
        <f t="shared" si="3"/>
        <v>-</v>
      </c>
      <c r="T25" s="256">
        <f t="shared" si="4"/>
        <v>197.2</v>
      </c>
      <c r="U25" s="256" t="str">
        <f t="shared" si="5"/>
        <v>-</v>
      </c>
      <c r="V25" s="256" t="str">
        <f t="shared" si="6"/>
        <v>-</v>
      </c>
      <c r="W25" s="256" t="str">
        <f t="shared" si="7"/>
        <v>-</v>
      </c>
      <c r="X25" s="256" t="str">
        <f t="shared" si="8"/>
        <v>-</v>
      </c>
    </row>
    <row r="26" spans="3:24">
      <c r="C26" s="106"/>
      <c r="D26" s="107" t="s">
        <v>903</v>
      </c>
      <c r="E26" s="103" t="s">
        <v>888</v>
      </c>
      <c r="F26" s="103">
        <v>10</v>
      </c>
      <c r="G26" s="103">
        <v>1</v>
      </c>
      <c r="H26" s="103">
        <v>68</v>
      </c>
      <c r="I26" s="103">
        <v>2</v>
      </c>
      <c r="J26" s="256">
        <v>0.18</v>
      </c>
      <c r="K26" s="256">
        <v>0.7</v>
      </c>
      <c r="L26" s="256">
        <v>0.18</v>
      </c>
      <c r="M26" s="256">
        <v>0.7</v>
      </c>
      <c r="N26" s="256">
        <v>0.2</v>
      </c>
      <c r="O26" s="256">
        <f>IF(F26=8,ROUND(SUM(J26:N26),2),IF(F26=10,ROUND(SUM(J26:N26),2),IF(F26=12,ROUND(SUM(J26:N26),2),IF(F26=16,ROUND(SUM(J26:N26),2),IF(F26=20,ROUND(SUM(J26:N26),2),IF(F26=25,ROUND(SUM(J26:N26),2),"-"))))))</f>
        <v>1.96</v>
      </c>
      <c r="P26" s="256">
        <f>IF(F26=8,F26*2*5,IF(F26=10,F26*2*5,IF(F26=12,F26*2*5,IF(F26=16,F26*2*5,IF(F26=20,F26*2*5,IF(F26=25,F26*2*5))))))/1000</f>
        <v>0.1</v>
      </c>
      <c r="Q26" s="256"/>
      <c r="R26" s="256">
        <f t="shared" si="2"/>
        <v>1.8599999999999999</v>
      </c>
      <c r="S26" s="256" t="str">
        <f t="shared" si="3"/>
        <v>-</v>
      </c>
      <c r="T26" s="256">
        <f t="shared" si="4"/>
        <v>252.96</v>
      </c>
      <c r="U26" s="256" t="str">
        <f t="shared" si="5"/>
        <v>-</v>
      </c>
      <c r="V26" s="256" t="str">
        <f t="shared" si="6"/>
        <v>-</v>
      </c>
      <c r="W26" s="256" t="str">
        <f t="shared" si="7"/>
        <v>-</v>
      </c>
      <c r="X26" s="256" t="str">
        <f t="shared" si="8"/>
        <v>-</v>
      </c>
    </row>
    <row r="27" spans="3:24">
      <c r="C27" s="106"/>
      <c r="D27" s="107"/>
      <c r="E27" s="103"/>
      <c r="F27" s="103"/>
      <c r="G27" s="103"/>
      <c r="H27" s="103"/>
      <c r="I27" s="103"/>
      <c r="J27" s="256"/>
      <c r="K27" s="256"/>
      <c r="L27" s="256"/>
      <c r="M27" s="256"/>
      <c r="N27" s="256"/>
      <c r="O27" s="256"/>
      <c r="P27" s="256"/>
      <c r="Q27" s="256"/>
      <c r="R27" s="256"/>
      <c r="S27" s="256"/>
      <c r="T27" s="256"/>
      <c r="U27" s="256"/>
      <c r="V27" s="256"/>
      <c r="W27" s="256"/>
      <c r="X27" s="256"/>
    </row>
    <row r="28" spans="3:24">
      <c r="C28" s="1407" t="s">
        <v>876</v>
      </c>
      <c r="D28" s="1408"/>
      <c r="E28" s="1408"/>
      <c r="F28" s="1408"/>
      <c r="G28" s="1408"/>
      <c r="H28" s="1408"/>
      <c r="I28" s="1408"/>
      <c r="J28" s="1408"/>
      <c r="K28" s="1408"/>
      <c r="L28" s="1408"/>
      <c r="M28" s="1408"/>
      <c r="N28" s="1408"/>
      <c r="O28" s="1408"/>
      <c r="P28" s="1408"/>
      <c r="Q28" s="1408"/>
      <c r="R28" s="1409"/>
      <c r="S28" s="109">
        <f>SUM(S5:S27)</f>
        <v>0</v>
      </c>
      <c r="T28" s="109">
        <f>SUM(T6:T27)</f>
        <v>2058.36</v>
      </c>
      <c r="U28" s="109">
        <f>SUM(U6:U27)</f>
        <v>7570.8</v>
      </c>
      <c r="V28" s="109">
        <f>SUM(V6:V27)</f>
        <v>321.03000000000003</v>
      </c>
      <c r="W28" s="109">
        <f>SUM(W6:W27)</f>
        <v>320.04000000000002</v>
      </c>
      <c r="X28" s="109">
        <f>SUM(X6:X27)</f>
        <v>0</v>
      </c>
    </row>
    <row r="29" spans="3:24">
      <c r="C29" s="1407" t="s">
        <v>877</v>
      </c>
      <c r="D29" s="1408"/>
      <c r="E29" s="1408"/>
      <c r="F29" s="1408"/>
      <c r="G29" s="1408"/>
      <c r="H29" s="1408"/>
      <c r="I29" s="1408"/>
      <c r="J29" s="1408"/>
      <c r="K29" s="1408"/>
      <c r="L29" s="1408"/>
      <c r="M29" s="1408"/>
      <c r="N29" s="1408"/>
      <c r="O29" s="1408"/>
      <c r="P29" s="1408"/>
      <c r="Q29" s="1408"/>
      <c r="R29" s="1409"/>
      <c r="S29" s="110">
        <f>ROUND(PI()/4*POWER(8/1000,2)*7850,3)</f>
        <v>0.39500000000000002</v>
      </c>
      <c r="T29" s="110">
        <f>ROUND(PI()/4*POWER(10/1000,2)*7850,3)</f>
        <v>0.61699999999999999</v>
      </c>
      <c r="U29" s="110">
        <f>ROUND(PI()/4*POWER(12/1000,2)*7850,3)</f>
        <v>0.88800000000000001</v>
      </c>
      <c r="V29" s="110">
        <f>ROUND(PI()/4*POWER(16/1000,2)*7850,2)</f>
        <v>1.58</v>
      </c>
      <c r="W29" s="110">
        <f>ROUND(PI()/4*POWER(20/1000,2)*7850,2)</f>
        <v>2.4700000000000002</v>
      </c>
      <c r="X29" s="110">
        <f>ROUND(PI()/4*POWER(25/1000,2)*7850,2)</f>
        <v>3.85</v>
      </c>
    </row>
    <row r="30" spans="3:24">
      <c r="C30" s="1407" t="s">
        <v>878</v>
      </c>
      <c r="D30" s="1408"/>
      <c r="E30" s="1408"/>
      <c r="F30" s="1408"/>
      <c r="G30" s="1408"/>
      <c r="H30" s="1408"/>
      <c r="I30" s="1408"/>
      <c r="J30" s="1408"/>
      <c r="K30" s="1408"/>
      <c r="L30" s="1408"/>
      <c r="M30" s="1408"/>
      <c r="N30" s="1408"/>
      <c r="O30" s="1408"/>
      <c r="P30" s="1408"/>
      <c r="Q30" s="1408"/>
      <c r="R30" s="1409"/>
      <c r="S30" s="111">
        <f t="shared" ref="S30:X30" si="9">PRODUCT(S28:S29)</f>
        <v>0</v>
      </c>
      <c r="T30" s="111">
        <f t="shared" si="9"/>
        <v>1270.00812</v>
      </c>
      <c r="U30" s="111">
        <f t="shared" si="9"/>
        <v>6722.8704000000007</v>
      </c>
      <c r="V30" s="111">
        <f t="shared" si="9"/>
        <v>507.22740000000005</v>
      </c>
      <c r="W30" s="111">
        <f t="shared" si="9"/>
        <v>790.49880000000007</v>
      </c>
      <c r="X30" s="111">
        <f t="shared" si="9"/>
        <v>0</v>
      </c>
    </row>
    <row r="31" spans="3:24">
      <c r="C31" s="1410" t="s">
        <v>879</v>
      </c>
      <c r="D31" s="1410"/>
      <c r="E31" s="1410"/>
      <c r="F31" s="1410"/>
      <c r="G31" s="1410"/>
      <c r="H31" s="1410"/>
      <c r="I31" s="1410"/>
      <c r="J31" s="1410"/>
      <c r="K31" s="1410"/>
      <c r="L31" s="1410"/>
      <c r="M31" s="1410"/>
      <c r="N31" s="1410"/>
      <c r="O31" s="1410"/>
      <c r="P31" s="1410"/>
      <c r="Q31" s="1410"/>
      <c r="R31" s="1410"/>
      <c r="S31" s="258">
        <f t="shared" ref="S31:X31" si="10">ROUND(S30/1000,3)</f>
        <v>0</v>
      </c>
      <c r="T31" s="258">
        <f t="shared" si="10"/>
        <v>1.27</v>
      </c>
      <c r="U31" s="258">
        <f t="shared" si="10"/>
        <v>6.7229999999999999</v>
      </c>
      <c r="V31" s="258">
        <f t="shared" si="10"/>
        <v>0.50700000000000001</v>
      </c>
      <c r="W31" s="258">
        <f t="shared" si="10"/>
        <v>0.79</v>
      </c>
      <c r="X31" s="258">
        <f t="shared" si="10"/>
        <v>0</v>
      </c>
    </row>
    <row r="32" spans="3:24">
      <c r="C32" s="1403" t="s">
        <v>880</v>
      </c>
      <c r="D32" s="1403"/>
      <c r="E32" s="1403"/>
      <c r="F32" s="1403"/>
      <c r="G32" s="1403"/>
      <c r="H32" s="1403"/>
      <c r="I32" s="1403"/>
      <c r="J32" s="1403"/>
      <c r="K32" s="1403"/>
      <c r="L32" s="1403"/>
      <c r="M32" s="1403"/>
      <c r="N32" s="1403"/>
      <c r="O32" s="1403"/>
      <c r="P32" s="1403"/>
      <c r="Q32" s="1403"/>
      <c r="R32" s="1403"/>
      <c r="S32" s="259">
        <f>+S31+T31+U31+V31+W31+X31</f>
        <v>9.2899999999999991</v>
      </c>
      <c r="T32" s="113"/>
      <c r="U32" s="113"/>
      <c r="V32" s="113"/>
      <c r="W32" s="113"/>
      <c r="X32" s="114"/>
    </row>
  </sheetData>
  <mergeCells count="17">
    <mergeCell ref="C1:X1"/>
    <mergeCell ref="C2:C3"/>
    <mergeCell ref="D2:D3"/>
    <mergeCell ref="E2:E3"/>
    <mergeCell ref="F2:F3"/>
    <mergeCell ref="G2:I3"/>
    <mergeCell ref="J2:N2"/>
    <mergeCell ref="O2:O3"/>
    <mergeCell ref="P2:Q3"/>
    <mergeCell ref="R2:R3"/>
    <mergeCell ref="C32:R32"/>
    <mergeCell ref="S2:X2"/>
    <mergeCell ref="D4:E4"/>
    <mergeCell ref="C28:R28"/>
    <mergeCell ref="C29:R29"/>
    <mergeCell ref="C30:R30"/>
    <mergeCell ref="C31:R31"/>
  </mergeCells>
  <pageMargins left="0.16" right="0.16" top="0.75" bottom="0.75" header="0.3" footer="0.3"/>
  <pageSetup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topLeftCell="E1" workbookViewId="0">
      <selection activeCell="S12" sqref="S12:X14"/>
    </sheetView>
  </sheetViews>
  <sheetFormatPr defaultRowHeight="14.25"/>
  <cols>
    <col min="1" max="2" width="9.140625" style="96" hidden="1" customWidth="1"/>
    <col min="3" max="3" width="5.7109375" style="96" bestFit="1" customWidth="1"/>
    <col min="4" max="4" width="28.28515625" style="96" bestFit="1" customWidth="1"/>
    <col min="5" max="5" width="12.140625" style="96" customWidth="1"/>
    <col min="6" max="6" width="9.28515625" style="96" bestFit="1" customWidth="1"/>
    <col min="7" max="7" width="7.140625" style="96" bestFit="1" customWidth="1"/>
    <col min="8" max="8" width="7.7109375" style="96" bestFit="1" customWidth="1"/>
    <col min="9" max="9" width="8.28515625" style="96" bestFit="1" customWidth="1"/>
    <col min="10" max="10" width="6.85546875" style="96" bestFit="1" customWidth="1"/>
    <col min="11" max="11" width="7.28515625" style="96" bestFit="1" customWidth="1"/>
    <col min="12" max="12" width="6.85546875" style="96" bestFit="1" customWidth="1"/>
    <col min="13" max="14" width="5.7109375" style="96" bestFit="1" customWidth="1"/>
    <col min="15" max="15" width="9.28515625" style="96" bestFit="1" customWidth="1"/>
    <col min="16" max="16" width="6.85546875" style="96" bestFit="1" customWidth="1"/>
    <col min="17" max="17" width="9.140625" style="96"/>
    <col min="18" max="18" width="9.28515625" style="96" bestFit="1" customWidth="1"/>
    <col min="19" max="22" width="10.85546875" style="96" bestFit="1" customWidth="1"/>
    <col min="23" max="23" width="9.5703125" style="96" bestFit="1" customWidth="1"/>
    <col min="24" max="24" width="7.85546875" style="96" bestFit="1" customWidth="1"/>
    <col min="25" max="16384" width="9.140625" style="96"/>
  </cols>
  <sheetData>
    <row r="1" spans="3:24" s="95" customFormat="1" ht="31.5" customHeight="1">
      <c r="C1" s="1411" t="s">
        <v>971</v>
      </c>
      <c r="D1" s="1412"/>
      <c r="E1" s="1412"/>
      <c r="F1" s="1412"/>
      <c r="G1" s="1412"/>
      <c r="H1" s="1412"/>
      <c r="I1" s="1412"/>
      <c r="J1" s="1412"/>
      <c r="K1" s="1412"/>
      <c r="L1" s="1412"/>
      <c r="M1" s="1412"/>
      <c r="N1" s="1412"/>
      <c r="O1" s="1412"/>
      <c r="P1" s="1412"/>
      <c r="Q1" s="1412"/>
      <c r="R1" s="1412"/>
      <c r="S1" s="1412"/>
      <c r="T1" s="1412"/>
      <c r="U1" s="1412"/>
      <c r="V1" s="1412"/>
      <c r="W1" s="1412"/>
      <c r="X1" s="1413"/>
    </row>
    <row r="2" spans="3:24" ht="18" customHeight="1">
      <c r="C2" s="1414" t="s">
        <v>302</v>
      </c>
      <c r="D2" s="1416" t="s">
        <v>0</v>
      </c>
      <c r="E2" s="1417" t="s">
        <v>609</v>
      </c>
      <c r="F2" s="1418" t="s">
        <v>595</v>
      </c>
      <c r="G2" s="1414" t="s">
        <v>610</v>
      </c>
      <c r="H2" s="1414"/>
      <c r="I2" s="1414"/>
      <c r="J2" s="1417" t="s">
        <v>611</v>
      </c>
      <c r="K2" s="1417"/>
      <c r="L2" s="1417"/>
      <c r="M2" s="1417"/>
      <c r="N2" s="1417"/>
      <c r="O2" s="1417" t="s">
        <v>612</v>
      </c>
      <c r="P2" s="1419" t="s">
        <v>613</v>
      </c>
      <c r="Q2" s="1420"/>
      <c r="R2" s="1417" t="s">
        <v>614</v>
      </c>
      <c r="S2" s="1404" t="s">
        <v>615</v>
      </c>
      <c r="T2" s="1404"/>
      <c r="U2" s="1404"/>
      <c r="V2" s="1404"/>
      <c r="W2" s="1404"/>
      <c r="X2" s="1404"/>
    </row>
    <row r="3" spans="3:24" ht="21.75" customHeight="1">
      <c r="C3" s="1415"/>
      <c r="D3" s="1414"/>
      <c r="E3" s="1404"/>
      <c r="F3" s="1417"/>
      <c r="G3" s="1415"/>
      <c r="H3" s="1415"/>
      <c r="I3" s="1415"/>
      <c r="J3" s="97" t="s">
        <v>299</v>
      </c>
      <c r="K3" s="97" t="s">
        <v>46</v>
      </c>
      <c r="L3" s="97" t="s">
        <v>50</v>
      </c>
      <c r="M3" s="97" t="s">
        <v>67</v>
      </c>
      <c r="N3" s="97" t="s">
        <v>73</v>
      </c>
      <c r="O3" s="1404"/>
      <c r="P3" s="1421"/>
      <c r="Q3" s="1422"/>
      <c r="R3" s="1404"/>
      <c r="S3" s="98" t="s">
        <v>616</v>
      </c>
      <c r="T3" s="98" t="s">
        <v>617</v>
      </c>
      <c r="U3" s="98" t="s">
        <v>618</v>
      </c>
      <c r="V3" s="98" t="s">
        <v>619</v>
      </c>
      <c r="W3" s="98" t="s">
        <v>620</v>
      </c>
      <c r="X3" s="98" t="s">
        <v>621</v>
      </c>
    </row>
    <row r="4" spans="3:24" ht="58.5" customHeight="1">
      <c r="C4" s="97"/>
      <c r="D4" s="1405"/>
      <c r="E4" s="1406"/>
      <c r="F4" s="99"/>
      <c r="G4" s="97" t="s">
        <v>623</v>
      </c>
      <c r="H4" s="100" t="s">
        <v>624</v>
      </c>
      <c r="I4" s="100" t="s">
        <v>625</v>
      </c>
      <c r="J4" s="97"/>
      <c r="K4" s="97"/>
      <c r="L4" s="97"/>
      <c r="M4" s="97"/>
      <c r="N4" s="97"/>
      <c r="O4" s="100"/>
      <c r="P4" s="97"/>
      <c r="Q4" s="97"/>
      <c r="R4" s="100"/>
      <c r="S4" s="98"/>
      <c r="T4" s="98"/>
      <c r="U4" s="98"/>
      <c r="V4" s="98"/>
      <c r="W4" s="98"/>
      <c r="X4" s="98"/>
    </row>
    <row r="5" spans="3:24" ht="23.25" customHeight="1">
      <c r="C5" s="101">
        <v>1</v>
      </c>
      <c r="D5" s="102" t="s">
        <v>885</v>
      </c>
      <c r="E5" s="103"/>
      <c r="F5" s="103"/>
      <c r="G5" s="103"/>
      <c r="H5" s="103"/>
      <c r="I5" s="103"/>
      <c r="J5" s="103"/>
      <c r="K5" s="103"/>
      <c r="L5" s="103"/>
      <c r="M5" s="104"/>
      <c r="N5" s="104"/>
      <c r="O5" s="103"/>
      <c r="P5" s="105"/>
      <c r="Q5" s="103"/>
      <c r="R5" s="103"/>
      <c r="S5" s="103"/>
      <c r="T5" s="103"/>
      <c r="U5" s="103"/>
      <c r="V5" s="103"/>
      <c r="W5" s="103"/>
      <c r="X5" s="103"/>
    </row>
    <row r="6" spans="3:24" ht="27.75" customHeight="1">
      <c r="C6" s="106"/>
      <c r="D6" s="107" t="s">
        <v>886</v>
      </c>
      <c r="E6" s="103" t="s">
        <v>120</v>
      </c>
      <c r="F6" s="103">
        <v>16</v>
      </c>
      <c r="G6" s="103">
        <v>1</v>
      </c>
      <c r="H6" s="103">
        <v>12</v>
      </c>
      <c r="I6" s="103">
        <v>132</v>
      </c>
      <c r="J6" s="103">
        <v>0.3</v>
      </c>
      <c r="K6" s="103">
        <f>((2095+450+66)-(80+75))/1000</f>
        <v>2.456</v>
      </c>
      <c r="L6" s="103"/>
      <c r="M6" s="104"/>
      <c r="N6" s="104"/>
      <c r="O6" s="103">
        <f>J6+K6+L6+M6+N6</f>
        <v>2.7559999999999998</v>
      </c>
      <c r="P6" s="105">
        <f>(IF(F6=8,F6*2*2,IF(F6=10,F6*2*2,IF(F6=12,F6*2*2,IF(F6=16,F6*2*2,IF(F6=20,F6*2*2,IF(F6=25,F6*2*2))))))/1000)/2</f>
        <v>3.2000000000000001E-2</v>
      </c>
      <c r="Q6" s="103"/>
      <c r="R6" s="105">
        <f>O6-P6</f>
        <v>2.7239999999999998</v>
      </c>
      <c r="S6" s="103" t="str">
        <f>IF(F6=8,ROUND(PRODUCT(G6:I6,R6),2),"-")</f>
        <v>-</v>
      </c>
      <c r="T6" s="103" t="str">
        <f>IF(F6=10,ROUND(PRODUCT(G6:I6,R6),2),"-")</f>
        <v>-</v>
      </c>
      <c r="U6" s="103" t="str">
        <f>IF(F6=12,ROUND(PRODUCT(G6:I6,R6),2),"-")</f>
        <v>-</v>
      </c>
      <c r="V6" s="108">
        <f>IF(F6=16,ROUND(PRODUCT(G6:I6,R6),2),"-")</f>
        <v>4314.82</v>
      </c>
      <c r="W6" s="103" t="str">
        <f>IF(F6=20,ROUND(PRODUCT(G6:I6,R6),2),"-")</f>
        <v>-</v>
      </c>
      <c r="X6" s="103" t="str">
        <f>IF(F6=25,ROUND(PRODUCT(G6:I6,R6),2),"-")</f>
        <v>-</v>
      </c>
    </row>
    <row r="7" spans="3:24" ht="27.75" customHeight="1">
      <c r="C7" s="106"/>
      <c r="D7" s="107" t="s">
        <v>887</v>
      </c>
      <c r="E7" s="103" t="s">
        <v>888</v>
      </c>
      <c r="F7" s="103">
        <v>8</v>
      </c>
      <c r="G7" s="103">
        <v>1</v>
      </c>
      <c r="H7" s="103">
        <v>17</v>
      </c>
      <c r="I7" s="103">
        <v>132</v>
      </c>
      <c r="J7" s="103">
        <v>0.32</v>
      </c>
      <c r="K7" s="103">
        <v>0.47</v>
      </c>
      <c r="L7" s="103">
        <v>0.32</v>
      </c>
      <c r="M7" s="104">
        <v>0.47</v>
      </c>
      <c r="N7" s="104">
        <v>0.16</v>
      </c>
      <c r="O7" s="103">
        <f>J7+K7+L7+M7+N7</f>
        <v>1.74</v>
      </c>
      <c r="P7" s="105">
        <f>IF(F7=8,F7*2*5,IF(F7=10,F7*2*5,IF(F7=12,F7*2*5,IF(F7=16,F7*2*5,IF(F7=20,F7*2*5,IF(F7=25,F7*2*5))))))/1000</f>
        <v>0.08</v>
      </c>
      <c r="Q7" s="103"/>
      <c r="R7" s="105">
        <f>O7-P7</f>
        <v>1.66</v>
      </c>
      <c r="S7" s="103">
        <f>IF(F7=8,ROUND(PRODUCT(G7:I7,R7),2),"-")</f>
        <v>3725.04</v>
      </c>
      <c r="T7" s="103" t="str">
        <f>IF(F7=10,ROUND(PRODUCT(G7:I7,R7),2),"-")</f>
        <v>-</v>
      </c>
      <c r="U7" s="103" t="str">
        <f>IF(F7=12,ROUND(PRODUCT(G7:I7,R7),2),"-")</f>
        <v>-</v>
      </c>
      <c r="V7" s="103" t="str">
        <f>IF(F7=16,ROUND(PRODUCT(G7:I7,R7),2),"-")</f>
        <v>-</v>
      </c>
      <c r="W7" s="103" t="str">
        <f>IF(F7=20,ROUND(PRODUCT(G7:I7,R7),2),"-")</f>
        <v>-</v>
      </c>
      <c r="X7" s="103" t="str">
        <f>IF(F7=25,ROUND(PRODUCT(G7:I7,R7),2),"-")</f>
        <v>-</v>
      </c>
    </row>
    <row r="8" spans="3:24" ht="27" customHeight="1">
      <c r="C8" s="106"/>
      <c r="D8" s="107" t="s">
        <v>889</v>
      </c>
      <c r="E8" s="103"/>
      <c r="F8" s="103">
        <v>8</v>
      </c>
      <c r="G8" s="103">
        <v>1</v>
      </c>
      <c r="H8" s="103">
        <v>34</v>
      </c>
      <c r="I8" s="103">
        <v>132</v>
      </c>
      <c r="J8" s="103">
        <v>0.22</v>
      </c>
      <c r="K8" s="103">
        <v>0.32</v>
      </c>
      <c r="L8" s="103">
        <v>0.22</v>
      </c>
      <c r="M8" s="104"/>
      <c r="N8" s="104">
        <v>0.16</v>
      </c>
      <c r="O8" s="103">
        <f>J8+K8+L8+M8+N8</f>
        <v>0.92</v>
      </c>
      <c r="P8" s="105">
        <f>IF(F8=8,F8*2*4,IF(F8=10,F8*2*4,IF(F8=12,F8*2*4,IF(F8=16,F8*2*4,IF(F8=20,F8*2*2,IF(F8=25,F8))))))/1000</f>
        <v>6.4000000000000001E-2</v>
      </c>
      <c r="Q8" s="103"/>
      <c r="R8" s="105">
        <f>O8-P8</f>
        <v>0.85600000000000009</v>
      </c>
      <c r="S8" s="103">
        <f>IF(F8=8,ROUND(PRODUCT(G8:I8,R8),2),"-")</f>
        <v>3841.73</v>
      </c>
      <c r="T8" s="103" t="str">
        <f>IF(F8=10,ROUND(PRODUCT(G8:I8,R8),2),"-")</f>
        <v>-</v>
      </c>
      <c r="U8" s="103" t="str">
        <f>IF(F8=12,ROUND(PRODUCT(G8:I8,R8),2),"-")</f>
        <v>-</v>
      </c>
      <c r="V8" s="103" t="str">
        <f>IF(F8=16,ROUND(PRODUCT(G8:I8,R8),2),"-")</f>
        <v>-</v>
      </c>
      <c r="W8" s="103" t="str">
        <f>IF(F8=20,ROUND(PRODUCT(G8:I8,R8),2),"-")</f>
        <v>-</v>
      </c>
      <c r="X8" s="103" t="str">
        <f>IF(F8=25,ROUND(PRODUCT(G8:I8,R8),2),"-")</f>
        <v>-</v>
      </c>
    </row>
    <row r="9" spans="3:24" ht="27.75" customHeight="1">
      <c r="C9" s="106"/>
      <c r="D9" s="107" t="s">
        <v>890</v>
      </c>
      <c r="E9" s="103"/>
      <c r="F9" s="103">
        <v>8</v>
      </c>
      <c r="G9" s="103">
        <v>1</v>
      </c>
      <c r="H9" s="103">
        <v>17</v>
      </c>
      <c r="I9" s="103">
        <v>132</v>
      </c>
      <c r="J9" s="103"/>
      <c r="K9" s="103">
        <v>0.32</v>
      </c>
      <c r="L9" s="103"/>
      <c r="M9" s="104"/>
      <c r="N9" s="104">
        <v>0.16</v>
      </c>
      <c r="O9" s="103">
        <f>J9+K9+L9+M9+N9</f>
        <v>0.48</v>
      </c>
      <c r="P9" s="105">
        <f>IF(F9=8,F9*2*2,IF(F9=10,F9*2*2,IF(F9=12,F9*2*2,IF(F9=16,F9*2*2,IF(F9=20,F9*2*2,IF(F9=25,F9*2))))))/1000*0</f>
        <v>0</v>
      </c>
      <c r="Q9" s="103"/>
      <c r="R9" s="105">
        <f>O9-P9</f>
        <v>0.48</v>
      </c>
      <c r="S9" s="103">
        <f>IF(F9=8,ROUND(PRODUCT(G9:I9,R9),2),"-")</f>
        <v>1077.1199999999999</v>
      </c>
      <c r="T9" s="103" t="str">
        <f>IF(F9=10,ROUND(PRODUCT(G9:I9,R9),2),"-")</f>
        <v>-</v>
      </c>
      <c r="U9" s="103" t="str">
        <f>IF(F9=12,ROUND(PRODUCT(G9:I9,R9),2),"-")</f>
        <v>-</v>
      </c>
      <c r="V9" s="103" t="str">
        <f>IF(F9=16,ROUND(PRODUCT(G9:I9,R9),2),"-")</f>
        <v>-</v>
      </c>
      <c r="W9" s="103" t="str">
        <f>IF(F9=20,ROUND(PRODUCT(G9:I9,R9),2),"-")</f>
        <v>-</v>
      </c>
      <c r="X9" s="103" t="str">
        <f>IF(F9=25,ROUND(PRODUCT(G9:I9,R9),2),"-")</f>
        <v>-</v>
      </c>
    </row>
    <row r="10" spans="3:24">
      <c r="C10" s="106"/>
      <c r="D10" s="107"/>
      <c r="E10" s="103"/>
      <c r="F10" s="103"/>
      <c r="G10" s="103"/>
      <c r="H10" s="103"/>
      <c r="I10" s="103"/>
      <c r="J10" s="103"/>
      <c r="K10" s="103"/>
      <c r="L10" s="103"/>
      <c r="M10" s="104"/>
      <c r="N10" s="104"/>
      <c r="O10" s="103"/>
      <c r="P10" s="105"/>
      <c r="Q10" s="103"/>
      <c r="R10" s="103"/>
      <c r="S10" s="103"/>
      <c r="T10" s="103" t="str">
        <f>IF(F10=10,ROUND(PRODUCT(G10:I10,R10),2),"-")</f>
        <v>-</v>
      </c>
      <c r="U10" s="103" t="str">
        <f>IF(F10=12,ROUND(PRODUCT(G10:I10,R10),2),"-")</f>
        <v>-</v>
      </c>
      <c r="V10" s="103" t="str">
        <f>IF(F10=16,ROUND(PRODUCT(G10:I10,R10),2),"-")</f>
        <v>-</v>
      </c>
      <c r="W10" s="103" t="str">
        <f>IF(F10=20,ROUND(PRODUCT(G10:I10,R10),2),"-")</f>
        <v>-</v>
      </c>
      <c r="X10" s="103" t="str">
        <f>IF(F10=25,ROUND(PRODUCT(G10:I10,R10),2),"-")</f>
        <v>-</v>
      </c>
    </row>
    <row r="11" spans="3:24">
      <c r="C11" s="1407" t="s">
        <v>876</v>
      </c>
      <c r="D11" s="1408"/>
      <c r="E11" s="1408"/>
      <c r="F11" s="1408"/>
      <c r="G11" s="1408"/>
      <c r="H11" s="1408"/>
      <c r="I11" s="1408"/>
      <c r="J11" s="1408"/>
      <c r="K11" s="1408"/>
      <c r="L11" s="1408"/>
      <c r="M11" s="1408"/>
      <c r="N11" s="1408"/>
      <c r="O11" s="1408"/>
      <c r="P11" s="1408"/>
      <c r="Q11" s="1408"/>
      <c r="R11" s="1409"/>
      <c r="S11" s="109">
        <f t="shared" ref="S11:X11" si="0">SUM(S5:S10)</f>
        <v>8643.89</v>
      </c>
      <c r="T11" s="109">
        <f t="shared" si="0"/>
        <v>0</v>
      </c>
      <c r="U11" s="109">
        <f t="shared" si="0"/>
        <v>0</v>
      </c>
      <c r="V11" s="109">
        <f t="shared" si="0"/>
        <v>4314.82</v>
      </c>
      <c r="W11" s="109">
        <f t="shared" si="0"/>
        <v>0</v>
      </c>
      <c r="X11" s="109">
        <f t="shared" si="0"/>
        <v>0</v>
      </c>
    </row>
    <row r="12" spans="3:24">
      <c r="C12" s="1407" t="s">
        <v>877</v>
      </c>
      <c r="D12" s="1408"/>
      <c r="E12" s="1408"/>
      <c r="F12" s="1408"/>
      <c r="G12" s="1408"/>
      <c r="H12" s="1408"/>
      <c r="I12" s="1408"/>
      <c r="J12" s="1408"/>
      <c r="K12" s="1408"/>
      <c r="L12" s="1408"/>
      <c r="M12" s="1408"/>
      <c r="N12" s="1408"/>
      <c r="O12" s="1408"/>
      <c r="P12" s="1408"/>
      <c r="Q12" s="1408"/>
      <c r="R12" s="1409"/>
      <c r="S12" s="110">
        <f>ROUND(PI()/4*POWER(8/1000,2)*7850,3)</f>
        <v>0.39500000000000002</v>
      </c>
      <c r="T12" s="110">
        <f>ROUND(PI()/4*POWER(10/1000,2)*7850,3)</f>
        <v>0.61699999999999999</v>
      </c>
      <c r="U12" s="110">
        <f>ROUND(PI()/4*POWER(12/1000,2)*7850,3)</f>
        <v>0.88800000000000001</v>
      </c>
      <c r="V12" s="110">
        <f>ROUND(PI()/4*POWER(16/1000,2)*7850,2)</f>
        <v>1.58</v>
      </c>
      <c r="W12" s="110">
        <f>ROUND(PI()/4*POWER(20/1000,2)*7850,2)</f>
        <v>2.4700000000000002</v>
      </c>
      <c r="X12" s="110">
        <f>ROUND(PI()/4*POWER(25/1000,2)*7850,2)</f>
        <v>3.85</v>
      </c>
    </row>
    <row r="13" spans="3:24">
      <c r="C13" s="1407" t="s">
        <v>878</v>
      </c>
      <c r="D13" s="1408"/>
      <c r="E13" s="1408"/>
      <c r="F13" s="1408"/>
      <c r="G13" s="1408"/>
      <c r="H13" s="1408"/>
      <c r="I13" s="1408"/>
      <c r="J13" s="1408"/>
      <c r="K13" s="1408"/>
      <c r="L13" s="1408"/>
      <c r="M13" s="1408"/>
      <c r="N13" s="1408"/>
      <c r="O13" s="1408"/>
      <c r="P13" s="1408"/>
      <c r="Q13" s="1408"/>
      <c r="R13" s="1409"/>
      <c r="S13" s="111">
        <f t="shared" ref="S13:X13" si="1">PRODUCT(S11:S12)</f>
        <v>3414.33655</v>
      </c>
      <c r="T13" s="111">
        <f t="shared" si="1"/>
        <v>0</v>
      </c>
      <c r="U13" s="111">
        <f t="shared" si="1"/>
        <v>0</v>
      </c>
      <c r="V13" s="111">
        <f t="shared" si="1"/>
        <v>6817.4156000000003</v>
      </c>
      <c r="W13" s="111">
        <f t="shared" si="1"/>
        <v>0</v>
      </c>
      <c r="X13" s="111">
        <f t="shared" si="1"/>
        <v>0</v>
      </c>
    </row>
    <row r="14" spans="3:24">
      <c r="C14" s="1410" t="s">
        <v>879</v>
      </c>
      <c r="D14" s="1410"/>
      <c r="E14" s="1410"/>
      <c r="F14" s="1410"/>
      <c r="G14" s="1410"/>
      <c r="H14" s="1410"/>
      <c r="I14" s="1410"/>
      <c r="J14" s="1410"/>
      <c r="K14" s="1410"/>
      <c r="L14" s="1410"/>
      <c r="M14" s="1410"/>
      <c r="N14" s="1410"/>
      <c r="O14" s="1410"/>
      <c r="P14" s="1410"/>
      <c r="Q14" s="1410"/>
      <c r="R14" s="1410"/>
      <c r="S14" s="258">
        <f t="shared" ref="S14:X14" si="2">ROUND(S13/1000,3)</f>
        <v>3.4140000000000001</v>
      </c>
      <c r="T14" s="258">
        <f t="shared" si="2"/>
        <v>0</v>
      </c>
      <c r="U14" s="258">
        <f t="shared" si="2"/>
        <v>0</v>
      </c>
      <c r="V14" s="258">
        <f t="shared" si="2"/>
        <v>6.8170000000000002</v>
      </c>
      <c r="W14" s="258">
        <f t="shared" si="2"/>
        <v>0</v>
      </c>
      <c r="X14" s="258">
        <f t="shared" si="2"/>
        <v>0</v>
      </c>
    </row>
    <row r="15" spans="3:24">
      <c r="C15" s="1403" t="s">
        <v>880</v>
      </c>
      <c r="D15" s="1403"/>
      <c r="E15" s="1403"/>
      <c r="F15" s="1403"/>
      <c r="G15" s="1403"/>
      <c r="H15" s="1403"/>
      <c r="I15" s="1403"/>
      <c r="J15" s="1403"/>
      <c r="K15" s="1403"/>
      <c r="L15" s="1403"/>
      <c r="M15" s="1403"/>
      <c r="N15" s="1403"/>
      <c r="O15" s="1403"/>
      <c r="P15" s="1403"/>
      <c r="Q15" s="1403"/>
      <c r="R15" s="1403"/>
      <c r="S15" s="112">
        <f>SUM(S14:X14)</f>
        <v>10.231</v>
      </c>
      <c r="T15" s="113"/>
      <c r="U15" s="113"/>
      <c r="V15" s="113"/>
      <c r="W15" s="113"/>
      <c r="X15" s="114"/>
    </row>
  </sheetData>
  <mergeCells count="17">
    <mergeCell ref="C1:X1"/>
    <mergeCell ref="C2:C3"/>
    <mergeCell ref="D2:D3"/>
    <mergeCell ref="E2:E3"/>
    <mergeCell ref="F2:F3"/>
    <mergeCell ref="G2:I3"/>
    <mergeCell ref="J2:N2"/>
    <mergeCell ref="O2:O3"/>
    <mergeCell ref="P2:Q3"/>
    <mergeCell ref="R2:R3"/>
    <mergeCell ref="C15:R15"/>
    <mergeCell ref="S2:X2"/>
    <mergeCell ref="D4:E4"/>
    <mergeCell ref="C11:R11"/>
    <mergeCell ref="C12:R12"/>
    <mergeCell ref="C13:R13"/>
    <mergeCell ref="C14:R14"/>
  </mergeCells>
  <pageMargins left="0.16" right="0.16" top="0.75" bottom="0.75" header="0.3" footer="0.16"/>
  <pageSetup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5"/>
  <sheetViews>
    <sheetView view="pageBreakPreview" topLeftCell="C1" zoomScale="70" zoomScaleNormal="60" zoomScaleSheetLayoutView="70" zoomScalePageLayoutView="55" workbookViewId="0">
      <selection activeCell="D10" sqref="D10"/>
    </sheetView>
  </sheetViews>
  <sheetFormatPr defaultRowHeight="15.75"/>
  <cols>
    <col min="1" max="2" width="9.140625" style="263" hidden="1" customWidth="1"/>
    <col min="3" max="3" width="5.7109375" style="263" bestFit="1" customWidth="1"/>
    <col min="4" max="4" width="73.140625" style="263" customWidth="1"/>
    <col min="5" max="5" width="9.28515625" style="263" customWidth="1"/>
    <col min="6" max="6" width="10.7109375" style="263" customWidth="1"/>
    <col min="7" max="7" width="11.85546875" style="263" customWidth="1"/>
    <col min="8" max="8" width="5.140625" style="263" bestFit="1" customWidth="1"/>
    <col min="9" max="9" width="8.28515625" style="263" bestFit="1" customWidth="1"/>
    <col min="10" max="10" width="6.42578125" style="263" bestFit="1" customWidth="1"/>
    <col min="11" max="11" width="8.140625" style="263" bestFit="1" customWidth="1"/>
    <col min="12" max="12" width="7.42578125" style="263" bestFit="1" customWidth="1"/>
    <col min="13" max="13" width="6.28515625" style="263" bestFit="1" customWidth="1"/>
    <col min="14" max="14" width="6.42578125" style="263" bestFit="1" customWidth="1"/>
    <col min="15" max="15" width="14.140625" style="263" bestFit="1" customWidth="1"/>
    <col min="16" max="16" width="7.42578125" style="263" bestFit="1" customWidth="1"/>
    <col min="17" max="17" width="10.7109375" style="263" customWidth="1"/>
    <col min="18" max="18" width="8.7109375" style="263" bestFit="1" customWidth="1"/>
    <col min="19" max="19" width="10" style="263" bestFit="1" customWidth="1"/>
    <col min="20" max="20" width="8.7109375" style="263" bestFit="1" customWidth="1"/>
    <col min="21" max="22" width="9.140625" style="263" bestFit="1" customWidth="1"/>
    <col min="23" max="24" width="7.7109375" style="263" bestFit="1" customWidth="1"/>
    <col min="25" max="16384" width="9.140625" style="263"/>
  </cols>
  <sheetData>
    <row r="1" spans="3:24" ht="20.25">
      <c r="C1" s="1423" t="s">
        <v>1154</v>
      </c>
      <c r="D1" s="1423"/>
      <c r="E1" s="1423"/>
      <c r="F1" s="1423"/>
      <c r="G1" s="1423"/>
      <c r="H1" s="1423"/>
      <c r="I1" s="1423"/>
      <c r="J1" s="1423"/>
      <c r="K1" s="1423"/>
      <c r="L1" s="1423"/>
      <c r="M1" s="1423"/>
      <c r="N1" s="1423"/>
      <c r="O1" s="1423"/>
      <c r="P1" s="1423"/>
      <c r="Q1" s="1423"/>
      <c r="R1" s="1423"/>
      <c r="S1" s="1423"/>
      <c r="T1" s="1423"/>
      <c r="U1" s="1423"/>
      <c r="V1" s="1423"/>
      <c r="W1" s="1423"/>
      <c r="X1" s="1423"/>
    </row>
    <row r="2" spans="3:24" s="314" customFormat="1" ht="15.75" customHeight="1">
      <c r="C2" s="1424" t="s">
        <v>302</v>
      </c>
      <c r="D2" s="1424" t="s">
        <v>0</v>
      </c>
      <c r="E2" s="1424" t="s">
        <v>919</v>
      </c>
      <c r="F2" s="1425" t="s">
        <v>595</v>
      </c>
      <c r="G2" s="1424" t="s">
        <v>610</v>
      </c>
      <c r="H2" s="1424"/>
      <c r="I2" s="1424"/>
      <c r="J2" s="1424" t="s">
        <v>611</v>
      </c>
      <c r="K2" s="1424"/>
      <c r="L2" s="1424"/>
      <c r="M2" s="1424"/>
      <c r="N2" s="1424"/>
      <c r="O2" s="1424" t="s">
        <v>1153</v>
      </c>
      <c r="P2" s="1424" t="s">
        <v>613</v>
      </c>
      <c r="Q2" s="1424"/>
      <c r="R2" s="1424" t="s">
        <v>922</v>
      </c>
      <c r="S2" s="1424" t="s">
        <v>615</v>
      </c>
      <c r="T2" s="1424"/>
      <c r="U2" s="1424"/>
      <c r="V2" s="1424"/>
      <c r="W2" s="1424"/>
      <c r="X2" s="1424"/>
    </row>
    <row r="3" spans="3:24" s="314" customFormat="1" ht="31.5">
      <c r="C3" s="1424"/>
      <c r="D3" s="1424"/>
      <c r="E3" s="1424"/>
      <c r="F3" s="1425"/>
      <c r="G3" s="1424"/>
      <c r="H3" s="1424"/>
      <c r="I3" s="1424"/>
      <c r="J3" s="315" t="s">
        <v>299</v>
      </c>
      <c r="K3" s="315" t="s">
        <v>46</v>
      </c>
      <c r="L3" s="315" t="s">
        <v>50</v>
      </c>
      <c r="M3" s="315" t="s">
        <v>67</v>
      </c>
      <c r="N3" s="315" t="s">
        <v>73</v>
      </c>
      <c r="O3" s="1424"/>
      <c r="P3" s="1424"/>
      <c r="Q3" s="1424"/>
      <c r="R3" s="1424"/>
      <c r="S3" s="315" t="s">
        <v>616</v>
      </c>
      <c r="T3" s="315" t="s">
        <v>617</v>
      </c>
      <c r="U3" s="315" t="s">
        <v>618</v>
      </c>
      <c r="V3" s="315" t="s">
        <v>619</v>
      </c>
      <c r="W3" s="315" t="s">
        <v>620</v>
      </c>
      <c r="X3" s="315" t="s">
        <v>621</v>
      </c>
    </row>
    <row r="4" spans="3:24" s="314" customFormat="1" ht="71.25">
      <c r="C4" s="315"/>
      <c r="D4" s="316" t="s">
        <v>622</v>
      </c>
      <c r="E4" s="1424"/>
      <c r="F4" s="315"/>
      <c r="G4" s="317" t="s">
        <v>623</v>
      </c>
      <c r="H4" s="318" t="s">
        <v>624</v>
      </c>
      <c r="I4" s="315" t="s">
        <v>923</v>
      </c>
      <c r="J4" s="315"/>
      <c r="K4" s="315"/>
      <c r="L4" s="315"/>
      <c r="M4" s="315"/>
      <c r="N4" s="315"/>
      <c r="O4" s="1424"/>
      <c r="P4" s="315"/>
      <c r="Q4" s="315"/>
      <c r="R4" s="1424"/>
      <c r="S4" s="315"/>
      <c r="T4" s="315"/>
      <c r="U4" s="315"/>
      <c r="V4" s="315"/>
      <c r="W4" s="315"/>
      <c r="X4" s="315"/>
    </row>
    <row r="5" spans="3:24">
      <c r="C5" s="264"/>
      <c r="D5" s="319"/>
      <c r="E5" s="319"/>
      <c r="F5" s="320"/>
      <c r="G5" s="264"/>
      <c r="H5" s="320"/>
      <c r="I5" s="320"/>
      <c r="J5" s="264"/>
      <c r="K5" s="264"/>
      <c r="L5" s="264"/>
      <c r="M5" s="264"/>
      <c r="N5" s="264"/>
      <c r="O5" s="320"/>
      <c r="P5" s="264"/>
      <c r="Q5" s="264"/>
      <c r="R5" s="265"/>
      <c r="S5" s="265"/>
      <c r="T5" s="265"/>
      <c r="U5" s="265"/>
      <c r="V5" s="265"/>
      <c r="W5" s="265"/>
      <c r="X5" s="265"/>
    </row>
    <row r="6" spans="3:24">
      <c r="C6" s="312">
        <v>1</v>
      </c>
      <c r="D6" s="268" t="s">
        <v>626</v>
      </c>
      <c r="E6" s="303" t="s">
        <v>908</v>
      </c>
      <c r="F6" s="303">
        <v>12</v>
      </c>
      <c r="G6" s="303">
        <v>1</v>
      </c>
      <c r="H6" s="303">
        <v>6</v>
      </c>
      <c r="I6" s="303">
        <v>1</v>
      </c>
      <c r="J6" s="303">
        <v>0.16</v>
      </c>
      <c r="K6" s="269">
        <v>13.05</v>
      </c>
      <c r="L6" s="303">
        <v>0.16</v>
      </c>
      <c r="M6" s="303"/>
      <c r="N6" s="303"/>
      <c r="O6" s="321">
        <f>J6+K6+L6+M6+N6</f>
        <v>13.370000000000001</v>
      </c>
      <c r="P6" s="322">
        <f>IF(E6="Ring",F6*2*5,IF(E6="U Shape",F6*2*2,IF(E6="L Shape",F6*2*1,IF(E6="Streight",F6*2*0,IF(E6="Trianguler",F6*2*4,IF(E6="Z Shape",F6*2*2))))))/1000</f>
        <v>4.8000000000000001E-2</v>
      </c>
      <c r="Q6" s="322"/>
      <c r="R6" s="303">
        <f>O6-P6</f>
        <v>13.322000000000001</v>
      </c>
      <c r="S6" s="303" t="str">
        <f>IF(F6=8,ROUND(PRODUCT(G6:I6,R6),2),"-")</f>
        <v>-</v>
      </c>
      <c r="T6" s="303" t="str">
        <f>IF(F6=10,ROUND(PRODUCT(G6:I6,R6),2),"-")</f>
        <v>-</v>
      </c>
      <c r="U6" s="303">
        <f>IF(F6=12,ROUND(PRODUCT(G6:I6,R6),2),"-")</f>
        <v>79.930000000000007</v>
      </c>
      <c r="V6" s="303" t="str">
        <f>IF(F6=16,ROUND(PRODUCT(G6:I6,R6),2),"-")</f>
        <v>-</v>
      </c>
      <c r="W6" s="303" t="str">
        <f>IF(F6=20,ROUND(PRODUCT(G6:I6,R6),2),"-")</f>
        <v>-</v>
      </c>
      <c r="X6" s="303" t="str">
        <f>IF(F6=25,ROUND(PRODUCT(G6:I6,R6),2),"-")</f>
        <v>-</v>
      </c>
    </row>
    <row r="7" spans="3:24">
      <c r="C7" s="312"/>
      <c r="D7" s="270" t="s">
        <v>628</v>
      </c>
      <c r="E7" s="303" t="s">
        <v>909</v>
      </c>
      <c r="F7" s="303">
        <v>16</v>
      </c>
      <c r="G7" s="303">
        <v>1</v>
      </c>
      <c r="H7" s="303">
        <v>4</v>
      </c>
      <c r="I7" s="303">
        <v>1</v>
      </c>
      <c r="J7" s="303"/>
      <c r="K7" s="269">
        <v>2.8</v>
      </c>
      <c r="L7" s="303"/>
      <c r="M7" s="303"/>
      <c r="N7" s="303"/>
      <c r="O7" s="321">
        <f t="shared" ref="O7:O70" si="0">J7+K7+L7+M7+N7</f>
        <v>2.8</v>
      </c>
      <c r="P7" s="322">
        <f t="shared" ref="P7:P70" si="1">IF(E7="Ring",F7*2*5,IF(E7="U Shape",F7*2*2,IF(E7="L Shape",F7*2*1,IF(E7="Streight",F7*2*0,IF(E7="Trianguler",F7*2*4,IF(E7="Z Shape",F7*2*2))))))/1000</f>
        <v>0</v>
      </c>
      <c r="Q7" s="322"/>
      <c r="R7" s="303">
        <f t="shared" ref="R7:R70" si="2">O7-P7</f>
        <v>2.8</v>
      </c>
      <c r="S7" s="303" t="str">
        <f t="shared" ref="S7:S70" si="3">IF(F7=8,ROUND(PRODUCT(G7:I7,R7),2),"-")</f>
        <v>-</v>
      </c>
      <c r="T7" s="303" t="str">
        <f t="shared" ref="T7:T70" si="4">IF(F7=10,ROUND(PRODUCT(G7:I7,R7),2),"-")</f>
        <v>-</v>
      </c>
      <c r="U7" s="303" t="str">
        <f t="shared" ref="U7:U70" si="5">IF(F7=12,ROUND(PRODUCT(G7:I7,R7),2),"-")</f>
        <v>-</v>
      </c>
      <c r="V7" s="303">
        <f t="shared" ref="V7:V70" si="6">IF(F7=16,ROUND(PRODUCT(G7:I7,R7),2),"-")</f>
        <v>11.2</v>
      </c>
      <c r="W7" s="303" t="str">
        <f t="shared" ref="W7:W70" si="7">IF(F7=20,ROUND(PRODUCT(G7:I7,R7),2),"-")</f>
        <v>-</v>
      </c>
      <c r="X7" s="303" t="str">
        <f t="shared" ref="X7:X70" si="8">IF(F7=25,ROUND(PRODUCT(G7:I7,R7),2),"-")</f>
        <v>-</v>
      </c>
    </row>
    <row r="8" spans="3:24">
      <c r="C8" s="312"/>
      <c r="D8" s="270" t="s">
        <v>629</v>
      </c>
      <c r="E8" s="303" t="s">
        <v>909</v>
      </c>
      <c r="F8" s="303">
        <v>16</v>
      </c>
      <c r="G8" s="303">
        <v>1</v>
      </c>
      <c r="H8" s="303">
        <v>2</v>
      </c>
      <c r="I8" s="303">
        <v>1</v>
      </c>
      <c r="J8" s="303"/>
      <c r="K8" s="269">
        <v>3.3</v>
      </c>
      <c r="L8" s="303"/>
      <c r="M8" s="303"/>
      <c r="N8" s="303"/>
      <c r="O8" s="321">
        <f t="shared" si="0"/>
        <v>3.3</v>
      </c>
      <c r="P8" s="322">
        <f t="shared" si="1"/>
        <v>0</v>
      </c>
      <c r="Q8" s="322"/>
      <c r="R8" s="303">
        <f t="shared" si="2"/>
        <v>3.3</v>
      </c>
      <c r="S8" s="303" t="str">
        <f t="shared" si="3"/>
        <v>-</v>
      </c>
      <c r="T8" s="303" t="str">
        <f t="shared" si="4"/>
        <v>-</v>
      </c>
      <c r="U8" s="303" t="str">
        <f t="shared" si="5"/>
        <v>-</v>
      </c>
      <c r="V8" s="303">
        <f t="shared" si="6"/>
        <v>6.6</v>
      </c>
      <c r="W8" s="303" t="str">
        <f t="shared" si="7"/>
        <v>-</v>
      </c>
      <c r="X8" s="303" t="str">
        <f t="shared" si="8"/>
        <v>-</v>
      </c>
    </row>
    <row r="9" spans="3:24">
      <c r="C9" s="312"/>
      <c r="D9" s="270" t="s">
        <v>630</v>
      </c>
      <c r="E9" s="303" t="s">
        <v>909</v>
      </c>
      <c r="F9" s="303">
        <v>16</v>
      </c>
      <c r="G9" s="303">
        <v>1</v>
      </c>
      <c r="H9" s="303">
        <v>2</v>
      </c>
      <c r="I9" s="303">
        <v>1</v>
      </c>
      <c r="J9" s="303"/>
      <c r="K9" s="269">
        <v>5.3</v>
      </c>
      <c r="L9" s="303"/>
      <c r="M9" s="303"/>
      <c r="N9" s="303"/>
      <c r="O9" s="321">
        <f t="shared" si="0"/>
        <v>5.3</v>
      </c>
      <c r="P9" s="322">
        <f t="shared" si="1"/>
        <v>0</v>
      </c>
      <c r="Q9" s="322"/>
      <c r="R9" s="303">
        <f t="shared" si="2"/>
        <v>5.3</v>
      </c>
      <c r="S9" s="303" t="str">
        <f t="shared" si="3"/>
        <v>-</v>
      </c>
      <c r="T9" s="303" t="str">
        <f t="shared" si="4"/>
        <v>-</v>
      </c>
      <c r="U9" s="303" t="str">
        <f t="shared" si="5"/>
        <v>-</v>
      </c>
      <c r="V9" s="303">
        <f t="shared" si="6"/>
        <v>10.6</v>
      </c>
      <c r="W9" s="303" t="str">
        <f t="shared" si="7"/>
        <v>-</v>
      </c>
      <c r="X9" s="303" t="str">
        <f t="shared" si="8"/>
        <v>-</v>
      </c>
    </row>
    <row r="10" spans="3:24">
      <c r="C10" s="267"/>
      <c r="D10" s="270" t="s">
        <v>631</v>
      </c>
      <c r="E10" s="303" t="s">
        <v>909</v>
      </c>
      <c r="F10" s="303">
        <v>16</v>
      </c>
      <c r="G10" s="303">
        <v>1</v>
      </c>
      <c r="H10" s="303">
        <v>36</v>
      </c>
      <c r="I10" s="303">
        <v>1</v>
      </c>
      <c r="J10" s="303"/>
      <c r="K10" s="269">
        <v>0.78400000000000003</v>
      </c>
      <c r="L10" s="303"/>
      <c r="M10" s="303"/>
      <c r="N10" s="303"/>
      <c r="O10" s="321">
        <f t="shared" si="0"/>
        <v>0.78400000000000003</v>
      </c>
      <c r="P10" s="322">
        <f t="shared" si="1"/>
        <v>0</v>
      </c>
      <c r="Q10" s="322"/>
      <c r="R10" s="303">
        <f t="shared" si="2"/>
        <v>0.78400000000000003</v>
      </c>
      <c r="S10" s="303" t="str">
        <f t="shared" si="3"/>
        <v>-</v>
      </c>
      <c r="T10" s="303" t="str">
        <f t="shared" si="4"/>
        <v>-</v>
      </c>
      <c r="U10" s="303" t="str">
        <f t="shared" si="5"/>
        <v>-</v>
      </c>
      <c r="V10" s="303">
        <f t="shared" si="6"/>
        <v>28.22</v>
      </c>
      <c r="W10" s="303" t="str">
        <f t="shared" si="7"/>
        <v>-</v>
      </c>
      <c r="X10" s="303" t="str">
        <f t="shared" si="8"/>
        <v>-</v>
      </c>
    </row>
    <row r="11" spans="3:24">
      <c r="C11" s="267"/>
      <c r="D11" s="270" t="s">
        <v>632</v>
      </c>
      <c r="E11" s="303" t="s">
        <v>907</v>
      </c>
      <c r="F11" s="303">
        <v>8</v>
      </c>
      <c r="G11" s="303">
        <v>1</v>
      </c>
      <c r="H11" s="303">
        <v>96</v>
      </c>
      <c r="I11" s="303">
        <v>1</v>
      </c>
      <c r="J11" s="303">
        <v>0.18</v>
      </c>
      <c r="K11" s="269">
        <v>0.55000000000000004</v>
      </c>
      <c r="L11" s="303">
        <v>0.18</v>
      </c>
      <c r="M11" s="303">
        <v>0.55000000000000004</v>
      </c>
      <c r="N11" s="303">
        <v>0.16</v>
      </c>
      <c r="O11" s="321">
        <f t="shared" si="0"/>
        <v>1.6199999999999999</v>
      </c>
      <c r="P11" s="322">
        <f t="shared" si="1"/>
        <v>0.08</v>
      </c>
      <c r="Q11" s="322"/>
      <c r="R11" s="303">
        <f t="shared" si="2"/>
        <v>1.5399999999999998</v>
      </c>
      <c r="S11" s="303">
        <f t="shared" si="3"/>
        <v>147.84</v>
      </c>
      <c r="T11" s="303" t="str">
        <f t="shared" si="4"/>
        <v>-</v>
      </c>
      <c r="U11" s="303" t="str">
        <f t="shared" si="5"/>
        <v>-</v>
      </c>
      <c r="V11" s="303" t="str">
        <f t="shared" si="6"/>
        <v>-</v>
      </c>
      <c r="W11" s="303" t="str">
        <f t="shared" si="7"/>
        <v>-</v>
      </c>
      <c r="X11" s="303" t="str">
        <f t="shared" si="8"/>
        <v>-</v>
      </c>
    </row>
    <row r="12" spans="3:24">
      <c r="C12" s="267">
        <v>2</v>
      </c>
      <c r="D12" s="268" t="s">
        <v>633</v>
      </c>
      <c r="E12" s="303" t="s">
        <v>908</v>
      </c>
      <c r="F12" s="303">
        <v>12</v>
      </c>
      <c r="G12" s="303">
        <v>1</v>
      </c>
      <c r="H12" s="303">
        <v>6</v>
      </c>
      <c r="I12" s="303">
        <v>2</v>
      </c>
      <c r="J12" s="303">
        <v>0.12</v>
      </c>
      <c r="K12" s="269">
        <v>11.223000000000001</v>
      </c>
      <c r="L12" s="303">
        <v>0.12</v>
      </c>
      <c r="M12" s="303"/>
      <c r="N12" s="303"/>
      <c r="O12" s="321">
        <f t="shared" si="0"/>
        <v>11.462999999999999</v>
      </c>
      <c r="P12" s="322">
        <f t="shared" si="1"/>
        <v>4.8000000000000001E-2</v>
      </c>
      <c r="Q12" s="322"/>
      <c r="R12" s="303">
        <f t="shared" si="2"/>
        <v>11.414999999999999</v>
      </c>
      <c r="S12" s="303" t="str">
        <f t="shared" si="3"/>
        <v>-</v>
      </c>
      <c r="T12" s="303" t="str">
        <f t="shared" si="4"/>
        <v>-</v>
      </c>
      <c r="U12" s="303">
        <f t="shared" si="5"/>
        <v>136.97999999999999</v>
      </c>
      <c r="V12" s="303" t="str">
        <f t="shared" si="6"/>
        <v>-</v>
      </c>
      <c r="W12" s="303" t="str">
        <f t="shared" si="7"/>
        <v>-</v>
      </c>
      <c r="X12" s="303" t="str">
        <f t="shared" si="8"/>
        <v>-</v>
      </c>
    </row>
    <row r="13" spans="3:24">
      <c r="C13" s="267"/>
      <c r="D13" s="270" t="s">
        <v>634</v>
      </c>
      <c r="E13" s="303" t="s">
        <v>910</v>
      </c>
      <c r="F13" s="303">
        <v>16</v>
      </c>
      <c r="G13" s="303">
        <v>1</v>
      </c>
      <c r="H13" s="303">
        <v>1</v>
      </c>
      <c r="I13" s="303">
        <v>2</v>
      </c>
      <c r="J13" s="303">
        <v>0.16</v>
      </c>
      <c r="K13" s="269">
        <f>(2250-(1*25))/1000</f>
        <v>2.2250000000000001</v>
      </c>
      <c r="L13" s="303"/>
      <c r="M13" s="303"/>
      <c r="N13" s="303"/>
      <c r="O13" s="321">
        <f t="shared" si="0"/>
        <v>2.3850000000000002</v>
      </c>
      <c r="P13" s="322">
        <f t="shared" si="1"/>
        <v>3.2000000000000001E-2</v>
      </c>
      <c r="Q13" s="322"/>
      <c r="R13" s="303">
        <f t="shared" si="2"/>
        <v>2.3530000000000002</v>
      </c>
      <c r="S13" s="303" t="str">
        <f t="shared" si="3"/>
        <v>-</v>
      </c>
      <c r="T13" s="303" t="str">
        <f t="shared" si="4"/>
        <v>-</v>
      </c>
      <c r="U13" s="303" t="str">
        <f t="shared" si="5"/>
        <v>-</v>
      </c>
      <c r="V13" s="303">
        <f t="shared" si="6"/>
        <v>4.71</v>
      </c>
      <c r="W13" s="303" t="str">
        <f t="shared" si="7"/>
        <v>-</v>
      </c>
      <c r="X13" s="303" t="str">
        <f t="shared" si="8"/>
        <v>-</v>
      </c>
    </row>
    <row r="14" spans="3:24">
      <c r="C14" s="267"/>
      <c r="D14" s="270" t="s">
        <v>635</v>
      </c>
      <c r="E14" s="303" t="s">
        <v>910</v>
      </c>
      <c r="F14" s="303">
        <v>16</v>
      </c>
      <c r="G14" s="303">
        <v>1</v>
      </c>
      <c r="H14" s="303">
        <v>2</v>
      </c>
      <c r="I14" s="303">
        <v>2</v>
      </c>
      <c r="J14" s="303">
        <v>0.16</v>
      </c>
      <c r="K14" s="269">
        <f>(2250-(1*25))/1000-0.5</f>
        <v>1.7250000000000001</v>
      </c>
      <c r="L14" s="303"/>
      <c r="M14" s="303"/>
      <c r="N14" s="303"/>
      <c r="O14" s="321">
        <f t="shared" si="0"/>
        <v>1.885</v>
      </c>
      <c r="P14" s="322">
        <f t="shared" si="1"/>
        <v>3.2000000000000001E-2</v>
      </c>
      <c r="Q14" s="322"/>
      <c r="R14" s="303">
        <f t="shared" si="2"/>
        <v>1.853</v>
      </c>
      <c r="S14" s="303" t="str">
        <f t="shared" si="3"/>
        <v>-</v>
      </c>
      <c r="T14" s="303" t="str">
        <f t="shared" si="4"/>
        <v>-</v>
      </c>
      <c r="U14" s="303" t="str">
        <f t="shared" si="5"/>
        <v>-</v>
      </c>
      <c r="V14" s="303">
        <f t="shared" si="6"/>
        <v>7.41</v>
      </c>
      <c r="W14" s="303" t="str">
        <f t="shared" si="7"/>
        <v>-</v>
      </c>
      <c r="X14" s="303" t="str">
        <f t="shared" si="8"/>
        <v>-</v>
      </c>
    </row>
    <row r="15" spans="3:24">
      <c r="C15" s="267"/>
      <c r="D15" s="270" t="s">
        <v>636</v>
      </c>
      <c r="E15" s="303" t="s">
        <v>910</v>
      </c>
      <c r="F15" s="303">
        <v>12</v>
      </c>
      <c r="G15" s="303">
        <v>1</v>
      </c>
      <c r="H15" s="303">
        <v>2</v>
      </c>
      <c r="I15" s="303">
        <v>2</v>
      </c>
      <c r="J15" s="303">
        <v>0.12</v>
      </c>
      <c r="K15" s="269">
        <v>1.625</v>
      </c>
      <c r="L15" s="303"/>
      <c r="M15" s="303"/>
      <c r="N15" s="303"/>
      <c r="O15" s="321">
        <f t="shared" si="0"/>
        <v>1.7450000000000001</v>
      </c>
      <c r="P15" s="322">
        <f t="shared" si="1"/>
        <v>2.4E-2</v>
      </c>
      <c r="Q15" s="322"/>
      <c r="R15" s="303">
        <f t="shared" si="2"/>
        <v>1.7210000000000001</v>
      </c>
      <c r="S15" s="303" t="str">
        <f t="shared" si="3"/>
        <v>-</v>
      </c>
      <c r="T15" s="303" t="str">
        <f t="shared" si="4"/>
        <v>-</v>
      </c>
      <c r="U15" s="303">
        <f t="shared" si="5"/>
        <v>6.88</v>
      </c>
      <c r="V15" s="303" t="str">
        <f t="shared" si="6"/>
        <v>-</v>
      </c>
      <c r="W15" s="303" t="str">
        <f t="shared" si="7"/>
        <v>-</v>
      </c>
      <c r="X15" s="303" t="str">
        <f t="shared" si="8"/>
        <v>-</v>
      </c>
    </row>
    <row r="16" spans="3:24">
      <c r="C16" s="267"/>
      <c r="D16" s="270" t="s">
        <v>636</v>
      </c>
      <c r="E16" s="303" t="s">
        <v>909</v>
      </c>
      <c r="F16" s="303">
        <v>16</v>
      </c>
      <c r="G16" s="303">
        <v>1</v>
      </c>
      <c r="H16" s="303">
        <v>1</v>
      </c>
      <c r="I16" s="303">
        <v>2</v>
      </c>
      <c r="J16" s="303"/>
      <c r="K16" s="269">
        <v>3.45</v>
      </c>
      <c r="L16" s="303"/>
      <c r="M16" s="303"/>
      <c r="N16" s="303"/>
      <c r="O16" s="321">
        <f t="shared" si="0"/>
        <v>3.45</v>
      </c>
      <c r="P16" s="322">
        <f t="shared" si="1"/>
        <v>0</v>
      </c>
      <c r="Q16" s="322"/>
      <c r="R16" s="303">
        <f t="shared" si="2"/>
        <v>3.45</v>
      </c>
      <c r="S16" s="303" t="str">
        <f t="shared" si="3"/>
        <v>-</v>
      </c>
      <c r="T16" s="303" t="str">
        <f t="shared" si="4"/>
        <v>-</v>
      </c>
      <c r="U16" s="303" t="str">
        <f t="shared" si="5"/>
        <v>-</v>
      </c>
      <c r="V16" s="303">
        <f t="shared" si="6"/>
        <v>6.9</v>
      </c>
      <c r="W16" s="303" t="str">
        <f t="shared" si="7"/>
        <v>-</v>
      </c>
      <c r="X16" s="303" t="str">
        <f t="shared" si="8"/>
        <v>-</v>
      </c>
    </row>
    <row r="17" spans="1:24">
      <c r="C17" s="267"/>
      <c r="D17" s="270" t="s">
        <v>637</v>
      </c>
      <c r="E17" s="303" t="s">
        <v>909</v>
      </c>
      <c r="F17" s="303">
        <v>16</v>
      </c>
      <c r="G17" s="303">
        <v>1</v>
      </c>
      <c r="H17" s="303">
        <v>2</v>
      </c>
      <c r="I17" s="303">
        <v>2</v>
      </c>
      <c r="J17" s="303"/>
      <c r="K17" s="269">
        <f>1.2+1.2+0.55</f>
        <v>2.95</v>
      </c>
      <c r="L17" s="303"/>
      <c r="M17" s="303"/>
      <c r="N17" s="303"/>
      <c r="O17" s="321">
        <f t="shared" si="0"/>
        <v>2.95</v>
      </c>
      <c r="P17" s="322">
        <f t="shared" si="1"/>
        <v>0</v>
      </c>
      <c r="Q17" s="322"/>
      <c r="R17" s="303">
        <f t="shared" si="2"/>
        <v>2.95</v>
      </c>
      <c r="S17" s="303" t="str">
        <f t="shared" si="3"/>
        <v>-</v>
      </c>
      <c r="T17" s="303" t="str">
        <f t="shared" si="4"/>
        <v>-</v>
      </c>
      <c r="U17" s="303" t="str">
        <f t="shared" si="5"/>
        <v>-</v>
      </c>
      <c r="V17" s="303">
        <f t="shared" si="6"/>
        <v>11.8</v>
      </c>
      <c r="W17" s="303" t="str">
        <f t="shared" si="7"/>
        <v>-</v>
      </c>
      <c r="X17" s="303" t="str">
        <f t="shared" si="8"/>
        <v>-</v>
      </c>
    </row>
    <row r="18" spans="1:24">
      <c r="C18" s="267"/>
      <c r="D18" s="270" t="s">
        <v>630</v>
      </c>
      <c r="E18" s="303" t="s">
        <v>909</v>
      </c>
      <c r="F18" s="303">
        <v>12</v>
      </c>
      <c r="G18" s="303">
        <v>1</v>
      </c>
      <c r="H18" s="303">
        <v>2</v>
      </c>
      <c r="I18" s="303">
        <v>2</v>
      </c>
      <c r="J18" s="303"/>
      <c r="K18" s="269">
        <v>3.0750000000000002</v>
      </c>
      <c r="L18" s="303"/>
      <c r="M18" s="303"/>
      <c r="N18" s="303"/>
      <c r="O18" s="321">
        <f t="shared" si="0"/>
        <v>3.0750000000000002</v>
      </c>
      <c r="P18" s="322">
        <f t="shared" si="1"/>
        <v>0</v>
      </c>
      <c r="Q18" s="322"/>
      <c r="R18" s="303">
        <f t="shared" si="2"/>
        <v>3.0750000000000002</v>
      </c>
      <c r="S18" s="303" t="str">
        <f t="shared" si="3"/>
        <v>-</v>
      </c>
      <c r="T18" s="303" t="str">
        <f t="shared" si="4"/>
        <v>-</v>
      </c>
      <c r="U18" s="303">
        <f t="shared" si="5"/>
        <v>12.3</v>
      </c>
      <c r="V18" s="303" t="str">
        <f t="shared" si="6"/>
        <v>-</v>
      </c>
      <c r="W18" s="303" t="str">
        <f t="shared" si="7"/>
        <v>-</v>
      </c>
      <c r="X18" s="303" t="str">
        <f t="shared" si="8"/>
        <v>-</v>
      </c>
    </row>
    <row r="19" spans="1:24">
      <c r="C19" s="267"/>
      <c r="D19" s="270" t="s">
        <v>638</v>
      </c>
      <c r="E19" s="303" t="s">
        <v>909</v>
      </c>
      <c r="F19" s="303">
        <v>16</v>
      </c>
      <c r="G19" s="303">
        <v>1</v>
      </c>
      <c r="H19" s="303">
        <v>2</v>
      </c>
      <c r="I19" s="303">
        <v>2</v>
      </c>
      <c r="J19" s="303"/>
      <c r="K19" s="269">
        <v>3.7480000000000002</v>
      </c>
      <c r="L19" s="303"/>
      <c r="M19" s="303"/>
      <c r="N19" s="303"/>
      <c r="O19" s="321">
        <f t="shared" si="0"/>
        <v>3.7480000000000002</v>
      </c>
      <c r="P19" s="322">
        <f t="shared" si="1"/>
        <v>0</v>
      </c>
      <c r="Q19" s="322"/>
      <c r="R19" s="303">
        <f t="shared" si="2"/>
        <v>3.7480000000000002</v>
      </c>
      <c r="S19" s="303" t="str">
        <f t="shared" si="3"/>
        <v>-</v>
      </c>
      <c r="T19" s="303" t="str">
        <f t="shared" si="4"/>
        <v>-</v>
      </c>
      <c r="U19" s="303" t="str">
        <f t="shared" si="5"/>
        <v>-</v>
      </c>
      <c r="V19" s="303">
        <f t="shared" si="6"/>
        <v>14.99</v>
      </c>
      <c r="W19" s="303" t="str">
        <f t="shared" si="7"/>
        <v>-</v>
      </c>
      <c r="X19" s="303" t="str">
        <f t="shared" si="8"/>
        <v>-</v>
      </c>
    </row>
    <row r="20" spans="1:24">
      <c r="C20" s="267"/>
      <c r="D20" s="270" t="s">
        <v>639</v>
      </c>
      <c r="E20" s="303" t="s">
        <v>907</v>
      </c>
      <c r="F20" s="303">
        <v>8</v>
      </c>
      <c r="G20" s="303">
        <v>1</v>
      </c>
      <c r="H20" s="303">
        <v>82</v>
      </c>
      <c r="I20" s="303">
        <v>2</v>
      </c>
      <c r="J20" s="303">
        <v>0.18</v>
      </c>
      <c r="K20" s="269">
        <v>0.4</v>
      </c>
      <c r="L20" s="303">
        <v>0.18</v>
      </c>
      <c r="M20" s="303">
        <v>0.4</v>
      </c>
      <c r="N20" s="303">
        <v>0.16</v>
      </c>
      <c r="O20" s="321">
        <f t="shared" si="0"/>
        <v>1.32</v>
      </c>
      <c r="P20" s="322">
        <f t="shared" si="1"/>
        <v>0.08</v>
      </c>
      <c r="Q20" s="322"/>
      <c r="R20" s="303">
        <f t="shared" si="2"/>
        <v>1.24</v>
      </c>
      <c r="S20" s="303">
        <f t="shared" si="3"/>
        <v>203.36</v>
      </c>
      <c r="T20" s="303" t="str">
        <f t="shared" si="4"/>
        <v>-</v>
      </c>
      <c r="U20" s="303" t="str">
        <f t="shared" si="5"/>
        <v>-</v>
      </c>
      <c r="V20" s="303" t="str">
        <f t="shared" si="6"/>
        <v>-</v>
      </c>
      <c r="W20" s="303" t="str">
        <f t="shared" si="7"/>
        <v>-</v>
      </c>
      <c r="X20" s="303" t="str">
        <f t="shared" si="8"/>
        <v>-</v>
      </c>
    </row>
    <row r="21" spans="1:24">
      <c r="C21" s="267"/>
      <c r="D21" s="270" t="s">
        <v>640</v>
      </c>
      <c r="E21" s="303" t="s">
        <v>909</v>
      </c>
      <c r="F21" s="303">
        <v>12</v>
      </c>
      <c r="G21" s="303">
        <v>1</v>
      </c>
      <c r="H21" s="303">
        <v>24</v>
      </c>
      <c r="I21" s="303">
        <v>2</v>
      </c>
      <c r="J21" s="303"/>
      <c r="K21" s="269">
        <v>0.59</v>
      </c>
      <c r="L21" s="303"/>
      <c r="M21" s="303"/>
      <c r="N21" s="303"/>
      <c r="O21" s="321">
        <f t="shared" si="0"/>
        <v>0.59</v>
      </c>
      <c r="P21" s="322">
        <f t="shared" si="1"/>
        <v>0</v>
      </c>
      <c r="Q21" s="322"/>
      <c r="R21" s="303">
        <f t="shared" si="2"/>
        <v>0.59</v>
      </c>
      <c r="S21" s="303" t="str">
        <f t="shared" si="3"/>
        <v>-</v>
      </c>
      <c r="T21" s="303" t="str">
        <f t="shared" si="4"/>
        <v>-</v>
      </c>
      <c r="U21" s="303">
        <f t="shared" si="5"/>
        <v>28.32</v>
      </c>
      <c r="V21" s="303" t="str">
        <f t="shared" si="6"/>
        <v>-</v>
      </c>
      <c r="W21" s="303" t="str">
        <f t="shared" si="7"/>
        <v>-</v>
      </c>
      <c r="X21" s="303" t="str">
        <f t="shared" si="8"/>
        <v>-</v>
      </c>
    </row>
    <row r="22" spans="1:24">
      <c r="C22" s="271">
        <v>3</v>
      </c>
      <c r="D22" s="268" t="s">
        <v>641</v>
      </c>
      <c r="E22" s="303" t="s">
        <v>908</v>
      </c>
      <c r="F22" s="303">
        <v>12</v>
      </c>
      <c r="G22" s="303">
        <v>1</v>
      </c>
      <c r="H22" s="303">
        <v>6</v>
      </c>
      <c r="I22" s="303">
        <v>2</v>
      </c>
      <c r="J22" s="303">
        <v>0.12</v>
      </c>
      <c r="K22" s="269">
        <v>12.95</v>
      </c>
      <c r="L22" s="303">
        <v>0.12</v>
      </c>
      <c r="M22" s="303"/>
      <c r="N22" s="303"/>
      <c r="O22" s="321">
        <f t="shared" si="0"/>
        <v>13.189999999999998</v>
      </c>
      <c r="P22" s="322">
        <f t="shared" si="1"/>
        <v>4.8000000000000001E-2</v>
      </c>
      <c r="Q22" s="322"/>
      <c r="R22" s="303">
        <f t="shared" si="2"/>
        <v>13.141999999999998</v>
      </c>
      <c r="S22" s="303" t="str">
        <f t="shared" si="3"/>
        <v>-</v>
      </c>
      <c r="T22" s="303" t="str">
        <f t="shared" si="4"/>
        <v>-</v>
      </c>
      <c r="U22" s="303">
        <f t="shared" si="5"/>
        <v>157.69999999999999</v>
      </c>
      <c r="V22" s="303" t="str">
        <f t="shared" si="6"/>
        <v>-</v>
      </c>
      <c r="W22" s="303" t="str">
        <f t="shared" si="7"/>
        <v>-</v>
      </c>
      <c r="X22" s="303" t="str">
        <f t="shared" si="8"/>
        <v>-</v>
      </c>
    </row>
    <row r="23" spans="1:24">
      <c r="C23" s="272"/>
      <c r="D23" s="270" t="s">
        <v>642</v>
      </c>
      <c r="E23" s="303" t="s">
        <v>909</v>
      </c>
      <c r="F23" s="303">
        <v>12</v>
      </c>
      <c r="G23" s="303">
        <v>1</v>
      </c>
      <c r="H23" s="303">
        <v>2</v>
      </c>
      <c r="I23" s="303">
        <v>2</v>
      </c>
      <c r="J23" s="303"/>
      <c r="K23" s="269">
        <v>2.4</v>
      </c>
      <c r="L23" s="303"/>
      <c r="M23" s="303"/>
      <c r="N23" s="303"/>
      <c r="O23" s="321">
        <f t="shared" si="0"/>
        <v>2.4</v>
      </c>
      <c r="P23" s="322">
        <f t="shared" si="1"/>
        <v>0</v>
      </c>
      <c r="Q23" s="322"/>
      <c r="R23" s="303">
        <f t="shared" si="2"/>
        <v>2.4</v>
      </c>
      <c r="S23" s="303" t="str">
        <f t="shared" si="3"/>
        <v>-</v>
      </c>
      <c r="T23" s="303" t="str">
        <f t="shared" si="4"/>
        <v>-</v>
      </c>
      <c r="U23" s="303">
        <f t="shared" si="5"/>
        <v>9.6</v>
      </c>
      <c r="V23" s="303" t="str">
        <f t="shared" si="6"/>
        <v>-</v>
      </c>
      <c r="W23" s="303" t="str">
        <f t="shared" si="7"/>
        <v>-</v>
      </c>
      <c r="X23" s="303" t="str">
        <f t="shared" si="8"/>
        <v>-</v>
      </c>
    </row>
    <row r="24" spans="1:24">
      <c r="C24" s="272"/>
      <c r="D24" s="270" t="s">
        <v>642</v>
      </c>
      <c r="E24" s="303" t="s">
        <v>909</v>
      </c>
      <c r="F24" s="303">
        <v>12</v>
      </c>
      <c r="G24" s="303">
        <v>1</v>
      </c>
      <c r="H24" s="303">
        <v>1</v>
      </c>
      <c r="I24" s="303">
        <v>2</v>
      </c>
      <c r="J24" s="303"/>
      <c r="K24" s="269">
        <v>2.9</v>
      </c>
      <c r="L24" s="303"/>
      <c r="M24" s="303"/>
      <c r="N24" s="303"/>
      <c r="O24" s="321">
        <f t="shared" si="0"/>
        <v>2.9</v>
      </c>
      <c r="P24" s="322">
        <f t="shared" si="1"/>
        <v>0</v>
      </c>
      <c r="Q24" s="322"/>
      <c r="R24" s="303">
        <f t="shared" si="2"/>
        <v>2.9</v>
      </c>
      <c r="S24" s="303" t="str">
        <f t="shared" si="3"/>
        <v>-</v>
      </c>
      <c r="T24" s="303" t="str">
        <f t="shared" si="4"/>
        <v>-</v>
      </c>
      <c r="U24" s="303">
        <f t="shared" si="5"/>
        <v>5.8</v>
      </c>
      <c r="V24" s="303" t="str">
        <f t="shared" si="6"/>
        <v>-</v>
      </c>
      <c r="W24" s="303" t="str">
        <f t="shared" si="7"/>
        <v>-</v>
      </c>
      <c r="X24" s="303" t="str">
        <f t="shared" si="8"/>
        <v>-</v>
      </c>
    </row>
    <row r="25" spans="1:24">
      <c r="C25" s="272"/>
      <c r="D25" s="270" t="s">
        <v>643</v>
      </c>
      <c r="E25" s="303" t="s">
        <v>909</v>
      </c>
      <c r="F25" s="303">
        <v>12</v>
      </c>
      <c r="G25" s="303">
        <v>1</v>
      </c>
      <c r="H25" s="303">
        <v>2</v>
      </c>
      <c r="I25" s="303">
        <v>2</v>
      </c>
      <c r="J25" s="303"/>
      <c r="K25" s="269">
        <v>2.4</v>
      </c>
      <c r="L25" s="303"/>
      <c r="M25" s="303"/>
      <c r="N25" s="303"/>
      <c r="O25" s="321">
        <f t="shared" si="0"/>
        <v>2.4</v>
      </c>
      <c r="P25" s="322">
        <f t="shared" si="1"/>
        <v>0</v>
      </c>
      <c r="Q25" s="322"/>
      <c r="R25" s="303">
        <f t="shared" si="2"/>
        <v>2.4</v>
      </c>
      <c r="S25" s="303" t="str">
        <f t="shared" si="3"/>
        <v>-</v>
      </c>
      <c r="T25" s="303" t="str">
        <f t="shared" si="4"/>
        <v>-</v>
      </c>
      <c r="U25" s="303">
        <f t="shared" si="5"/>
        <v>9.6</v>
      </c>
      <c r="V25" s="303" t="str">
        <f t="shared" si="6"/>
        <v>-</v>
      </c>
      <c r="W25" s="303" t="str">
        <f t="shared" si="7"/>
        <v>-</v>
      </c>
      <c r="X25" s="303" t="str">
        <f t="shared" si="8"/>
        <v>-</v>
      </c>
    </row>
    <row r="26" spans="1:24">
      <c r="C26" s="272"/>
      <c r="D26" s="270" t="s">
        <v>643</v>
      </c>
      <c r="E26" s="303" t="s">
        <v>909</v>
      </c>
      <c r="F26" s="303">
        <v>12</v>
      </c>
      <c r="G26" s="303">
        <v>1</v>
      </c>
      <c r="H26" s="303">
        <v>1</v>
      </c>
      <c r="I26" s="303">
        <v>2</v>
      </c>
      <c r="J26" s="303"/>
      <c r="K26" s="269">
        <v>2.9</v>
      </c>
      <c r="L26" s="303"/>
      <c r="M26" s="303"/>
      <c r="N26" s="303"/>
      <c r="O26" s="321">
        <f t="shared" si="0"/>
        <v>2.9</v>
      </c>
      <c r="P26" s="322">
        <f t="shared" si="1"/>
        <v>0</v>
      </c>
      <c r="Q26" s="322"/>
      <c r="R26" s="303">
        <f t="shared" si="2"/>
        <v>2.9</v>
      </c>
      <c r="S26" s="303" t="str">
        <f t="shared" si="3"/>
        <v>-</v>
      </c>
      <c r="T26" s="303" t="str">
        <f t="shared" si="4"/>
        <v>-</v>
      </c>
      <c r="U26" s="303">
        <f t="shared" si="5"/>
        <v>5.8</v>
      </c>
      <c r="V26" s="303" t="str">
        <f t="shared" si="6"/>
        <v>-</v>
      </c>
      <c r="W26" s="303" t="str">
        <f t="shared" si="7"/>
        <v>-</v>
      </c>
      <c r="X26" s="303" t="str">
        <f t="shared" si="8"/>
        <v>-</v>
      </c>
    </row>
    <row r="27" spans="1:24">
      <c r="C27" s="272"/>
      <c r="D27" s="270" t="s">
        <v>644</v>
      </c>
      <c r="E27" s="303" t="s">
        <v>910</v>
      </c>
      <c r="F27" s="303">
        <v>12</v>
      </c>
      <c r="G27" s="303">
        <v>1</v>
      </c>
      <c r="H27" s="303">
        <v>2</v>
      </c>
      <c r="I27" s="303">
        <v>2</v>
      </c>
      <c r="J27" s="303">
        <v>0.12</v>
      </c>
      <c r="K27" s="269">
        <v>1.375</v>
      </c>
      <c r="L27" s="303"/>
      <c r="M27" s="303"/>
      <c r="N27" s="303"/>
      <c r="O27" s="321">
        <f t="shared" si="0"/>
        <v>1.4950000000000001</v>
      </c>
      <c r="P27" s="322">
        <f t="shared" si="1"/>
        <v>2.4E-2</v>
      </c>
      <c r="Q27" s="322"/>
      <c r="R27" s="303">
        <f t="shared" si="2"/>
        <v>1.4710000000000001</v>
      </c>
      <c r="S27" s="303" t="str">
        <f t="shared" si="3"/>
        <v>-</v>
      </c>
      <c r="T27" s="303" t="str">
        <f t="shared" si="4"/>
        <v>-</v>
      </c>
      <c r="U27" s="303">
        <f t="shared" si="5"/>
        <v>5.88</v>
      </c>
      <c r="V27" s="303" t="str">
        <f t="shared" si="6"/>
        <v>-</v>
      </c>
      <c r="W27" s="303" t="str">
        <f t="shared" si="7"/>
        <v>-</v>
      </c>
      <c r="X27" s="303" t="str">
        <f t="shared" si="8"/>
        <v>-</v>
      </c>
    </row>
    <row r="28" spans="1:24">
      <c r="C28" s="272"/>
      <c r="D28" s="270" t="s">
        <v>645</v>
      </c>
      <c r="E28" s="303" t="s">
        <v>909</v>
      </c>
      <c r="F28" s="303">
        <v>12</v>
      </c>
      <c r="G28" s="303">
        <v>1</v>
      </c>
      <c r="H28" s="303">
        <v>3</v>
      </c>
      <c r="I28" s="303">
        <v>2</v>
      </c>
      <c r="J28" s="303"/>
      <c r="K28" s="269">
        <v>4.25</v>
      </c>
      <c r="L28" s="303"/>
      <c r="M28" s="303"/>
      <c r="N28" s="303"/>
      <c r="O28" s="321">
        <f t="shared" si="0"/>
        <v>4.25</v>
      </c>
      <c r="P28" s="322">
        <f t="shared" si="1"/>
        <v>0</v>
      </c>
      <c r="Q28" s="322"/>
      <c r="R28" s="303">
        <f t="shared" si="2"/>
        <v>4.25</v>
      </c>
      <c r="S28" s="303" t="str">
        <f t="shared" si="3"/>
        <v>-</v>
      </c>
      <c r="T28" s="303" t="str">
        <f t="shared" si="4"/>
        <v>-</v>
      </c>
      <c r="U28" s="303">
        <f t="shared" si="5"/>
        <v>25.5</v>
      </c>
      <c r="V28" s="303" t="str">
        <f t="shared" si="6"/>
        <v>-</v>
      </c>
      <c r="W28" s="303" t="str">
        <f t="shared" si="7"/>
        <v>-</v>
      </c>
      <c r="X28" s="303" t="str">
        <f t="shared" si="8"/>
        <v>-</v>
      </c>
    </row>
    <row r="29" spans="1:24" s="324" customFormat="1">
      <c r="A29" s="263"/>
      <c r="B29" s="263"/>
      <c r="C29" s="273"/>
      <c r="D29" s="274" t="s">
        <v>639</v>
      </c>
      <c r="E29" s="323" t="s">
        <v>907</v>
      </c>
      <c r="F29" s="323">
        <v>8</v>
      </c>
      <c r="G29" s="323">
        <v>1</v>
      </c>
      <c r="H29" s="323">
        <v>108</v>
      </c>
      <c r="I29" s="323">
        <v>2</v>
      </c>
      <c r="J29" s="323">
        <v>0.18</v>
      </c>
      <c r="K29" s="275">
        <v>0.4</v>
      </c>
      <c r="L29" s="323">
        <v>0.18</v>
      </c>
      <c r="M29" s="323">
        <v>0.4</v>
      </c>
      <c r="N29" s="323">
        <v>0.16</v>
      </c>
      <c r="O29" s="321">
        <f t="shared" si="0"/>
        <v>1.32</v>
      </c>
      <c r="P29" s="322">
        <f t="shared" si="1"/>
        <v>0.08</v>
      </c>
      <c r="Q29" s="322"/>
      <c r="R29" s="303">
        <f t="shared" si="2"/>
        <v>1.24</v>
      </c>
      <c r="S29" s="303">
        <f t="shared" si="3"/>
        <v>267.83999999999997</v>
      </c>
      <c r="T29" s="303" t="str">
        <f t="shared" si="4"/>
        <v>-</v>
      </c>
      <c r="U29" s="303" t="str">
        <f t="shared" si="5"/>
        <v>-</v>
      </c>
      <c r="V29" s="303" t="str">
        <f t="shared" si="6"/>
        <v>-</v>
      </c>
      <c r="W29" s="303" t="str">
        <f t="shared" si="7"/>
        <v>-</v>
      </c>
      <c r="X29" s="303" t="str">
        <f t="shared" si="8"/>
        <v>-</v>
      </c>
    </row>
    <row r="30" spans="1:24" s="324" customFormat="1">
      <c r="C30" s="273"/>
      <c r="D30" s="274" t="s">
        <v>631</v>
      </c>
      <c r="E30" s="323" t="s">
        <v>909</v>
      </c>
      <c r="F30" s="323">
        <v>12</v>
      </c>
      <c r="G30" s="323">
        <v>1</v>
      </c>
      <c r="H30" s="323">
        <v>30</v>
      </c>
      <c r="I30" s="323">
        <v>2</v>
      </c>
      <c r="J30" s="323"/>
      <c r="K30" s="275">
        <v>0.58799999999999997</v>
      </c>
      <c r="L30" s="323"/>
      <c r="M30" s="323"/>
      <c r="N30" s="323"/>
      <c r="O30" s="325">
        <f t="shared" si="0"/>
        <v>0.58799999999999997</v>
      </c>
      <c r="P30" s="326">
        <f t="shared" si="1"/>
        <v>0</v>
      </c>
      <c r="Q30" s="326"/>
      <c r="R30" s="323">
        <f t="shared" si="2"/>
        <v>0.58799999999999997</v>
      </c>
      <c r="S30" s="323" t="str">
        <f t="shared" si="3"/>
        <v>-</v>
      </c>
      <c r="T30" s="323" t="str">
        <f t="shared" si="4"/>
        <v>-</v>
      </c>
      <c r="U30" s="323">
        <f t="shared" si="5"/>
        <v>35.28</v>
      </c>
      <c r="V30" s="323" t="str">
        <f t="shared" si="6"/>
        <v>-</v>
      </c>
      <c r="W30" s="323" t="str">
        <f t="shared" si="7"/>
        <v>-</v>
      </c>
      <c r="X30" s="323" t="str">
        <f t="shared" si="8"/>
        <v>-</v>
      </c>
    </row>
    <row r="31" spans="1:24">
      <c r="C31" s="272">
        <v>4</v>
      </c>
      <c r="D31" s="268" t="s">
        <v>646</v>
      </c>
      <c r="E31" s="303" t="s">
        <v>908</v>
      </c>
      <c r="F31" s="303">
        <v>16</v>
      </c>
      <c r="G31" s="303">
        <v>1</v>
      </c>
      <c r="H31" s="303">
        <v>6</v>
      </c>
      <c r="I31" s="303">
        <v>1</v>
      </c>
      <c r="J31" s="303">
        <v>0.16</v>
      </c>
      <c r="K31" s="269">
        <v>13.05</v>
      </c>
      <c r="L31" s="303">
        <v>0.16</v>
      </c>
      <c r="M31" s="303"/>
      <c r="N31" s="303"/>
      <c r="O31" s="321">
        <f t="shared" si="0"/>
        <v>13.370000000000001</v>
      </c>
      <c r="P31" s="322">
        <f t="shared" si="1"/>
        <v>6.4000000000000001E-2</v>
      </c>
      <c r="Q31" s="322"/>
      <c r="R31" s="303">
        <f t="shared" si="2"/>
        <v>13.306000000000001</v>
      </c>
      <c r="S31" s="303" t="str">
        <f t="shared" si="3"/>
        <v>-</v>
      </c>
      <c r="T31" s="303" t="str">
        <f t="shared" si="4"/>
        <v>-</v>
      </c>
      <c r="U31" s="303" t="str">
        <f t="shared" si="5"/>
        <v>-</v>
      </c>
      <c r="V31" s="303">
        <f t="shared" si="6"/>
        <v>79.84</v>
      </c>
      <c r="W31" s="303" t="str">
        <f t="shared" si="7"/>
        <v>-</v>
      </c>
      <c r="X31" s="303" t="str">
        <f t="shared" si="8"/>
        <v>-</v>
      </c>
    </row>
    <row r="32" spans="1:24">
      <c r="C32" s="272"/>
      <c r="D32" s="270" t="s">
        <v>647</v>
      </c>
      <c r="E32" s="303" t="s">
        <v>910</v>
      </c>
      <c r="F32" s="303">
        <v>16</v>
      </c>
      <c r="G32" s="303">
        <v>1</v>
      </c>
      <c r="H32" s="303">
        <v>4</v>
      </c>
      <c r="I32" s="303">
        <v>1</v>
      </c>
      <c r="J32" s="303">
        <v>0.16</v>
      </c>
      <c r="K32" s="269">
        <v>1.375</v>
      </c>
      <c r="L32" s="303"/>
      <c r="M32" s="303"/>
      <c r="N32" s="303"/>
      <c r="O32" s="321">
        <f t="shared" si="0"/>
        <v>1.5349999999999999</v>
      </c>
      <c r="P32" s="322">
        <f t="shared" si="1"/>
        <v>3.2000000000000001E-2</v>
      </c>
      <c r="Q32" s="322"/>
      <c r="R32" s="303">
        <f t="shared" si="2"/>
        <v>1.5029999999999999</v>
      </c>
      <c r="S32" s="303" t="str">
        <f t="shared" si="3"/>
        <v>-</v>
      </c>
      <c r="T32" s="303" t="str">
        <f t="shared" si="4"/>
        <v>-</v>
      </c>
      <c r="U32" s="303" t="str">
        <f t="shared" si="5"/>
        <v>-</v>
      </c>
      <c r="V32" s="303">
        <f t="shared" si="6"/>
        <v>6.01</v>
      </c>
      <c r="W32" s="303" t="str">
        <f t="shared" si="7"/>
        <v>-</v>
      </c>
      <c r="X32" s="303" t="str">
        <f t="shared" si="8"/>
        <v>-</v>
      </c>
    </row>
    <row r="33" spans="3:24">
      <c r="C33" s="272"/>
      <c r="D33" s="270" t="s">
        <v>648</v>
      </c>
      <c r="E33" s="303" t="s">
        <v>909</v>
      </c>
      <c r="F33" s="303">
        <v>16</v>
      </c>
      <c r="G33" s="303">
        <v>1</v>
      </c>
      <c r="H33" s="303">
        <v>4</v>
      </c>
      <c r="I33" s="303">
        <v>1</v>
      </c>
      <c r="J33" s="303"/>
      <c r="K33" s="269">
        <v>2.8</v>
      </c>
      <c r="L33" s="303"/>
      <c r="M33" s="303"/>
      <c r="N33" s="303"/>
      <c r="O33" s="321">
        <f t="shared" si="0"/>
        <v>2.8</v>
      </c>
      <c r="P33" s="322">
        <f t="shared" si="1"/>
        <v>0</v>
      </c>
      <c r="Q33" s="322"/>
      <c r="R33" s="303">
        <f t="shared" si="2"/>
        <v>2.8</v>
      </c>
      <c r="S33" s="303" t="str">
        <f t="shared" si="3"/>
        <v>-</v>
      </c>
      <c r="T33" s="303" t="str">
        <f t="shared" si="4"/>
        <v>-</v>
      </c>
      <c r="U33" s="303" t="str">
        <f t="shared" si="5"/>
        <v>-</v>
      </c>
      <c r="V33" s="303">
        <f t="shared" si="6"/>
        <v>11.2</v>
      </c>
      <c r="W33" s="303" t="str">
        <f t="shared" si="7"/>
        <v>-</v>
      </c>
      <c r="X33" s="303" t="str">
        <f t="shared" si="8"/>
        <v>-</v>
      </c>
    </row>
    <row r="34" spans="3:24">
      <c r="C34" s="272"/>
      <c r="D34" s="270" t="s">
        <v>918</v>
      </c>
      <c r="E34" s="303" t="s">
        <v>909</v>
      </c>
      <c r="F34" s="303">
        <v>16</v>
      </c>
      <c r="G34" s="303">
        <v>1</v>
      </c>
      <c r="H34" s="303">
        <v>2</v>
      </c>
      <c r="I34" s="303">
        <v>1</v>
      </c>
      <c r="J34" s="303"/>
      <c r="K34" s="269">
        <v>3.3</v>
      </c>
      <c r="L34" s="303"/>
      <c r="M34" s="303"/>
      <c r="N34" s="303"/>
      <c r="O34" s="321">
        <f t="shared" si="0"/>
        <v>3.3</v>
      </c>
      <c r="P34" s="322">
        <f t="shared" si="1"/>
        <v>0</v>
      </c>
      <c r="Q34" s="322"/>
      <c r="R34" s="303">
        <f t="shared" si="2"/>
        <v>3.3</v>
      </c>
      <c r="S34" s="303" t="str">
        <f t="shared" si="3"/>
        <v>-</v>
      </c>
      <c r="T34" s="303" t="str">
        <f t="shared" si="4"/>
        <v>-</v>
      </c>
      <c r="U34" s="303" t="str">
        <f t="shared" si="5"/>
        <v>-</v>
      </c>
      <c r="V34" s="303">
        <f t="shared" si="6"/>
        <v>6.6</v>
      </c>
      <c r="W34" s="303" t="str">
        <f t="shared" si="7"/>
        <v>-</v>
      </c>
      <c r="X34" s="303" t="str">
        <f t="shared" si="8"/>
        <v>-</v>
      </c>
    </row>
    <row r="35" spans="3:24">
      <c r="C35" s="272"/>
      <c r="D35" s="270" t="s">
        <v>649</v>
      </c>
      <c r="E35" s="303" t="s">
        <v>909</v>
      </c>
      <c r="F35" s="303">
        <v>16</v>
      </c>
      <c r="G35" s="303">
        <v>1</v>
      </c>
      <c r="H35" s="303">
        <v>2</v>
      </c>
      <c r="I35" s="303">
        <v>1</v>
      </c>
      <c r="J35" s="303"/>
      <c r="K35" s="269">
        <v>5.3</v>
      </c>
      <c r="L35" s="303"/>
      <c r="M35" s="303"/>
      <c r="N35" s="303"/>
      <c r="O35" s="321">
        <f t="shared" si="0"/>
        <v>5.3</v>
      </c>
      <c r="P35" s="322">
        <f t="shared" si="1"/>
        <v>0</v>
      </c>
      <c r="Q35" s="322"/>
      <c r="R35" s="303">
        <f t="shared" si="2"/>
        <v>5.3</v>
      </c>
      <c r="S35" s="303" t="str">
        <f t="shared" si="3"/>
        <v>-</v>
      </c>
      <c r="T35" s="303" t="str">
        <f t="shared" si="4"/>
        <v>-</v>
      </c>
      <c r="U35" s="303" t="str">
        <f t="shared" si="5"/>
        <v>-</v>
      </c>
      <c r="V35" s="303">
        <f t="shared" si="6"/>
        <v>10.6</v>
      </c>
      <c r="W35" s="303" t="str">
        <f t="shared" si="7"/>
        <v>-</v>
      </c>
      <c r="X35" s="303" t="str">
        <f t="shared" si="8"/>
        <v>-</v>
      </c>
    </row>
    <row r="36" spans="3:24" s="324" customFormat="1">
      <c r="C36" s="273"/>
      <c r="D36" s="274" t="s">
        <v>632</v>
      </c>
      <c r="E36" s="323" t="s">
        <v>907</v>
      </c>
      <c r="F36" s="323">
        <v>10</v>
      </c>
      <c r="G36" s="323">
        <v>1</v>
      </c>
      <c r="H36" s="323">
        <v>106</v>
      </c>
      <c r="I36" s="323">
        <v>1</v>
      </c>
      <c r="J36" s="323">
        <v>0.18</v>
      </c>
      <c r="K36" s="275">
        <v>0.55000000000000004</v>
      </c>
      <c r="L36" s="323">
        <v>0.18</v>
      </c>
      <c r="M36" s="323">
        <v>0.55000000000000004</v>
      </c>
      <c r="N36" s="323">
        <v>0.2</v>
      </c>
      <c r="O36" s="325">
        <f t="shared" si="0"/>
        <v>1.66</v>
      </c>
      <c r="P36" s="326">
        <f t="shared" si="1"/>
        <v>0.1</v>
      </c>
      <c r="Q36" s="326"/>
      <c r="R36" s="323">
        <f t="shared" si="2"/>
        <v>1.5599999999999998</v>
      </c>
      <c r="S36" s="323" t="str">
        <f t="shared" si="3"/>
        <v>-</v>
      </c>
      <c r="T36" s="323">
        <f t="shared" si="4"/>
        <v>165.36</v>
      </c>
      <c r="U36" s="323" t="str">
        <f t="shared" si="5"/>
        <v>-</v>
      </c>
      <c r="V36" s="323" t="str">
        <f t="shared" si="6"/>
        <v>-</v>
      </c>
      <c r="W36" s="323" t="str">
        <f t="shared" si="7"/>
        <v>-</v>
      </c>
      <c r="X36" s="323" t="str">
        <f t="shared" si="8"/>
        <v>-</v>
      </c>
    </row>
    <row r="37" spans="3:24">
      <c r="C37" s="272"/>
      <c r="D37" s="270" t="s">
        <v>650</v>
      </c>
      <c r="E37" s="303" t="s">
        <v>909</v>
      </c>
      <c r="F37" s="303">
        <v>16</v>
      </c>
      <c r="G37" s="303">
        <v>1</v>
      </c>
      <c r="H37" s="303">
        <v>18</v>
      </c>
      <c r="I37" s="303">
        <v>1</v>
      </c>
      <c r="J37" s="303"/>
      <c r="K37" s="269">
        <v>0.78400000000000003</v>
      </c>
      <c r="L37" s="303"/>
      <c r="M37" s="303"/>
      <c r="N37" s="303"/>
      <c r="O37" s="321">
        <f t="shared" si="0"/>
        <v>0.78400000000000003</v>
      </c>
      <c r="P37" s="322">
        <f t="shared" si="1"/>
        <v>0</v>
      </c>
      <c r="Q37" s="322"/>
      <c r="R37" s="303">
        <f t="shared" si="2"/>
        <v>0.78400000000000003</v>
      </c>
      <c r="S37" s="303" t="str">
        <f t="shared" si="3"/>
        <v>-</v>
      </c>
      <c r="T37" s="303" t="str">
        <f t="shared" si="4"/>
        <v>-</v>
      </c>
      <c r="U37" s="303" t="str">
        <f t="shared" si="5"/>
        <v>-</v>
      </c>
      <c r="V37" s="303">
        <f t="shared" si="6"/>
        <v>14.11</v>
      </c>
      <c r="W37" s="303" t="str">
        <f t="shared" si="7"/>
        <v>-</v>
      </c>
      <c r="X37" s="303" t="str">
        <f t="shared" si="8"/>
        <v>-</v>
      </c>
    </row>
    <row r="38" spans="3:24">
      <c r="C38" s="276">
        <v>4</v>
      </c>
      <c r="D38" s="268" t="s">
        <v>651</v>
      </c>
      <c r="E38" s="303" t="s">
        <v>908</v>
      </c>
      <c r="F38" s="303">
        <v>12</v>
      </c>
      <c r="G38" s="303">
        <v>1</v>
      </c>
      <c r="H38" s="303">
        <v>6</v>
      </c>
      <c r="I38" s="303">
        <v>2</v>
      </c>
      <c r="J38" s="303">
        <v>0.12</v>
      </c>
      <c r="K38" s="269">
        <v>11.023</v>
      </c>
      <c r="L38" s="303">
        <v>0.12</v>
      </c>
      <c r="M38" s="303"/>
      <c r="N38" s="303"/>
      <c r="O38" s="321">
        <f t="shared" si="0"/>
        <v>11.262999999999998</v>
      </c>
      <c r="P38" s="322">
        <f t="shared" si="1"/>
        <v>4.8000000000000001E-2</v>
      </c>
      <c r="Q38" s="322"/>
      <c r="R38" s="303">
        <f t="shared" si="2"/>
        <v>11.214999999999998</v>
      </c>
      <c r="S38" s="303" t="str">
        <f t="shared" si="3"/>
        <v>-</v>
      </c>
      <c r="T38" s="303" t="str">
        <f t="shared" si="4"/>
        <v>-</v>
      </c>
      <c r="U38" s="303">
        <f t="shared" si="5"/>
        <v>134.58000000000001</v>
      </c>
      <c r="V38" s="303" t="str">
        <f t="shared" si="6"/>
        <v>-</v>
      </c>
      <c r="W38" s="303" t="str">
        <f t="shared" si="7"/>
        <v>-</v>
      </c>
      <c r="X38" s="303" t="str">
        <f t="shared" si="8"/>
        <v>-</v>
      </c>
    </row>
    <row r="39" spans="3:24">
      <c r="C39" s="277"/>
      <c r="D39" s="270" t="s">
        <v>652</v>
      </c>
      <c r="E39" s="303" t="s">
        <v>910</v>
      </c>
      <c r="F39" s="303">
        <v>16</v>
      </c>
      <c r="G39" s="303">
        <v>1</v>
      </c>
      <c r="H39" s="303">
        <v>2</v>
      </c>
      <c r="I39" s="303">
        <v>2</v>
      </c>
      <c r="J39" s="303">
        <v>0.16</v>
      </c>
      <c r="K39" s="269">
        <v>1.375</v>
      </c>
      <c r="L39" s="303"/>
      <c r="M39" s="303"/>
      <c r="N39" s="303"/>
      <c r="O39" s="321">
        <f t="shared" si="0"/>
        <v>1.5349999999999999</v>
      </c>
      <c r="P39" s="322">
        <f t="shared" si="1"/>
        <v>3.2000000000000001E-2</v>
      </c>
      <c r="Q39" s="322"/>
      <c r="R39" s="303">
        <f t="shared" si="2"/>
        <v>1.5029999999999999</v>
      </c>
      <c r="S39" s="303" t="str">
        <f t="shared" si="3"/>
        <v>-</v>
      </c>
      <c r="T39" s="303" t="str">
        <f t="shared" si="4"/>
        <v>-</v>
      </c>
      <c r="U39" s="303" t="str">
        <f t="shared" si="5"/>
        <v>-</v>
      </c>
      <c r="V39" s="303">
        <f t="shared" si="6"/>
        <v>6.01</v>
      </c>
      <c r="W39" s="303" t="str">
        <f t="shared" si="7"/>
        <v>-</v>
      </c>
      <c r="X39" s="303" t="str">
        <f t="shared" si="8"/>
        <v>-</v>
      </c>
    </row>
    <row r="40" spans="3:24">
      <c r="C40" s="277"/>
      <c r="D40" s="270" t="s">
        <v>652</v>
      </c>
      <c r="E40" s="303" t="s">
        <v>910</v>
      </c>
      <c r="F40" s="303">
        <v>16</v>
      </c>
      <c r="G40" s="303">
        <v>1</v>
      </c>
      <c r="H40" s="303">
        <v>1</v>
      </c>
      <c r="I40" s="303">
        <v>2</v>
      </c>
      <c r="J40" s="303">
        <v>0.16</v>
      </c>
      <c r="K40" s="269">
        <v>1.875</v>
      </c>
      <c r="L40" s="303"/>
      <c r="M40" s="303"/>
      <c r="N40" s="303"/>
      <c r="O40" s="321">
        <f t="shared" si="0"/>
        <v>2.0350000000000001</v>
      </c>
      <c r="P40" s="322">
        <f t="shared" si="1"/>
        <v>3.2000000000000001E-2</v>
      </c>
      <c r="Q40" s="322"/>
      <c r="R40" s="303">
        <f t="shared" si="2"/>
        <v>2.0030000000000001</v>
      </c>
      <c r="S40" s="303" t="str">
        <f t="shared" si="3"/>
        <v>-</v>
      </c>
      <c r="T40" s="303" t="str">
        <f t="shared" si="4"/>
        <v>-</v>
      </c>
      <c r="U40" s="303" t="str">
        <f t="shared" si="5"/>
        <v>-</v>
      </c>
      <c r="V40" s="303">
        <f t="shared" si="6"/>
        <v>4.01</v>
      </c>
      <c r="W40" s="303" t="str">
        <f t="shared" si="7"/>
        <v>-</v>
      </c>
      <c r="X40" s="303" t="str">
        <f t="shared" si="8"/>
        <v>-</v>
      </c>
    </row>
    <row r="41" spans="3:24">
      <c r="C41" s="277"/>
      <c r="D41" s="270" t="s">
        <v>653</v>
      </c>
      <c r="E41" s="303" t="s">
        <v>909</v>
      </c>
      <c r="F41" s="303">
        <v>16</v>
      </c>
      <c r="G41" s="303">
        <v>1</v>
      </c>
      <c r="H41" s="303">
        <v>2</v>
      </c>
      <c r="I41" s="303">
        <v>2</v>
      </c>
      <c r="J41" s="303"/>
      <c r="K41" s="269">
        <v>2.4350000000000001</v>
      </c>
      <c r="L41" s="303"/>
      <c r="M41" s="303"/>
      <c r="N41" s="303"/>
      <c r="O41" s="321">
        <f t="shared" si="0"/>
        <v>2.4350000000000001</v>
      </c>
      <c r="P41" s="322">
        <f t="shared" si="1"/>
        <v>0</v>
      </c>
      <c r="Q41" s="322"/>
      <c r="R41" s="303">
        <f t="shared" si="2"/>
        <v>2.4350000000000001</v>
      </c>
      <c r="S41" s="303" t="str">
        <f t="shared" si="3"/>
        <v>-</v>
      </c>
      <c r="T41" s="303" t="str">
        <f t="shared" si="4"/>
        <v>-</v>
      </c>
      <c r="U41" s="303" t="str">
        <f t="shared" si="5"/>
        <v>-</v>
      </c>
      <c r="V41" s="303">
        <f t="shared" si="6"/>
        <v>9.74</v>
      </c>
      <c r="W41" s="303" t="str">
        <f t="shared" si="7"/>
        <v>-</v>
      </c>
      <c r="X41" s="303" t="str">
        <f t="shared" si="8"/>
        <v>-</v>
      </c>
    </row>
    <row r="42" spans="3:24">
      <c r="C42" s="277"/>
      <c r="D42" s="270" t="s">
        <v>654</v>
      </c>
      <c r="E42" s="303" t="s">
        <v>909</v>
      </c>
      <c r="F42" s="303">
        <v>16</v>
      </c>
      <c r="G42" s="303">
        <v>1</v>
      </c>
      <c r="H42" s="303">
        <v>1</v>
      </c>
      <c r="I42" s="303">
        <v>2</v>
      </c>
      <c r="J42" s="303"/>
      <c r="K42" s="269">
        <v>2.9350000000000001</v>
      </c>
      <c r="L42" s="303"/>
      <c r="M42" s="303"/>
      <c r="N42" s="303"/>
      <c r="O42" s="321">
        <f t="shared" si="0"/>
        <v>2.9350000000000001</v>
      </c>
      <c r="P42" s="322">
        <f t="shared" si="1"/>
        <v>0</v>
      </c>
      <c r="Q42" s="322"/>
      <c r="R42" s="303">
        <f t="shared" si="2"/>
        <v>2.9350000000000001</v>
      </c>
      <c r="S42" s="303" t="str">
        <f t="shared" si="3"/>
        <v>-</v>
      </c>
      <c r="T42" s="303" t="str">
        <f t="shared" si="4"/>
        <v>-</v>
      </c>
      <c r="U42" s="303" t="str">
        <f t="shared" si="5"/>
        <v>-</v>
      </c>
      <c r="V42" s="303">
        <f t="shared" si="6"/>
        <v>5.87</v>
      </c>
      <c r="W42" s="303" t="str">
        <f t="shared" si="7"/>
        <v>-</v>
      </c>
      <c r="X42" s="303" t="str">
        <f t="shared" si="8"/>
        <v>-</v>
      </c>
    </row>
    <row r="43" spans="3:24">
      <c r="C43" s="277"/>
      <c r="D43" s="270" t="s">
        <v>655</v>
      </c>
      <c r="E43" s="303" t="s">
        <v>909</v>
      </c>
      <c r="F43" s="303">
        <v>16</v>
      </c>
      <c r="G43" s="303">
        <v>1</v>
      </c>
      <c r="H43" s="303">
        <v>2</v>
      </c>
      <c r="I43" s="303">
        <v>2</v>
      </c>
      <c r="J43" s="303"/>
      <c r="K43" s="269">
        <v>4.9459999999999997</v>
      </c>
      <c r="L43" s="303"/>
      <c r="M43" s="303"/>
      <c r="N43" s="303"/>
      <c r="O43" s="321">
        <f t="shared" si="0"/>
        <v>4.9459999999999997</v>
      </c>
      <c r="P43" s="322">
        <f t="shared" si="1"/>
        <v>0</v>
      </c>
      <c r="Q43" s="322"/>
      <c r="R43" s="303">
        <f t="shared" si="2"/>
        <v>4.9459999999999997</v>
      </c>
      <c r="S43" s="303" t="str">
        <f t="shared" si="3"/>
        <v>-</v>
      </c>
      <c r="T43" s="303" t="str">
        <f t="shared" si="4"/>
        <v>-</v>
      </c>
      <c r="U43" s="303" t="str">
        <f t="shared" si="5"/>
        <v>-</v>
      </c>
      <c r="V43" s="303">
        <f t="shared" si="6"/>
        <v>19.78</v>
      </c>
      <c r="W43" s="303" t="str">
        <f t="shared" si="7"/>
        <v>-</v>
      </c>
      <c r="X43" s="303" t="str">
        <f t="shared" si="8"/>
        <v>-</v>
      </c>
    </row>
    <row r="44" spans="3:24">
      <c r="C44" s="277"/>
      <c r="D44" s="270" t="s">
        <v>656</v>
      </c>
      <c r="E44" s="303" t="s">
        <v>909</v>
      </c>
      <c r="F44" s="303">
        <v>12</v>
      </c>
      <c r="G44" s="303">
        <v>1</v>
      </c>
      <c r="H44" s="303">
        <v>2</v>
      </c>
      <c r="I44" s="303">
        <v>2</v>
      </c>
      <c r="J44" s="303"/>
      <c r="K44" s="269">
        <v>3.415</v>
      </c>
      <c r="L44" s="303"/>
      <c r="M44" s="303"/>
      <c r="N44" s="303"/>
      <c r="O44" s="321">
        <f t="shared" si="0"/>
        <v>3.415</v>
      </c>
      <c r="P44" s="322">
        <f t="shared" si="1"/>
        <v>0</v>
      </c>
      <c r="Q44" s="322"/>
      <c r="R44" s="303">
        <f t="shared" si="2"/>
        <v>3.415</v>
      </c>
      <c r="S44" s="303" t="str">
        <f t="shared" si="3"/>
        <v>-</v>
      </c>
      <c r="T44" s="303" t="str">
        <f t="shared" si="4"/>
        <v>-</v>
      </c>
      <c r="U44" s="303">
        <f t="shared" si="5"/>
        <v>13.66</v>
      </c>
      <c r="V44" s="303" t="str">
        <f t="shared" si="6"/>
        <v>-</v>
      </c>
      <c r="W44" s="303" t="str">
        <f t="shared" si="7"/>
        <v>-</v>
      </c>
      <c r="X44" s="303" t="str">
        <f t="shared" si="8"/>
        <v>-</v>
      </c>
    </row>
    <row r="45" spans="3:24">
      <c r="C45" s="277"/>
      <c r="D45" s="270" t="s">
        <v>650</v>
      </c>
      <c r="E45" s="303" t="s">
        <v>909</v>
      </c>
      <c r="F45" s="303">
        <v>12</v>
      </c>
      <c r="G45" s="303">
        <v>1</v>
      </c>
      <c r="H45" s="303">
        <v>24</v>
      </c>
      <c r="I45" s="303">
        <v>2</v>
      </c>
      <c r="J45" s="303"/>
      <c r="K45" s="269">
        <v>0.59</v>
      </c>
      <c r="L45" s="303"/>
      <c r="M45" s="303"/>
      <c r="N45" s="303"/>
      <c r="O45" s="321">
        <f t="shared" si="0"/>
        <v>0.59</v>
      </c>
      <c r="P45" s="322">
        <f t="shared" si="1"/>
        <v>0</v>
      </c>
      <c r="Q45" s="322"/>
      <c r="R45" s="303">
        <f t="shared" si="2"/>
        <v>0.59</v>
      </c>
      <c r="S45" s="303" t="str">
        <f t="shared" si="3"/>
        <v>-</v>
      </c>
      <c r="T45" s="303" t="str">
        <f t="shared" si="4"/>
        <v>-</v>
      </c>
      <c r="U45" s="303">
        <f t="shared" si="5"/>
        <v>28.32</v>
      </c>
      <c r="V45" s="303" t="str">
        <f t="shared" si="6"/>
        <v>-</v>
      </c>
      <c r="W45" s="303" t="str">
        <f t="shared" si="7"/>
        <v>-</v>
      </c>
      <c r="X45" s="303" t="str">
        <f t="shared" si="8"/>
        <v>-</v>
      </c>
    </row>
    <row r="46" spans="3:24">
      <c r="C46" s="277"/>
      <c r="D46" s="270" t="s">
        <v>632</v>
      </c>
      <c r="E46" s="303" t="s">
        <v>907</v>
      </c>
      <c r="F46" s="303">
        <v>8</v>
      </c>
      <c r="G46" s="303">
        <v>1</v>
      </c>
      <c r="H46" s="303">
        <v>86</v>
      </c>
      <c r="I46" s="303">
        <v>2</v>
      </c>
      <c r="J46" s="303">
        <v>0.18</v>
      </c>
      <c r="K46" s="269">
        <v>0.4</v>
      </c>
      <c r="L46" s="303">
        <v>0.18</v>
      </c>
      <c r="M46" s="303">
        <v>0.4</v>
      </c>
      <c r="N46" s="303">
        <v>0.16</v>
      </c>
      <c r="O46" s="321">
        <f t="shared" si="0"/>
        <v>1.32</v>
      </c>
      <c r="P46" s="322">
        <f t="shared" si="1"/>
        <v>0.08</v>
      </c>
      <c r="Q46" s="322"/>
      <c r="R46" s="303">
        <f t="shared" si="2"/>
        <v>1.24</v>
      </c>
      <c r="S46" s="303">
        <f t="shared" si="3"/>
        <v>213.28</v>
      </c>
      <c r="T46" s="303" t="str">
        <f t="shared" si="4"/>
        <v>-</v>
      </c>
      <c r="U46" s="303" t="str">
        <f t="shared" si="5"/>
        <v>-</v>
      </c>
      <c r="V46" s="303" t="str">
        <f t="shared" si="6"/>
        <v>-</v>
      </c>
      <c r="W46" s="303" t="str">
        <f t="shared" si="7"/>
        <v>-</v>
      </c>
      <c r="X46" s="303" t="str">
        <f t="shared" si="8"/>
        <v>-</v>
      </c>
    </row>
    <row r="47" spans="3:24">
      <c r="C47" s="276">
        <v>5</v>
      </c>
      <c r="D47" s="268" t="s">
        <v>657</v>
      </c>
      <c r="E47" s="303" t="s">
        <v>908</v>
      </c>
      <c r="F47" s="303">
        <v>12</v>
      </c>
      <c r="G47" s="303">
        <v>1</v>
      </c>
      <c r="H47" s="303">
        <v>6</v>
      </c>
      <c r="I47" s="303">
        <v>1</v>
      </c>
      <c r="J47" s="303">
        <v>0.12</v>
      </c>
      <c r="K47" s="269">
        <f>(2298+4600+3825+3200+6450+6450+6300+6450+6450+3200+3825+4600+2298-130-130)/1000</f>
        <v>59.686</v>
      </c>
      <c r="L47" s="303">
        <v>0.12</v>
      </c>
      <c r="M47" s="303"/>
      <c r="N47" s="303"/>
      <c r="O47" s="321">
        <f t="shared" si="0"/>
        <v>59.925999999999995</v>
      </c>
      <c r="P47" s="322">
        <f t="shared" si="1"/>
        <v>4.8000000000000001E-2</v>
      </c>
      <c r="Q47" s="322"/>
      <c r="R47" s="303">
        <f t="shared" si="2"/>
        <v>59.877999999999993</v>
      </c>
      <c r="S47" s="303" t="str">
        <f t="shared" si="3"/>
        <v>-</v>
      </c>
      <c r="T47" s="303" t="str">
        <f t="shared" si="4"/>
        <v>-</v>
      </c>
      <c r="U47" s="303">
        <f t="shared" si="5"/>
        <v>359.27</v>
      </c>
      <c r="V47" s="303" t="str">
        <f t="shared" si="6"/>
        <v>-</v>
      </c>
      <c r="W47" s="303" t="str">
        <f t="shared" si="7"/>
        <v>-</v>
      </c>
      <c r="X47" s="303" t="str">
        <f t="shared" si="8"/>
        <v>-</v>
      </c>
    </row>
    <row r="48" spans="3:24">
      <c r="C48" s="277"/>
      <c r="D48" s="270" t="s">
        <v>654</v>
      </c>
      <c r="E48" s="303" t="s">
        <v>909</v>
      </c>
      <c r="F48" s="303">
        <v>16</v>
      </c>
      <c r="G48" s="303">
        <v>1</v>
      </c>
      <c r="H48" s="303">
        <v>2</v>
      </c>
      <c r="I48" s="303">
        <v>1</v>
      </c>
      <c r="J48" s="303"/>
      <c r="K48" s="269">
        <v>2.75</v>
      </c>
      <c r="L48" s="303"/>
      <c r="M48" s="303"/>
      <c r="N48" s="303"/>
      <c r="O48" s="321">
        <f t="shared" si="0"/>
        <v>2.75</v>
      </c>
      <c r="P48" s="322">
        <f t="shared" si="1"/>
        <v>0</v>
      </c>
      <c r="Q48" s="322"/>
      <c r="R48" s="303">
        <f t="shared" si="2"/>
        <v>2.75</v>
      </c>
      <c r="S48" s="303" t="str">
        <f t="shared" si="3"/>
        <v>-</v>
      </c>
      <c r="T48" s="303" t="str">
        <f t="shared" si="4"/>
        <v>-</v>
      </c>
      <c r="U48" s="303" t="str">
        <f t="shared" si="5"/>
        <v>-</v>
      </c>
      <c r="V48" s="303">
        <f t="shared" si="6"/>
        <v>5.5</v>
      </c>
      <c r="W48" s="303" t="str">
        <f t="shared" si="7"/>
        <v>-</v>
      </c>
      <c r="X48" s="303" t="str">
        <f t="shared" si="8"/>
        <v>-</v>
      </c>
    </row>
    <row r="49" spans="3:24">
      <c r="C49" s="277"/>
      <c r="D49" s="270" t="s">
        <v>654</v>
      </c>
      <c r="E49" s="303" t="s">
        <v>909</v>
      </c>
      <c r="F49" s="303">
        <v>16</v>
      </c>
      <c r="G49" s="303">
        <v>1</v>
      </c>
      <c r="H49" s="303">
        <v>1</v>
      </c>
      <c r="I49" s="303">
        <v>1</v>
      </c>
      <c r="J49" s="303"/>
      <c r="K49" s="269">
        <v>3.25</v>
      </c>
      <c r="L49" s="303"/>
      <c r="M49" s="303"/>
      <c r="N49" s="303"/>
      <c r="O49" s="321">
        <f t="shared" si="0"/>
        <v>3.25</v>
      </c>
      <c r="P49" s="322">
        <f t="shared" si="1"/>
        <v>0</v>
      </c>
      <c r="Q49" s="322"/>
      <c r="R49" s="303">
        <f t="shared" si="2"/>
        <v>3.25</v>
      </c>
      <c r="S49" s="303" t="str">
        <f t="shared" si="3"/>
        <v>-</v>
      </c>
      <c r="T49" s="303" t="str">
        <f t="shared" si="4"/>
        <v>-</v>
      </c>
      <c r="U49" s="303" t="str">
        <f t="shared" si="5"/>
        <v>-</v>
      </c>
      <c r="V49" s="303">
        <f t="shared" si="6"/>
        <v>3.25</v>
      </c>
      <c r="W49" s="303" t="str">
        <f t="shared" si="7"/>
        <v>-</v>
      </c>
      <c r="X49" s="303" t="str">
        <f t="shared" si="8"/>
        <v>-</v>
      </c>
    </row>
    <row r="50" spans="3:24">
      <c r="C50" s="277"/>
      <c r="D50" s="270" t="s">
        <v>658</v>
      </c>
      <c r="E50" s="303" t="s">
        <v>909</v>
      </c>
      <c r="F50" s="303">
        <v>12</v>
      </c>
      <c r="G50" s="303">
        <v>1</v>
      </c>
      <c r="H50" s="303">
        <v>2</v>
      </c>
      <c r="I50" s="303">
        <v>1</v>
      </c>
      <c r="J50" s="303"/>
      <c r="K50" s="269">
        <v>5.7750000000000004</v>
      </c>
      <c r="L50" s="303"/>
      <c r="M50" s="303"/>
      <c r="N50" s="303"/>
      <c r="O50" s="321">
        <f t="shared" si="0"/>
        <v>5.7750000000000004</v>
      </c>
      <c r="P50" s="322">
        <f t="shared" si="1"/>
        <v>0</v>
      </c>
      <c r="Q50" s="322"/>
      <c r="R50" s="303">
        <f t="shared" si="2"/>
        <v>5.7750000000000004</v>
      </c>
      <c r="S50" s="303" t="str">
        <f t="shared" si="3"/>
        <v>-</v>
      </c>
      <c r="T50" s="303" t="str">
        <f t="shared" si="4"/>
        <v>-</v>
      </c>
      <c r="U50" s="303">
        <f t="shared" si="5"/>
        <v>11.55</v>
      </c>
      <c r="V50" s="303" t="str">
        <f t="shared" si="6"/>
        <v>-</v>
      </c>
      <c r="W50" s="303" t="str">
        <f t="shared" si="7"/>
        <v>-</v>
      </c>
      <c r="X50" s="303" t="str">
        <f t="shared" si="8"/>
        <v>-</v>
      </c>
    </row>
    <row r="51" spans="3:24">
      <c r="C51" s="277"/>
      <c r="D51" s="270" t="s">
        <v>659</v>
      </c>
      <c r="E51" s="303" t="s">
        <v>909</v>
      </c>
      <c r="F51" s="303">
        <v>12</v>
      </c>
      <c r="G51" s="303">
        <v>1</v>
      </c>
      <c r="H51" s="303">
        <v>1</v>
      </c>
      <c r="I51" s="303">
        <v>1</v>
      </c>
      <c r="J51" s="303"/>
      <c r="K51" s="269">
        <v>6.2750000000000004</v>
      </c>
      <c r="L51" s="303"/>
      <c r="M51" s="303"/>
      <c r="N51" s="303"/>
      <c r="O51" s="321">
        <f t="shared" si="0"/>
        <v>6.2750000000000004</v>
      </c>
      <c r="P51" s="322">
        <f t="shared" si="1"/>
        <v>0</v>
      </c>
      <c r="Q51" s="322"/>
      <c r="R51" s="303">
        <f t="shared" si="2"/>
        <v>6.2750000000000004</v>
      </c>
      <c r="S51" s="303" t="str">
        <f t="shared" si="3"/>
        <v>-</v>
      </c>
      <c r="T51" s="303" t="str">
        <f t="shared" si="4"/>
        <v>-</v>
      </c>
      <c r="U51" s="303">
        <f t="shared" si="5"/>
        <v>6.28</v>
      </c>
      <c r="V51" s="303" t="str">
        <f t="shared" si="6"/>
        <v>-</v>
      </c>
      <c r="W51" s="303" t="str">
        <f t="shared" si="7"/>
        <v>-</v>
      </c>
      <c r="X51" s="303" t="str">
        <f t="shared" si="8"/>
        <v>-</v>
      </c>
    </row>
    <row r="52" spans="3:24">
      <c r="C52" s="277"/>
      <c r="D52" s="270" t="s">
        <v>660</v>
      </c>
      <c r="E52" s="303" t="s">
        <v>909</v>
      </c>
      <c r="F52" s="303">
        <v>12</v>
      </c>
      <c r="G52" s="303">
        <v>1</v>
      </c>
      <c r="H52" s="303">
        <v>2</v>
      </c>
      <c r="I52" s="303">
        <v>1</v>
      </c>
      <c r="J52" s="303"/>
      <c r="K52" s="269">
        <v>5.65</v>
      </c>
      <c r="L52" s="303"/>
      <c r="M52" s="303"/>
      <c r="N52" s="303"/>
      <c r="O52" s="321">
        <f t="shared" si="0"/>
        <v>5.65</v>
      </c>
      <c r="P52" s="322">
        <f t="shared" si="1"/>
        <v>0</v>
      </c>
      <c r="Q52" s="322"/>
      <c r="R52" s="303">
        <f t="shared" si="2"/>
        <v>5.65</v>
      </c>
      <c r="S52" s="303" t="str">
        <f t="shared" si="3"/>
        <v>-</v>
      </c>
      <c r="T52" s="303" t="str">
        <f t="shared" si="4"/>
        <v>-</v>
      </c>
      <c r="U52" s="303">
        <f t="shared" si="5"/>
        <v>11.3</v>
      </c>
      <c r="V52" s="303" t="str">
        <f t="shared" si="6"/>
        <v>-</v>
      </c>
      <c r="W52" s="303" t="str">
        <f t="shared" si="7"/>
        <v>-</v>
      </c>
      <c r="X52" s="303" t="str">
        <f t="shared" si="8"/>
        <v>-</v>
      </c>
    </row>
    <row r="53" spans="3:24">
      <c r="C53" s="277"/>
      <c r="D53" s="270" t="s">
        <v>660</v>
      </c>
      <c r="E53" s="303" t="s">
        <v>909</v>
      </c>
      <c r="F53" s="303">
        <v>12</v>
      </c>
      <c r="G53" s="303">
        <v>1</v>
      </c>
      <c r="H53" s="303">
        <v>1</v>
      </c>
      <c r="I53" s="303">
        <v>1</v>
      </c>
      <c r="J53" s="303"/>
      <c r="K53" s="269">
        <v>6.15</v>
      </c>
      <c r="L53" s="303"/>
      <c r="M53" s="303"/>
      <c r="N53" s="303"/>
      <c r="O53" s="321">
        <f t="shared" si="0"/>
        <v>6.15</v>
      </c>
      <c r="P53" s="322">
        <f t="shared" si="1"/>
        <v>0</v>
      </c>
      <c r="Q53" s="322"/>
      <c r="R53" s="303">
        <f t="shared" si="2"/>
        <v>6.15</v>
      </c>
      <c r="S53" s="303" t="str">
        <f t="shared" si="3"/>
        <v>-</v>
      </c>
      <c r="T53" s="303" t="str">
        <f t="shared" si="4"/>
        <v>-</v>
      </c>
      <c r="U53" s="303">
        <f t="shared" si="5"/>
        <v>6.15</v>
      </c>
      <c r="V53" s="303" t="str">
        <f t="shared" si="6"/>
        <v>-</v>
      </c>
      <c r="W53" s="303" t="str">
        <f t="shared" si="7"/>
        <v>-</v>
      </c>
      <c r="X53" s="303" t="str">
        <f t="shared" si="8"/>
        <v>-</v>
      </c>
    </row>
    <row r="54" spans="3:24">
      <c r="C54" s="277"/>
      <c r="D54" s="270" t="s">
        <v>661</v>
      </c>
      <c r="E54" s="303" t="s">
        <v>909</v>
      </c>
      <c r="F54" s="303">
        <v>12</v>
      </c>
      <c r="G54" s="303">
        <v>1</v>
      </c>
      <c r="H54" s="303">
        <v>2</v>
      </c>
      <c r="I54" s="303">
        <v>1</v>
      </c>
      <c r="J54" s="303"/>
      <c r="K54" s="269">
        <v>2.6</v>
      </c>
      <c r="L54" s="303"/>
      <c r="M54" s="303"/>
      <c r="N54" s="303"/>
      <c r="O54" s="321">
        <f t="shared" si="0"/>
        <v>2.6</v>
      </c>
      <c r="P54" s="322">
        <f t="shared" si="1"/>
        <v>0</v>
      </c>
      <c r="Q54" s="322"/>
      <c r="R54" s="303">
        <f t="shared" si="2"/>
        <v>2.6</v>
      </c>
      <c r="S54" s="303" t="str">
        <f t="shared" si="3"/>
        <v>-</v>
      </c>
      <c r="T54" s="303" t="str">
        <f t="shared" si="4"/>
        <v>-</v>
      </c>
      <c r="U54" s="303">
        <f t="shared" si="5"/>
        <v>5.2</v>
      </c>
      <c r="V54" s="303" t="str">
        <f t="shared" si="6"/>
        <v>-</v>
      </c>
      <c r="W54" s="303" t="str">
        <f t="shared" si="7"/>
        <v>-</v>
      </c>
      <c r="X54" s="303" t="str">
        <f t="shared" si="8"/>
        <v>-</v>
      </c>
    </row>
    <row r="55" spans="3:24">
      <c r="C55" s="277"/>
      <c r="D55" s="270" t="s">
        <v>662</v>
      </c>
      <c r="E55" s="303" t="s">
        <v>909</v>
      </c>
      <c r="F55" s="303">
        <v>12</v>
      </c>
      <c r="G55" s="303">
        <v>1</v>
      </c>
      <c r="H55" s="303">
        <v>2</v>
      </c>
      <c r="I55" s="303">
        <v>1</v>
      </c>
      <c r="J55" s="303"/>
      <c r="K55" s="269">
        <v>2.6</v>
      </c>
      <c r="L55" s="303"/>
      <c r="M55" s="303"/>
      <c r="N55" s="303"/>
      <c r="O55" s="321">
        <f t="shared" si="0"/>
        <v>2.6</v>
      </c>
      <c r="P55" s="322">
        <f t="shared" si="1"/>
        <v>0</v>
      </c>
      <c r="Q55" s="322"/>
      <c r="R55" s="303">
        <f t="shared" si="2"/>
        <v>2.6</v>
      </c>
      <c r="S55" s="303" t="str">
        <f t="shared" si="3"/>
        <v>-</v>
      </c>
      <c r="T55" s="303" t="str">
        <f t="shared" si="4"/>
        <v>-</v>
      </c>
      <c r="U55" s="303">
        <f t="shared" si="5"/>
        <v>5.2</v>
      </c>
      <c r="V55" s="303" t="str">
        <f t="shared" si="6"/>
        <v>-</v>
      </c>
      <c r="W55" s="303" t="str">
        <f t="shared" si="7"/>
        <v>-</v>
      </c>
      <c r="X55" s="303" t="str">
        <f t="shared" si="8"/>
        <v>-</v>
      </c>
    </row>
    <row r="56" spans="3:24">
      <c r="C56" s="277"/>
      <c r="D56" s="270" t="s">
        <v>663</v>
      </c>
      <c r="E56" s="303" t="s">
        <v>909</v>
      </c>
      <c r="F56" s="303">
        <v>12</v>
      </c>
      <c r="G56" s="303">
        <v>1</v>
      </c>
      <c r="H56" s="303">
        <v>2</v>
      </c>
      <c r="I56" s="303">
        <v>1</v>
      </c>
      <c r="J56" s="303"/>
      <c r="K56" s="269">
        <v>5.65</v>
      </c>
      <c r="L56" s="303"/>
      <c r="M56" s="303"/>
      <c r="N56" s="303"/>
      <c r="O56" s="321">
        <f t="shared" si="0"/>
        <v>5.65</v>
      </c>
      <c r="P56" s="322">
        <f t="shared" si="1"/>
        <v>0</v>
      </c>
      <c r="Q56" s="322"/>
      <c r="R56" s="303">
        <f t="shared" si="2"/>
        <v>5.65</v>
      </c>
      <c r="S56" s="303" t="str">
        <f t="shared" si="3"/>
        <v>-</v>
      </c>
      <c r="T56" s="303" t="str">
        <f t="shared" si="4"/>
        <v>-</v>
      </c>
      <c r="U56" s="303">
        <f t="shared" si="5"/>
        <v>11.3</v>
      </c>
      <c r="V56" s="303" t="str">
        <f t="shared" si="6"/>
        <v>-</v>
      </c>
      <c r="W56" s="303" t="str">
        <f t="shared" si="7"/>
        <v>-</v>
      </c>
      <c r="X56" s="303" t="str">
        <f t="shared" si="8"/>
        <v>-</v>
      </c>
    </row>
    <row r="57" spans="3:24">
      <c r="C57" s="277"/>
      <c r="D57" s="270" t="s">
        <v>663</v>
      </c>
      <c r="E57" s="303" t="s">
        <v>909</v>
      </c>
      <c r="F57" s="303">
        <v>12</v>
      </c>
      <c r="G57" s="303">
        <v>1</v>
      </c>
      <c r="H57" s="303">
        <v>1</v>
      </c>
      <c r="I57" s="303">
        <v>1</v>
      </c>
      <c r="J57" s="303"/>
      <c r="K57" s="269">
        <v>6.15</v>
      </c>
      <c r="L57" s="303"/>
      <c r="M57" s="303"/>
      <c r="N57" s="303"/>
      <c r="O57" s="321">
        <f t="shared" si="0"/>
        <v>6.15</v>
      </c>
      <c r="P57" s="322">
        <f t="shared" si="1"/>
        <v>0</v>
      </c>
      <c r="Q57" s="322"/>
      <c r="R57" s="303">
        <f t="shared" si="2"/>
        <v>6.15</v>
      </c>
      <c r="S57" s="303" t="str">
        <f t="shared" si="3"/>
        <v>-</v>
      </c>
      <c r="T57" s="303" t="str">
        <f t="shared" si="4"/>
        <v>-</v>
      </c>
      <c r="U57" s="303">
        <f t="shared" si="5"/>
        <v>6.15</v>
      </c>
      <c r="V57" s="303" t="str">
        <f t="shared" si="6"/>
        <v>-</v>
      </c>
      <c r="W57" s="303" t="str">
        <f t="shared" si="7"/>
        <v>-</v>
      </c>
      <c r="X57" s="303" t="str">
        <f t="shared" si="8"/>
        <v>-</v>
      </c>
    </row>
    <row r="58" spans="3:24">
      <c r="C58" s="277"/>
      <c r="D58" s="270" t="s">
        <v>664</v>
      </c>
      <c r="E58" s="303" t="s">
        <v>909</v>
      </c>
      <c r="F58" s="303">
        <v>12</v>
      </c>
      <c r="G58" s="303">
        <v>1</v>
      </c>
      <c r="H58" s="303">
        <v>2</v>
      </c>
      <c r="I58" s="303">
        <v>1</v>
      </c>
      <c r="J58" s="303"/>
      <c r="K58" s="269">
        <v>5.7750000000000004</v>
      </c>
      <c r="L58" s="303"/>
      <c r="M58" s="303"/>
      <c r="N58" s="303"/>
      <c r="O58" s="321">
        <f t="shared" si="0"/>
        <v>5.7750000000000004</v>
      </c>
      <c r="P58" s="322">
        <f t="shared" si="1"/>
        <v>0</v>
      </c>
      <c r="Q58" s="322"/>
      <c r="R58" s="303">
        <f t="shared" si="2"/>
        <v>5.7750000000000004</v>
      </c>
      <c r="S58" s="303" t="str">
        <f t="shared" si="3"/>
        <v>-</v>
      </c>
      <c r="T58" s="303" t="str">
        <f t="shared" si="4"/>
        <v>-</v>
      </c>
      <c r="U58" s="303">
        <f t="shared" si="5"/>
        <v>11.55</v>
      </c>
      <c r="V58" s="303" t="str">
        <f t="shared" si="6"/>
        <v>-</v>
      </c>
      <c r="W58" s="303" t="str">
        <f t="shared" si="7"/>
        <v>-</v>
      </c>
      <c r="X58" s="303" t="str">
        <f t="shared" si="8"/>
        <v>-</v>
      </c>
    </row>
    <row r="59" spans="3:24">
      <c r="C59" s="277"/>
      <c r="D59" s="270" t="s">
        <v>665</v>
      </c>
      <c r="E59" s="303" t="s">
        <v>909</v>
      </c>
      <c r="F59" s="303">
        <v>12</v>
      </c>
      <c r="G59" s="303">
        <v>1</v>
      </c>
      <c r="H59" s="303">
        <v>1</v>
      </c>
      <c r="I59" s="303">
        <v>1</v>
      </c>
      <c r="J59" s="303"/>
      <c r="K59" s="269">
        <v>6.2750000000000004</v>
      </c>
      <c r="L59" s="303"/>
      <c r="M59" s="303"/>
      <c r="N59" s="303"/>
      <c r="O59" s="321">
        <f t="shared" si="0"/>
        <v>6.2750000000000004</v>
      </c>
      <c r="P59" s="322">
        <f t="shared" si="1"/>
        <v>0</v>
      </c>
      <c r="Q59" s="322"/>
      <c r="R59" s="303">
        <f t="shared" si="2"/>
        <v>6.2750000000000004</v>
      </c>
      <c r="S59" s="303" t="str">
        <f t="shared" si="3"/>
        <v>-</v>
      </c>
      <c r="T59" s="303" t="str">
        <f t="shared" si="4"/>
        <v>-</v>
      </c>
      <c r="U59" s="303">
        <f t="shared" si="5"/>
        <v>6.28</v>
      </c>
      <c r="V59" s="303" t="str">
        <f t="shared" si="6"/>
        <v>-</v>
      </c>
      <c r="W59" s="303" t="str">
        <f t="shared" si="7"/>
        <v>-</v>
      </c>
      <c r="X59" s="303" t="str">
        <f t="shared" si="8"/>
        <v>-</v>
      </c>
    </row>
    <row r="60" spans="3:24">
      <c r="C60" s="277"/>
      <c r="D60" s="270" t="s">
        <v>666</v>
      </c>
      <c r="E60" s="303" t="s">
        <v>909</v>
      </c>
      <c r="F60" s="303">
        <v>12</v>
      </c>
      <c r="G60" s="303">
        <v>1</v>
      </c>
      <c r="H60" s="303">
        <v>2</v>
      </c>
      <c r="I60" s="303">
        <v>1</v>
      </c>
      <c r="J60" s="303"/>
      <c r="K60" s="269">
        <v>2.65</v>
      </c>
      <c r="L60" s="303"/>
      <c r="M60" s="303"/>
      <c r="N60" s="303"/>
      <c r="O60" s="321">
        <f t="shared" si="0"/>
        <v>2.65</v>
      </c>
      <c r="P60" s="322">
        <f t="shared" si="1"/>
        <v>0</v>
      </c>
      <c r="Q60" s="322"/>
      <c r="R60" s="303">
        <f t="shared" si="2"/>
        <v>2.65</v>
      </c>
      <c r="S60" s="303" t="str">
        <f t="shared" si="3"/>
        <v>-</v>
      </c>
      <c r="T60" s="303" t="str">
        <f t="shared" si="4"/>
        <v>-</v>
      </c>
      <c r="U60" s="303">
        <f t="shared" si="5"/>
        <v>5.3</v>
      </c>
      <c r="V60" s="303" t="str">
        <f t="shared" si="6"/>
        <v>-</v>
      </c>
      <c r="W60" s="303" t="str">
        <f t="shared" si="7"/>
        <v>-</v>
      </c>
      <c r="X60" s="303" t="str">
        <f t="shared" si="8"/>
        <v>-</v>
      </c>
    </row>
    <row r="61" spans="3:24">
      <c r="C61" s="277"/>
      <c r="D61" s="270" t="s">
        <v>667</v>
      </c>
      <c r="E61" s="303" t="s">
        <v>909</v>
      </c>
      <c r="F61" s="303">
        <v>16</v>
      </c>
      <c r="G61" s="303">
        <v>1</v>
      </c>
      <c r="H61" s="303">
        <v>2</v>
      </c>
      <c r="I61" s="303">
        <v>1</v>
      </c>
      <c r="J61" s="303"/>
      <c r="K61" s="269">
        <v>3.8929999999999998</v>
      </c>
      <c r="L61" s="303"/>
      <c r="M61" s="303"/>
      <c r="N61" s="303"/>
      <c r="O61" s="321">
        <f t="shared" si="0"/>
        <v>3.8929999999999998</v>
      </c>
      <c r="P61" s="322">
        <f t="shared" si="1"/>
        <v>0</v>
      </c>
      <c r="Q61" s="322"/>
      <c r="R61" s="303">
        <f t="shared" si="2"/>
        <v>3.8929999999999998</v>
      </c>
      <c r="S61" s="303" t="str">
        <f t="shared" si="3"/>
        <v>-</v>
      </c>
      <c r="T61" s="303" t="str">
        <f t="shared" si="4"/>
        <v>-</v>
      </c>
      <c r="U61" s="303" t="str">
        <f t="shared" si="5"/>
        <v>-</v>
      </c>
      <c r="V61" s="303">
        <f t="shared" si="6"/>
        <v>7.79</v>
      </c>
      <c r="W61" s="303" t="str">
        <f t="shared" si="7"/>
        <v>-</v>
      </c>
      <c r="X61" s="303" t="str">
        <f t="shared" si="8"/>
        <v>-</v>
      </c>
    </row>
    <row r="62" spans="3:24">
      <c r="C62" s="277"/>
      <c r="D62" s="270" t="s">
        <v>668</v>
      </c>
      <c r="E62" s="303" t="s">
        <v>909</v>
      </c>
      <c r="F62" s="303">
        <v>12</v>
      </c>
      <c r="G62" s="303">
        <v>1</v>
      </c>
      <c r="H62" s="303">
        <v>2</v>
      </c>
      <c r="I62" s="303">
        <v>1</v>
      </c>
      <c r="J62" s="303"/>
      <c r="K62" s="269">
        <v>3.0750000000000002</v>
      </c>
      <c r="L62" s="303"/>
      <c r="M62" s="303"/>
      <c r="N62" s="303"/>
      <c r="O62" s="321">
        <f t="shared" si="0"/>
        <v>3.0750000000000002</v>
      </c>
      <c r="P62" s="322">
        <f t="shared" si="1"/>
        <v>0</v>
      </c>
      <c r="Q62" s="322"/>
      <c r="R62" s="303">
        <f t="shared" si="2"/>
        <v>3.0750000000000002</v>
      </c>
      <c r="S62" s="303" t="str">
        <f t="shared" si="3"/>
        <v>-</v>
      </c>
      <c r="T62" s="303" t="str">
        <f t="shared" si="4"/>
        <v>-</v>
      </c>
      <c r="U62" s="303">
        <f t="shared" si="5"/>
        <v>6.15</v>
      </c>
      <c r="V62" s="303" t="str">
        <f t="shared" si="6"/>
        <v>-</v>
      </c>
      <c r="W62" s="303" t="str">
        <f t="shared" si="7"/>
        <v>-</v>
      </c>
      <c r="X62" s="303" t="str">
        <f t="shared" si="8"/>
        <v>-</v>
      </c>
    </row>
    <row r="63" spans="3:24">
      <c r="C63" s="277"/>
      <c r="D63" s="270" t="s">
        <v>669</v>
      </c>
      <c r="E63" s="303" t="s">
        <v>909</v>
      </c>
      <c r="F63" s="303">
        <v>16</v>
      </c>
      <c r="G63" s="303">
        <v>1</v>
      </c>
      <c r="H63" s="303">
        <v>2</v>
      </c>
      <c r="I63" s="303">
        <v>1</v>
      </c>
      <c r="J63" s="303"/>
      <c r="K63" s="269">
        <v>4.25</v>
      </c>
      <c r="L63" s="303"/>
      <c r="M63" s="303"/>
      <c r="N63" s="303"/>
      <c r="O63" s="321">
        <f t="shared" si="0"/>
        <v>4.25</v>
      </c>
      <c r="P63" s="322">
        <f t="shared" si="1"/>
        <v>0</v>
      </c>
      <c r="Q63" s="322"/>
      <c r="R63" s="303">
        <f t="shared" si="2"/>
        <v>4.25</v>
      </c>
      <c r="S63" s="303" t="str">
        <f t="shared" si="3"/>
        <v>-</v>
      </c>
      <c r="T63" s="303" t="str">
        <f t="shared" si="4"/>
        <v>-</v>
      </c>
      <c r="U63" s="303" t="str">
        <f t="shared" si="5"/>
        <v>-</v>
      </c>
      <c r="V63" s="303">
        <f t="shared" si="6"/>
        <v>8.5</v>
      </c>
      <c r="W63" s="303" t="str">
        <f t="shared" si="7"/>
        <v>-</v>
      </c>
      <c r="X63" s="303" t="str">
        <f t="shared" si="8"/>
        <v>-</v>
      </c>
    </row>
    <row r="64" spans="3:24">
      <c r="C64" s="277"/>
      <c r="D64" s="270" t="s">
        <v>670</v>
      </c>
      <c r="E64" s="303" t="s">
        <v>909</v>
      </c>
      <c r="F64" s="303">
        <v>12</v>
      </c>
      <c r="G64" s="303">
        <v>1</v>
      </c>
      <c r="H64" s="303">
        <v>2</v>
      </c>
      <c r="I64" s="303">
        <v>1</v>
      </c>
      <c r="J64" s="303"/>
      <c r="K64" s="269">
        <v>3.306</v>
      </c>
      <c r="L64" s="303"/>
      <c r="M64" s="303"/>
      <c r="N64" s="303"/>
      <c r="O64" s="321">
        <f t="shared" si="0"/>
        <v>3.306</v>
      </c>
      <c r="P64" s="322">
        <f t="shared" si="1"/>
        <v>0</v>
      </c>
      <c r="Q64" s="322"/>
      <c r="R64" s="303">
        <f t="shared" si="2"/>
        <v>3.306</v>
      </c>
      <c r="S64" s="303" t="str">
        <f t="shared" si="3"/>
        <v>-</v>
      </c>
      <c r="T64" s="303" t="str">
        <f t="shared" si="4"/>
        <v>-</v>
      </c>
      <c r="U64" s="303">
        <f t="shared" si="5"/>
        <v>6.61</v>
      </c>
      <c r="V64" s="303" t="str">
        <f t="shared" si="6"/>
        <v>-</v>
      </c>
      <c r="W64" s="303" t="str">
        <f t="shared" si="7"/>
        <v>-</v>
      </c>
      <c r="X64" s="303" t="str">
        <f t="shared" si="8"/>
        <v>-</v>
      </c>
    </row>
    <row r="65" spans="3:24">
      <c r="C65" s="277"/>
      <c r="D65" s="270" t="s">
        <v>671</v>
      </c>
      <c r="E65" s="303" t="s">
        <v>909</v>
      </c>
      <c r="F65" s="303">
        <v>12</v>
      </c>
      <c r="G65" s="303">
        <v>1</v>
      </c>
      <c r="H65" s="303">
        <v>2</v>
      </c>
      <c r="I65" s="303">
        <v>1</v>
      </c>
      <c r="J65" s="303"/>
      <c r="K65" s="269">
        <v>4.25</v>
      </c>
      <c r="L65" s="303"/>
      <c r="M65" s="303"/>
      <c r="N65" s="303"/>
      <c r="O65" s="321">
        <f t="shared" si="0"/>
        <v>4.25</v>
      </c>
      <c r="P65" s="322">
        <f t="shared" si="1"/>
        <v>0</v>
      </c>
      <c r="Q65" s="322"/>
      <c r="R65" s="303">
        <f t="shared" si="2"/>
        <v>4.25</v>
      </c>
      <c r="S65" s="303" t="str">
        <f t="shared" si="3"/>
        <v>-</v>
      </c>
      <c r="T65" s="303" t="str">
        <f t="shared" si="4"/>
        <v>-</v>
      </c>
      <c r="U65" s="303">
        <f t="shared" si="5"/>
        <v>8.5</v>
      </c>
      <c r="V65" s="303" t="str">
        <f t="shared" si="6"/>
        <v>-</v>
      </c>
      <c r="W65" s="303" t="str">
        <f t="shared" si="7"/>
        <v>-</v>
      </c>
      <c r="X65" s="303" t="str">
        <f t="shared" si="8"/>
        <v>-</v>
      </c>
    </row>
    <row r="66" spans="3:24">
      <c r="C66" s="277"/>
      <c r="D66" s="270" t="s">
        <v>672</v>
      </c>
      <c r="E66" s="303" t="s">
        <v>909</v>
      </c>
      <c r="F66" s="303">
        <v>16</v>
      </c>
      <c r="G66" s="303">
        <v>1</v>
      </c>
      <c r="H66" s="303">
        <v>2</v>
      </c>
      <c r="I66" s="303">
        <v>1</v>
      </c>
      <c r="J66" s="303"/>
      <c r="K66" s="269">
        <v>3.8929999999999998</v>
      </c>
      <c r="L66" s="303"/>
      <c r="M66" s="303"/>
      <c r="N66" s="303"/>
      <c r="O66" s="321">
        <f t="shared" si="0"/>
        <v>3.8929999999999998</v>
      </c>
      <c r="P66" s="322">
        <f t="shared" si="1"/>
        <v>0</v>
      </c>
      <c r="Q66" s="322"/>
      <c r="R66" s="303">
        <f t="shared" si="2"/>
        <v>3.8929999999999998</v>
      </c>
      <c r="S66" s="303" t="str">
        <f t="shared" si="3"/>
        <v>-</v>
      </c>
      <c r="T66" s="303" t="str">
        <f t="shared" si="4"/>
        <v>-</v>
      </c>
      <c r="U66" s="303" t="str">
        <f t="shared" si="5"/>
        <v>-</v>
      </c>
      <c r="V66" s="303">
        <f t="shared" si="6"/>
        <v>7.79</v>
      </c>
      <c r="W66" s="303" t="str">
        <f t="shared" si="7"/>
        <v>-</v>
      </c>
      <c r="X66" s="303" t="str">
        <f t="shared" si="8"/>
        <v>-</v>
      </c>
    </row>
    <row r="67" spans="3:24">
      <c r="C67" s="277"/>
      <c r="D67" s="270" t="s">
        <v>632</v>
      </c>
      <c r="E67" s="303" t="s">
        <v>907</v>
      </c>
      <c r="F67" s="303">
        <v>8</v>
      </c>
      <c r="G67" s="303">
        <v>1</v>
      </c>
      <c r="H67" s="303">
        <v>478</v>
      </c>
      <c r="I67" s="303">
        <v>1</v>
      </c>
      <c r="J67" s="303">
        <v>0.18</v>
      </c>
      <c r="K67" s="269">
        <v>0.4</v>
      </c>
      <c r="L67" s="303">
        <v>0.18</v>
      </c>
      <c r="M67" s="303">
        <v>0.4</v>
      </c>
      <c r="N67" s="303">
        <v>0.16</v>
      </c>
      <c r="O67" s="321">
        <f t="shared" si="0"/>
        <v>1.32</v>
      </c>
      <c r="P67" s="322">
        <f t="shared" si="1"/>
        <v>0.08</v>
      </c>
      <c r="Q67" s="322"/>
      <c r="R67" s="303">
        <f t="shared" si="2"/>
        <v>1.24</v>
      </c>
      <c r="S67" s="303">
        <f t="shared" si="3"/>
        <v>592.72</v>
      </c>
      <c r="T67" s="303" t="str">
        <f t="shared" si="4"/>
        <v>-</v>
      </c>
      <c r="U67" s="303" t="str">
        <f t="shared" si="5"/>
        <v>-</v>
      </c>
      <c r="V67" s="303" t="str">
        <f t="shared" si="6"/>
        <v>-</v>
      </c>
      <c r="W67" s="303" t="str">
        <f t="shared" si="7"/>
        <v>-</v>
      </c>
      <c r="X67" s="303" t="str">
        <f t="shared" si="8"/>
        <v>-</v>
      </c>
    </row>
    <row r="68" spans="3:24">
      <c r="C68" s="277"/>
      <c r="D68" s="270" t="s">
        <v>650</v>
      </c>
      <c r="E68" s="303" t="s">
        <v>909</v>
      </c>
      <c r="F68" s="303">
        <v>12</v>
      </c>
      <c r="G68" s="303">
        <v>1</v>
      </c>
      <c r="H68" s="303">
        <v>144</v>
      </c>
      <c r="I68" s="303">
        <v>1</v>
      </c>
      <c r="J68" s="303"/>
      <c r="K68" s="269">
        <v>0.59</v>
      </c>
      <c r="L68" s="303"/>
      <c r="M68" s="303"/>
      <c r="N68" s="303"/>
      <c r="O68" s="321">
        <f t="shared" si="0"/>
        <v>0.59</v>
      </c>
      <c r="P68" s="322">
        <f t="shared" si="1"/>
        <v>0</v>
      </c>
      <c r="Q68" s="322"/>
      <c r="R68" s="303">
        <f t="shared" si="2"/>
        <v>0.59</v>
      </c>
      <c r="S68" s="303" t="str">
        <f t="shared" si="3"/>
        <v>-</v>
      </c>
      <c r="T68" s="303" t="str">
        <f t="shared" si="4"/>
        <v>-</v>
      </c>
      <c r="U68" s="303">
        <f t="shared" si="5"/>
        <v>84.96</v>
      </c>
      <c r="V68" s="303" t="str">
        <f t="shared" si="6"/>
        <v>-</v>
      </c>
      <c r="W68" s="303" t="str">
        <f t="shared" si="7"/>
        <v>-</v>
      </c>
      <c r="X68" s="303" t="str">
        <f t="shared" si="8"/>
        <v>-</v>
      </c>
    </row>
    <row r="69" spans="3:24">
      <c r="C69" s="277">
        <v>6</v>
      </c>
      <c r="D69" s="268" t="s">
        <v>673</v>
      </c>
      <c r="E69" s="303" t="s">
        <v>908</v>
      </c>
      <c r="F69" s="303">
        <v>12</v>
      </c>
      <c r="G69" s="303">
        <v>1</v>
      </c>
      <c r="H69" s="303">
        <v>3</v>
      </c>
      <c r="I69" s="303">
        <v>2</v>
      </c>
      <c r="J69" s="303">
        <v>0.12</v>
      </c>
      <c r="K69" s="269">
        <v>11.145</v>
      </c>
      <c r="L69" s="303">
        <v>0.12</v>
      </c>
      <c r="M69" s="303"/>
      <c r="N69" s="303"/>
      <c r="O69" s="321">
        <f t="shared" si="0"/>
        <v>11.384999999999998</v>
      </c>
      <c r="P69" s="322">
        <f t="shared" si="1"/>
        <v>4.8000000000000001E-2</v>
      </c>
      <c r="Q69" s="322"/>
      <c r="R69" s="303">
        <f t="shared" si="2"/>
        <v>11.336999999999998</v>
      </c>
      <c r="S69" s="303" t="str">
        <f t="shared" si="3"/>
        <v>-</v>
      </c>
      <c r="T69" s="303" t="str">
        <f t="shared" si="4"/>
        <v>-</v>
      </c>
      <c r="U69" s="303">
        <f t="shared" si="5"/>
        <v>68.02</v>
      </c>
      <c r="V69" s="303" t="str">
        <f t="shared" si="6"/>
        <v>-</v>
      </c>
      <c r="W69" s="303" t="str">
        <f t="shared" si="7"/>
        <v>-</v>
      </c>
      <c r="X69" s="303" t="str">
        <f t="shared" si="8"/>
        <v>-</v>
      </c>
    </row>
    <row r="70" spans="3:24">
      <c r="C70" s="277"/>
      <c r="D70" s="270" t="s">
        <v>674</v>
      </c>
      <c r="E70" s="303" t="s">
        <v>908</v>
      </c>
      <c r="F70" s="303">
        <v>16</v>
      </c>
      <c r="G70" s="303">
        <v>1</v>
      </c>
      <c r="H70" s="303">
        <v>3</v>
      </c>
      <c r="I70" s="303">
        <v>2</v>
      </c>
      <c r="J70" s="303">
        <v>0.16</v>
      </c>
      <c r="K70" s="269">
        <v>7.3230000000000004</v>
      </c>
      <c r="L70" s="303">
        <v>0.16</v>
      </c>
      <c r="M70" s="303"/>
      <c r="N70" s="303"/>
      <c r="O70" s="321">
        <f t="shared" si="0"/>
        <v>7.6430000000000007</v>
      </c>
      <c r="P70" s="322">
        <f t="shared" si="1"/>
        <v>6.4000000000000001E-2</v>
      </c>
      <c r="Q70" s="322"/>
      <c r="R70" s="303">
        <f t="shared" si="2"/>
        <v>7.5790000000000006</v>
      </c>
      <c r="S70" s="303" t="str">
        <f t="shared" si="3"/>
        <v>-</v>
      </c>
      <c r="T70" s="303" t="str">
        <f t="shared" si="4"/>
        <v>-</v>
      </c>
      <c r="U70" s="303" t="str">
        <f t="shared" si="5"/>
        <v>-</v>
      </c>
      <c r="V70" s="303">
        <f t="shared" si="6"/>
        <v>45.47</v>
      </c>
      <c r="W70" s="303" t="str">
        <f t="shared" si="7"/>
        <v>-</v>
      </c>
      <c r="X70" s="303" t="str">
        <f t="shared" si="8"/>
        <v>-</v>
      </c>
    </row>
    <row r="71" spans="3:24">
      <c r="C71" s="277"/>
      <c r="D71" s="270" t="s">
        <v>675</v>
      </c>
      <c r="E71" s="303" t="s">
        <v>910</v>
      </c>
      <c r="F71" s="303">
        <v>16</v>
      </c>
      <c r="G71" s="303">
        <v>1</v>
      </c>
      <c r="H71" s="303">
        <v>2</v>
      </c>
      <c r="I71" s="303">
        <v>2</v>
      </c>
      <c r="J71" s="303">
        <v>0.16</v>
      </c>
      <c r="K71" s="269">
        <v>1.502</v>
      </c>
      <c r="L71" s="303"/>
      <c r="M71" s="303"/>
      <c r="N71" s="303"/>
      <c r="O71" s="321">
        <f t="shared" ref="O71:O133" si="9">J71+K71+L71+M71+N71</f>
        <v>1.6619999999999999</v>
      </c>
      <c r="P71" s="322">
        <f t="shared" ref="P71:P133" si="10">IF(E71="Ring",F71*2*5,IF(E71="U Shape",F71*2*2,IF(E71="L Shape",F71*2*1,IF(E71="Streight",F71*2*0,IF(E71="Trianguler",F71*2*4,IF(E71="Z Shape",F71*2*2))))))/1000</f>
        <v>3.2000000000000001E-2</v>
      </c>
      <c r="Q71" s="322"/>
      <c r="R71" s="303">
        <f t="shared" ref="R71:R133" si="11">O71-P71</f>
        <v>1.63</v>
      </c>
      <c r="S71" s="303" t="str">
        <f t="shared" ref="S71:S133" si="12">IF(F71=8,ROUND(PRODUCT(G71:I71,R71),2),"-")</f>
        <v>-</v>
      </c>
      <c r="T71" s="303" t="str">
        <f t="shared" ref="T71:T133" si="13">IF(F71=10,ROUND(PRODUCT(G71:I71,R71),2),"-")</f>
        <v>-</v>
      </c>
      <c r="U71" s="303" t="str">
        <f t="shared" ref="U71:U133" si="14">IF(F71=12,ROUND(PRODUCT(G71:I71,R71),2),"-")</f>
        <v>-</v>
      </c>
      <c r="V71" s="303">
        <f t="shared" ref="V71:V133" si="15">IF(F71=16,ROUND(PRODUCT(G71:I71,R71),2),"-")</f>
        <v>6.52</v>
      </c>
      <c r="W71" s="303" t="str">
        <f t="shared" ref="W71:W133" si="16">IF(F71=20,ROUND(PRODUCT(G71:I71,R71),2),"-")</f>
        <v>-</v>
      </c>
      <c r="X71" s="303" t="str">
        <f t="shared" ref="X71:X133" si="17">IF(F71=25,ROUND(PRODUCT(G71:I71,R71),2),"-")</f>
        <v>-</v>
      </c>
    </row>
    <row r="72" spans="3:24">
      <c r="C72" s="277"/>
      <c r="D72" s="270" t="s">
        <v>675</v>
      </c>
      <c r="E72" s="303" t="s">
        <v>910</v>
      </c>
      <c r="F72" s="303">
        <v>16</v>
      </c>
      <c r="G72" s="303">
        <v>1</v>
      </c>
      <c r="H72" s="303">
        <v>1</v>
      </c>
      <c r="I72" s="303">
        <v>2</v>
      </c>
      <c r="J72" s="303">
        <v>0.16</v>
      </c>
      <c r="K72" s="269">
        <v>2.0019999999999998</v>
      </c>
      <c r="L72" s="303"/>
      <c r="M72" s="303"/>
      <c r="N72" s="303"/>
      <c r="O72" s="321">
        <f t="shared" si="9"/>
        <v>2.1619999999999999</v>
      </c>
      <c r="P72" s="322">
        <f t="shared" si="10"/>
        <v>3.2000000000000001E-2</v>
      </c>
      <c r="Q72" s="322"/>
      <c r="R72" s="303">
        <f t="shared" si="11"/>
        <v>2.13</v>
      </c>
      <c r="S72" s="303" t="str">
        <f t="shared" si="12"/>
        <v>-</v>
      </c>
      <c r="T72" s="303" t="str">
        <f t="shared" si="13"/>
        <v>-</v>
      </c>
      <c r="U72" s="303" t="str">
        <f t="shared" si="14"/>
        <v>-</v>
      </c>
      <c r="V72" s="303">
        <f t="shared" si="15"/>
        <v>4.26</v>
      </c>
      <c r="W72" s="303" t="str">
        <f t="shared" si="16"/>
        <v>-</v>
      </c>
      <c r="X72" s="303" t="str">
        <f t="shared" si="17"/>
        <v>-</v>
      </c>
    </row>
    <row r="73" spans="3:24">
      <c r="C73" s="277"/>
      <c r="D73" s="270" t="s">
        <v>676</v>
      </c>
      <c r="E73" s="303" t="s">
        <v>909</v>
      </c>
      <c r="F73" s="303">
        <v>16</v>
      </c>
      <c r="G73" s="303">
        <v>1</v>
      </c>
      <c r="H73" s="303">
        <v>2</v>
      </c>
      <c r="I73" s="303">
        <v>2</v>
      </c>
      <c r="J73" s="303"/>
      <c r="K73" s="269">
        <v>2.75</v>
      </c>
      <c r="L73" s="303"/>
      <c r="M73" s="303"/>
      <c r="N73" s="303"/>
      <c r="O73" s="321">
        <f t="shared" si="9"/>
        <v>2.75</v>
      </c>
      <c r="P73" s="322">
        <f t="shared" si="10"/>
        <v>0</v>
      </c>
      <c r="Q73" s="322"/>
      <c r="R73" s="303">
        <f t="shared" si="11"/>
        <v>2.75</v>
      </c>
      <c r="S73" s="303" t="str">
        <f t="shared" si="12"/>
        <v>-</v>
      </c>
      <c r="T73" s="303" t="str">
        <f t="shared" si="13"/>
        <v>-</v>
      </c>
      <c r="U73" s="303" t="str">
        <f t="shared" si="14"/>
        <v>-</v>
      </c>
      <c r="V73" s="303">
        <f t="shared" si="15"/>
        <v>11</v>
      </c>
      <c r="W73" s="303" t="str">
        <f t="shared" si="16"/>
        <v>-</v>
      </c>
      <c r="X73" s="303" t="str">
        <f t="shared" si="17"/>
        <v>-</v>
      </c>
    </row>
    <row r="74" spans="3:24">
      <c r="C74" s="277"/>
      <c r="D74" s="270" t="s">
        <v>677</v>
      </c>
      <c r="E74" s="303" t="s">
        <v>909</v>
      </c>
      <c r="F74" s="303">
        <v>16</v>
      </c>
      <c r="G74" s="303">
        <v>1</v>
      </c>
      <c r="H74" s="303">
        <v>1</v>
      </c>
      <c r="I74" s="303">
        <v>2</v>
      </c>
      <c r="J74" s="303"/>
      <c r="K74" s="269">
        <v>3.45</v>
      </c>
      <c r="L74" s="303"/>
      <c r="M74" s="303"/>
      <c r="N74" s="303"/>
      <c r="O74" s="321">
        <f t="shared" si="9"/>
        <v>3.45</v>
      </c>
      <c r="P74" s="322">
        <f t="shared" si="10"/>
        <v>0</v>
      </c>
      <c r="Q74" s="322"/>
      <c r="R74" s="303">
        <f t="shared" si="11"/>
        <v>3.45</v>
      </c>
      <c r="S74" s="303" t="str">
        <f t="shared" si="12"/>
        <v>-</v>
      </c>
      <c r="T74" s="303" t="str">
        <f t="shared" si="13"/>
        <v>-</v>
      </c>
      <c r="U74" s="303" t="str">
        <f t="shared" si="14"/>
        <v>-</v>
      </c>
      <c r="V74" s="303">
        <f t="shared" si="15"/>
        <v>6.9</v>
      </c>
      <c r="W74" s="303" t="str">
        <f t="shared" si="16"/>
        <v>-</v>
      </c>
      <c r="X74" s="303" t="str">
        <f t="shared" si="17"/>
        <v>-</v>
      </c>
    </row>
    <row r="75" spans="3:24">
      <c r="C75" s="277"/>
      <c r="D75" s="270" t="s">
        <v>678</v>
      </c>
      <c r="E75" s="303" t="s">
        <v>909</v>
      </c>
      <c r="F75" s="303">
        <v>12</v>
      </c>
      <c r="G75" s="303">
        <v>1</v>
      </c>
      <c r="H75" s="303">
        <v>2</v>
      </c>
      <c r="I75" s="303">
        <v>2</v>
      </c>
      <c r="J75" s="303"/>
      <c r="K75" s="269">
        <v>4.6230000000000002</v>
      </c>
      <c r="L75" s="303"/>
      <c r="M75" s="303"/>
      <c r="N75" s="303"/>
      <c r="O75" s="321">
        <f t="shared" si="9"/>
        <v>4.6230000000000002</v>
      </c>
      <c r="P75" s="322">
        <f t="shared" si="10"/>
        <v>0</v>
      </c>
      <c r="Q75" s="322"/>
      <c r="R75" s="303">
        <f t="shared" si="11"/>
        <v>4.6230000000000002</v>
      </c>
      <c r="S75" s="303" t="str">
        <f t="shared" si="12"/>
        <v>-</v>
      </c>
      <c r="T75" s="303" t="str">
        <f t="shared" si="13"/>
        <v>-</v>
      </c>
      <c r="U75" s="303">
        <f t="shared" si="14"/>
        <v>18.489999999999998</v>
      </c>
      <c r="V75" s="303" t="str">
        <f t="shared" si="15"/>
        <v>-</v>
      </c>
      <c r="W75" s="303" t="str">
        <f t="shared" si="16"/>
        <v>-</v>
      </c>
      <c r="X75" s="303" t="str">
        <f t="shared" si="17"/>
        <v>-</v>
      </c>
    </row>
    <row r="76" spans="3:24">
      <c r="C76" s="277"/>
      <c r="D76" s="270" t="s">
        <v>650</v>
      </c>
      <c r="E76" s="303" t="s">
        <v>909</v>
      </c>
      <c r="F76" s="303">
        <v>12</v>
      </c>
      <c r="G76" s="303">
        <v>1</v>
      </c>
      <c r="H76" s="303">
        <v>12</v>
      </c>
      <c r="I76" s="303">
        <v>2</v>
      </c>
      <c r="J76" s="303"/>
      <c r="K76" s="269">
        <v>0.59</v>
      </c>
      <c r="L76" s="303"/>
      <c r="M76" s="303"/>
      <c r="N76" s="303"/>
      <c r="O76" s="321">
        <f t="shared" si="9"/>
        <v>0.59</v>
      </c>
      <c r="P76" s="322">
        <f t="shared" si="10"/>
        <v>0</v>
      </c>
      <c r="Q76" s="322"/>
      <c r="R76" s="303">
        <f t="shared" si="11"/>
        <v>0.59</v>
      </c>
      <c r="S76" s="303" t="str">
        <f t="shared" si="12"/>
        <v>-</v>
      </c>
      <c r="T76" s="303" t="str">
        <f t="shared" si="13"/>
        <v>-</v>
      </c>
      <c r="U76" s="303">
        <f t="shared" si="14"/>
        <v>14.16</v>
      </c>
      <c r="V76" s="303" t="str">
        <f t="shared" si="15"/>
        <v>-</v>
      </c>
      <c r="W76" s="303" t="str">
        <f t="shared" si="16"/>
        <v>-</v>
      </c>
      <c r="X76" s="303" t="str">
        <f t="shared" si="17"/>
        <v>-</v>
      </c>
    </row>
    <row r="77" spans="3:24">
      <c r="C77" s="277"/>
      <c r="D77" s="270" t="s">
        <v>650</v>
      </c>
      <c r="E77" s="303" t="s">
        <v>909</v>
      </c>
      <c r="F77" s="303">
        <v>16</v>
      </c>
      <c r="G77" s="303"/>
      <c r="H77" s="303">
        <v>12</v>
      </c>
      <c r="I77" s="303">
        <v>2</v>
      </c>
      <c r="J77" s="303"/>
      <c r="K77" s="269">
        <v>0.78400000000000003</v>
      </c>
      <c r="L77" s="303"/>
      <c r="M77" s="303"/>
      <c r="N77" s="303"/>
      <c r="O77" s="321">
        <f t="shared" si="9"/>
        <v>0.78400000000000003</v>
      </c>
      <c r="P77" s="322">
        <f t="shared" si="10"/>
        <v>0</v>
      </c>
      <c r="Q77" s="322"/>
      <c r="R77" s="303">
        <f t="shared" si="11"/>
        <v>0.78400000000000003</v>
      </c>
      <c r="S77" s="303" t="str">
        <f t="shared" si="12"/>
        <v>-</v>
      </c>
      <c r="T77" s="303" t="str">
        <f t="shared" si="13"/>
        <v>-</v>
      </c>
      <c r="U77" s="303" t="str">
        <f t="shared" si="14"/>
        <v>-</v>
      </c>
      <c r="V77" s="303">
        <f t="shared" si="15"/>
        <v>18.82</v>
      </c>
      <c r="W77" s="303" t="str">
        <f t="shared" si="16"/>
        <v>-</v>
      </c>
      <c r="X77" s="303" t="str">
        <f t="shared" si="17"/>
        <v>-</v>
      </c>
    </row>
    <row r="78" spans="3:24">
      <c r="C78" s="277"/>
      <c r="D78" s="270" t="s">
        <v>632</v>
      </c>
      <c r="E78" s="303" t="s">
        <v>907</v>
      </c>
      <c r="F78" s="303">
        <v>8</v>
      </c>
      <c r="G78" s="303">
        <v>11</v>
      </c>
      <c r="H78" s="303">
        <v>52</v>
      </c>
      <c r="I78" s="303">
        <v>2</v>
      </c>
      <c r="J78" s="303">
        <v>0.18</v>
      </c>
      <c r="K78" s="269">
        <v>0.55000000000000004</v>
      </c>
      <c r="L78" s="303">
        <v>0.18</v>
      </c>
      <c r="M78" s="303">
        <v>0.55000000000000004</v>
      </c>
      <c r="N78" s="303">
        <v>0.16</v>
      </c>
      <c r="O78" s="321">
        <f t="shared" si="9"/>
        <v>1.6199999999999999</v>
      </c>
      <c r="P78" s="322">
        <f t="shared" si="10"/>
        <v>0.08</v>
      </c>
      <c r="Q78" s="322"/>
      <c r="R78" s="303">
        <f t="shared" si="11"/>
        <v>1.5399999999999998</v>
      </c>
      <c r="S78" s="303">
        <f t="shared" si="12"/>
        <v>1761.76</v>
      </c>
      <c r="T78" s="303" t="str">
        <f t="shared" si="13"/>
        <v>-</v>
      </c>
      <c r="U78" s="303" t="str">
        <f t="shared" si="14"/>
        <v>-</v>
      </c>
      <c r="V78" s="303" t="str">
        <f t="shared" si="15"/>
        <v>-</v>
      </c>
      <c r="W78" s="303" t="str">
        <f t="shared" si="16"/>
        <v>-</v>
      </c>
      <c r="X78" s="303" t="str">
        <f t="shared" si="17"/>
        <v>-</v>
      </c>
    </row>
    <row r="79" spans="3:24">
      <c r="C79" s="277">
        <v>7</v>
      </c>
      <c r="D79" s="268" t="s">
        <v>679</v>
      </c>
      <c r="E79" s="303" t="s">
        <v>908</v>
      </c>
      <c r="F79" s="303"/>
      <c r="G79" s="303"/>
      <c r="H79" s="303"/>
      <c r="I79" s="303"/>
      <c r="J79" s="303"/>
      <c r="K79" s="269"/>
      <c r="L79" s="303"/>
      <c r="M79" s="303"/>
      <c r="N79" s="303"/>
      <c r="O79" s="321">
        <f t="shared" si="9"/>
        <v>0</v>
      </c>
      <c r="P79" s="322">
        <f t="shared" si="10"/>
        <v>0</v>
      </c>
      <c r="Q79" s="322"/>
      <c r="R79" s="303">
        <f t="shared" si="11"/>
        <v>0</v>
      </c>
      <c r="S79" s="303" t="str">
        <f t="shared" si="12"/>
        <v>-</v>
      </c>
      <c r="T79" s="303" t="str">
        <f t="shared" si="13"/>
        <v>-</v>
      </c>
      <c r="U79" s="303" t="str">
        <f t="shared" si="14"/>
        <v>-</v>
      </c>
      <c r="V79" s="303" t="str">
        <f t="shared" si="15"/>
        <v>-</v>
      </c>
      <c r="W79" s="303" t="str">
        <f t="shared" si="16"/>
        <v>-</v>
      </c>
      <c r="X79" s="303" t="str">
        <f t="shared" si="17"/>
        <v>-</v>
      </c>
    </row>
    <row r="80" spans="3:24">
      <c r="C80" s="277"/>
      <c r="D80" s="270" t="s">
        <v>674</v>
      </c>
      <c r="E80" s="303" t="s">
        <v>908</v>
      </c>
      <c r="F80" s="303">
        <v>16</v>
      </c>
      <c r="G80" s="303">
        <v>1</v>
      </c>
      <c r="H80" s="303">
        <v>3</v>
      </c>
      <c r="I80" s="303">
        <v>2</v>
      </c>
      <c r="J80" s="303">
        <v>0.16</v>
      </c>
      <c r="K80" s="269">
        <v>4.3869999999999996</v>
      </c>
      <c r="L80" s="303">
        <v>0.16</v>
      </c>
      <c r="M80" s="303"/>
      <c r="N80" s="303"/>
      <c r="O80" s="321">
        <f t="shared" si="9"/>
        <v>4.7069999999999999</v>
      </c>
      <c r="P80" s="322">
        <f t="shared" si="10"/>
        <v>6.4000000000000001E-2</v>
      </c>
      <c r="Q80" s="322"/>
      <c r="R80" s="303">
        <f t="shared" si="11"/>
        <v>4.6429999999999998</v>
      </c>
      <c r="S80" s="303" t="str">
        <f t="shared" si="12"/>
        <v>-</v>
      </c>
      <c r="T80" s="303" t="str">
        <f t="shared" si="13"/>
        <v>-</v>
      </c>
      <c r="U80" s="303" t="str">
        <f t="shared" si="14"/>
        <v>-</v>
      </c>
      <c r="V80" s="303">
        <f t="shared" si="15"/>
        <v>27.86</v>
      </c>
      <c r="W80" s="303" t="str">
        <f t="shared" si="16"/>
        <v>-</v>
      </c>
      <c r="X80" s="303" t="str">
        <f t="shared" si="17"/>
        <v>-</v>
      </c>
    </row>
    <row r="81" spans="3:24">
      <c r="C81" s="277"/>
      <c r="D81" s="270" t="s">
        <v>680</v>
      </c>
      <c r="E81" s="303" t="s">
        <v>910</v>
      </c>
      <c r="F81" s="303">
        <v>12</v>
      </c>
      <c r="G81" s="303">
        <v>1</v>
      </c>
      <c r="H81" s="303">
        <v>2</v>
      </c>
      <c r="I81" s="303">
        <v>2</v>
      </c>
      <c r="J81" s="303">
        <v>0.12</v>
      </c>
      <c r="K81" s="269">
        <v>1.5249999999999999</v>
      </c>
      <c r="L81" s="303"/>
      <c r="M81" s="303"/>
      <c r="N81" s="303"/>
      <c r="O81" s="321">
        <f t="shared" si="9"/>
        <v>1.645</v>
      </c>
      <c r="P81" s="322">
        <f t="shared" si="10"/>
        <v>2.4E-2</v>
      </c>
      <c r="Q81" s="322"/>
      <c r="R81" s="303">
        <f t="shared" si="11"/>
        <v>1.621</v>
      </c>
      <c r="S81" s="303" t="str">
        <f t="shared" si="12"/>
        <v>-</v>
      </c>
      <c r="T81" s="303" t="str">
        <f t="shared" si="13"/>
        <v>-</v>
      </c>
      <c r="U81" s="303">
        <f t="shared" si="14"/>
        <v>6.48</v>
      </c>
      <c r="V81" s="303" t="str">
        <f t="shared" si="15"/>
        <v>-</v>
      </c>
      <c r="W81" s="303" t="str">
        <f t="shared" si="16"/>
        <v>-</v>
      </c>
      <c r="X81" s="303" t="str">
        <f t="shared" si="17"/>
        <v>-</v>
      </c>
    </row>
    <row r="82" spans="3:24">
      <c r="C82" s="277"/>
      <c r="D82" s="270" t="s">
        <v>632</v>
      </c>
      <c r="E82" s="303" t="s">
        <v>907</v>
      </c>
      <c r="F82" s="303">
        <v>8</v>
      </c>
      <c r="G82" s="303">
        <v>1</v>
      </c>
      <c r="H82" s="303">
        <v>33</v>
      </c>
      <c r="I82" s="303">
        <v>2</v>
      </c>
      <c r="J82" s="303">
        <v>0.18</v>
      </c>
      <c r="K82" s="269">
        <v>0.4</v>
      </c>
      <c r="L82" s="303">
        <v>0.18</v>
      </c>
      <c r="M82" s="303">
        <v>0.4</v>
      </c>
      <c r="N82" s="303">
        <v>0.16</v>
      </c>
      <c r="O82" s="321">
        <f t="shared" si="9"/>
        <v>1.32</v>
      </c>
      <c r="P82" s="322">
        <f t="shared" si="10"/>
        <v>0.08</v>
      </c>
      <c r="Q82" s="322"/>
      <c r="R82" s="303">
        <f t="shared" si="11"/>
        <v>1.24</v>
      </c>
      <c r="S82" s="303">
        <f t="shared" si="12"/>
        <v>81.84</v>
      </c>
      <c r="T82" s="303" t="str">
        <f t="shared" si="13"/>
        <v>-</v>
      </c>
      <c r="U82" s="303" t="str">
        <f t="shared" si="14"/>
        <v>-</v>
      </c>
      <c r="V82" s="303" t="str">
        <f t="shared" si="15"/>
        <v>-</v>
      </c>
      <c r="W82" s="303" t="str">
        <f t="shared" si="16"/>
        <v>-</v>
      </c>
      <c r="X82" s="303" t="str">
        <f t="shared" si="17"/>
        <v>-</v>
      </c>
    </row>
    <row r="83" spans="3:24" s="327" customFormat="1">
      <c r="C83" s="277">
        <v>8</v>
      </c>
      <c r="D83" s="268" t="s">
        <v>681</v>
      </c>
      <c r="E83" s="303" t="s">
        <v>908</v>
      </c>
      <c r="F83" s="303">
        <v>12</v>
      </c>
      <c r="G83" s="303">
        <v>1</v>
      </c>
      <c r="H83" s="303">
        <v>6</v>
      </c>
      <c r="I83" s="303">
        <v>1</v>
      </c>
      <c r="J83" s="303">
        <v>0.12</v>
      </c>
      <c r="K83" s="269">
        <v>3.9</v>
      </c>
      <c r="L83" s="303">
        <v>0.12</v>
      </c>
      <c r="M83" s="303"/>
      <c r="N83" s="303"/>
      <c r="O83" s="321">
        <f t="shared" si="9"/>
        <v>4.1399999999999997</v>
      </c>
      <c r="P83" s="322">
        <f t="shared" si="10"/>
        <v>4.8000000000000001E-2</v>
      </c>
      <c r="Q83" s="322"/>
      <c r="R83" s="303">
        <f t="shared" si="11"/>
        <v>4.0919999999999996</v>
      </c>
      <c r="S83" s="303" t="str">
        <f t="shared" si="12"/>
        <v>-</v>
      </c>
      <c r="T83" s="303" t="str">
        <f t="shared" si="13"/>
        <v>-</v>
      </c>
      <c r="U83" s="303">
        <f t="shared" si="14"/>
        <v>24.55</v>
      </c>
      <c r="V83" s="303" t="str">
        <f t="shared" si="15"/>
        <v>-</v>
      </c>
      <c r="W83" s="303" t="str">
        <f t="shared" si="16"/>
        <v>-</v>
      </c>
      <c r="X83" s="303" t="str">
        <f t="shared" si="17"/>
        <v>-</v>
      </c>
    </row>
    <row r="84" spans="3:24">
      <c r="C84" s="277"/>
      <c r="D84" s="270" t="s">
        <v>682</v>
      </c>
      <c r="E84" s="303" t="s">
        <v>909</v>
      </c>
      <c r="F84" s="303">
        <v>12</v>
      </c>
      <c r="G84" s="303">
        <v>1</v>
      </c>
      <c r="H84" s="303">
        <v>2</v>
      </c>
      <c r="I84" s="303">
        <v>1</v>
      </c>
      <c r="J84" s="303"/>
      <c r="K84" s="269">
        <v>2.4</v>
      </c>
      <c r="L84" s="303"/>
      <c r="M84" s="303"/>
      <c r="N84" s="303"/>
      <c r="O84" s="321">
        <f t="shared" si="9"/>
        <v>2.4</v>
      </c>
      <c r="P84" s="322">
        <f t="shared" si="10"/>
        <v>0</v>
      </c>
      <c r="Q84" s="322"/>
      <c r="R84" s="303">
        <f t="shared" si="11"/>
        <v>2.4</v>
      </c>
      <c r="S84" s="303" t="str">
        <f t="shared" si="12"/>
        <v>-</v>
      </c>
      <c r="T84" s="303" t="str">
        <f t="shared" si="13"/>
        <v>-</v>
      </c>
      <c r="U84" s="303">
        <f t="shared" si="14"/>
        <v>4.8</v>
      </c>
      <c r="V84" s="303" t="str">
        <f t="shared" si="15"/>
        <v>-</v>
      </c>
      <c r="W84" s="303" t="str">
        <f t="shared" si="16"/>
        <v>-</v>
      </c>
      <c r="X84" s="303" t="str">
        <f t="shared" si="17"/>
        <v>-</v>
      </c>
    </row>
    <row r="85" spans="3:24">
      <c r="C85" s="277"/>
      <c r="D85" s="270" t="s">
        <v>682</v>
      </c>
      <c r="E85" s="303" t="s">
        <v>909</v>
      </c>
      <c r="F85" s="303">
        <v>12</v>
      </c>
      <c r="G85" s="303">
        <v>1</v>
      </c>
      <c r="H85" s="303">
        <v>1</v>
      </c>
      <c r="I85" s="303">
        <v>1</v>
      </c>
      <c r="J85" s="303"/>
      <c r="K85" s="269">
        <v>2.9</v>
      </c>
      <c r="L85" s="303"/>
      <c r="M85" s="303"/>
      <c r="N85" s="303"/>
      <c r="O85" s="321">
        <f t="shared" si="9"/>
        <v>2.9</v>
      </c>
      <c r="P85" s="322">
        <f t="shared" si="10"/>
        <v>0</v>
      </c>
      <c r="Q85" s="322"/>
      <c r="R85" s="303">
        <f t="shared" si="11"/>
        <v>2.9</v>
      </c>
      <c r="S85" s="303" t="str">
        <f t="shared" si="12"/>
        <v>-</v>
      </c>
      <c r="T85" s="303" t="str">
        <f t="shared" si="13"/>
        <v>-</v>
      </c>
      <c r="U85" s="303">
        <f t="shared" si="14"/>
        <v>2.9</v>
      </c>
      <c r="V85" s="303" t="str">
        <f t="shared" si="15"/>
        <v>-</v>
      </c>
      <c r="W85" s="303" t="str">
        <f t="shared" si="16"/>
        <v>-</v>
      </c>
      <c r="X85" s="303" t="str">
        <f t="shared" si="17"/>
        <v>-</v>
      </c>
    </row>
    <row r="86" spans="3:24">
      <c r="C86" s="277"/>
      <c r="D86" s="270" t="s">
        <v>683</v>
      </c>
      <c r="E86" s="303" t="s">
        <v>909</v>
      </c>
      <c r="F86" s="303">
        <v>12</v>
      </c>
      <c r="G86" s="303">
        <v>1</v>
      </c>
      <c r="H86" s="303">
        <v>2</v>
      </c>
      <c r="I86" s="303">
        <v>1</v>
      </c>
      <c r="J86" s="303"/>
      <c r="K86" s="269">
        <v>5.65</v>
      </c>
      <c r="L86" s="303"/>
      <c r="M86" s="303"/>
      <c r="N86" s="303"/>
      <c r="O86" s="321">
        <f t="shared" si="9"/>
        <v>5.65</v>
      </c>
      <c r="P86" s="322">
        <f t="shared" si="10"/>
        <v>0</v>
      </c>
      <c r="Q86" s="322"/>
      <c r="R86" s="303">
        <f t="shared" si="11"/>
        <v>5.65</v>
      </c>
      <c r="S86" s="303" t="str">
        <f t="shared" si="12"/>
        <v>-</v>
      </c>
      <c r="T86" s="303" t="str">
        <f t="shared" si="13"/>
        <v>-</v>
      </c>
      <c r="U86" s="303">
        <f t="shared" si="14"/>
        <v>11.3</v>
      </c>
      <c r="V86" s="303" t="str">
        <f t="shared" si="15"/>
        <v>-</v>
      </c>
      <c r="W86" s="303" t="str">
        <f t="shared" si="16"/>
        <v>-</v>
      </c>
      <c r="X86" s="303" t="str">
        <f t="shared" si="17"/>
        <v>-</v>
      </c>
    </row>
    <row r="87" spans="3:24">
      <c r="C87" s="277"/>
      <c r="D87" s="270" t="s">
        <v>683</v>
      </c>
      <c r="E87" s="303" t="s">
        <v>909</v>
      </c>
      <c r="F87" s="303">
        <v>12</v>
      </c>
      <c r="G87" s="303">
        <v>1</v>
      </c>
      <c r="H87" s="303">
        <v>1</v>
      </c>
      <c r="I87" s="303">
        <v>1</v>
      </c>
      <c r="J87" s="303"/>
      <c r="K87" s="269">
        <v>6.15</v>
      </c>
      <c r="L87" s="303"/>
      <c r="M87" s="303"/>
      <c r="N87" s="303"/>
      <c r="O87" s="321">
        <f t="shared" si="9"/>
        <v>6.15</v>
      </c>
      <c r="P87" s="322">
        <f t="shared" si="10"/>
        <v>0</v>
      </c>
      <c r="Q87" s="322"/>
      <c r="R87" s="303">
        <f t="shared" si="11"/>
        <v>6.15</v>
      </c>
      <c r="S87" s="303" t="str">
        <f t="shared" si="12"/>
        <v>-</v>
      </c>
      <c r="T87" s="303" t="str">
        <f t="shared" si="13"/>
        <v>-</v>
      </c>
      <c r="U87" s="303">
        <f t="shared" si="14"/>
        <v>6.15</v>
      </c>
      <c r="V87" s="303" t="str">
        <f t="shared" si="15"/>
        <v>-</v>
      </c>
      <c r="W87" s="303" t="str">
        <f t="shared" si="16"/>
        <v>-</v>
      </c>
      <c r="X87" s="303" t="str">
        <f t="shared" si="17"/>
        <v>-</v>
      </c>
    </row>
    <row r="88" spans="3:24">
      <c r="C88" s="277"/>
      <c r="D88" s="270" t="s">
        <v>684</v>
      </c>
      <c r="E88" s="303" t="s">
        <v>909</v>
      </c>
      <c r="F88" s="303">
        <v>12</v>
      </c>
      <c r="G88" s="303">
        <v>1</v>
      </c>
      <c r="H88" s="303">
        <v>2</v>
      </c>
      <c r="I88" s="303">
        <v>1</v>
      </c>
      <c r="J88" s="303"/>
      <c r="K88" s="269">
        <v>2.6</v>
      </c>
      <c r="L88" s="303"/>
      <c r="M88" s="303"/>
      <c r="N88" s="303"/>
      <c r="O88" s="321">
        <f t="shared" si="9"/>
        <v>2.6</v>
      </c>
      <c r="P88" s="322">
        <f t="shared" si="10"/>
        <v>0</v>
      </c>
      <c r="Q88" s="322"/>
      <c r="R88" s="303">
        <f t="shared" si="11"/>
        <v>2.6</v>
      </c>
      <c r="S88" s="303" t="str">
        <f t="shared" si="12"/>
        <v>-</v>
      </c>
      <c r="T88" s="303" t="str">
        <f t="shared" si="13"/>
        <v>-</v>
      </c>
      <c r="U88" s="303">
        <f t="shared" si="14"/>
        <v>5.2</v>
      </c>
      <c r="V88" s="303" t="str">
        <f t="shared" si="15"/>
        <v>-</v>
      </c>
      <c r="W88" s="303" t="str">
        <f t="shared" si="16"/>
        <v>-</v>
      </c>
      <c r="X88" s="303" t="str">
        <f t="shared" si="17"/>
        <v>-</v>
      </c>
    </row>
    <row r="89" spans="3:24">
      <c r="C89" s="277"/>
      <c r="D89" s="270" t="s">
        <v>685</v>
      </c>
      <c r="E89" s="303" t="s">
        <v>909</v>
      </c>
      <c r="F89" s="303">
        <v>12</v>
      </c>
      <c r="G89" s="303">
        <v>1</v>
      </c>
      <c r="H89" s="303">
        <v>2</v>
      </c>
      <c r="I89" s="303">
        <v>1</v>
      </c>
      <c r="J89" s="303"/>
      <c r="K89" s="269">
        <v>2.6</v>
      </c>
      <c r="L89" s="303"/>
      <c r="M89" s="303"/>
      <c r="N89" s="303"/>
      <c r="O89" s="321">
        <f t="shared" si="9"/>
        <v>2.6</v>
      </c>
      <c r="P89" s="322">
        <f t="shared" si="10"/>
        <v>0</v>
      </c>
      <c r="Q89" s="322"/>
      <c r="R89" s="303">
        <f t="shared" si="11"/>
        <v>2.6</v>
      </c>
      <c r="S89" s="303" t="str">
        <f t="shared" si="12"/>
        <v>-</v>
      </c>
      <c r="T89" s="303" t="str">
        <f t="shared" si="13"/>
        <v>-</v>
      </c>
      <c r="U89" s="303">
        <f t="shared" si="14"/>
        <v>5.2</v>
      </c>
      <c r="V89" s="303" t="str">
        <f t="shared" si="15"/>
        <v>-</v>
      </c>
      <c r="W89" s="303" t="str">
        <f t="shared" si="16"/>
        <v>-</v>
      </c>
      <c r="X89" s="303" t="str">
        <f t="shared" si="17"/>
        <v>-</v>
      </c>
    </row>
    <row r="90" spans="3:24">
      <c r="C90" s="277"/>
      <c r="D90" s="270" t="s">
        <v>686</v>
      </c>
      <c r="E90" s="303" t="s">
        <v>909</v>
      </c>
      <c r="F90" s="303">
        <v>12</v>
      </c>
      <c r="G90" s="303">
        <v>1</v>
      </c>
      <c r="H90" s="303">
        <v>2</v>
      </c>
      <c r="I90" s="303">
        <v>1</v>
      </c>
      <c r="J90" s="303"/>
      <c r="K90" s="269">
        <v>5.65</v>
      </c>
      <c r="L90" s="303"/>
      <c r="M90" s="303"/>
      <c r="N90" s="303"/>
      <c r="O90" s="321">
        <f t="shared" si="9"/>
        <v>5.65</v>
      </c>
      <c r="P90" s="322">
        <f t="shared" si="10"/>
        <v>0</v>
      </c>
      <c r="Q90" s="322"/>
      <c r="R90" s="303">
        <f t="shared" si="11"/>
        <v>5.65</v>
      </c>
      <c r="S90" s="303" t="str">
        <f t="shared" si="12"/>
        <v>-</v>
      </c>
      <c r="T90" s="303" t="str">
        <f t="shared" si="13"/>
        <v>-</v>
      </c>
      <c r="U90" s="303">
        <f t="shared" si="14"/>
        <v>11.3</v>
      </c>
      <c r="V90" s="303" t="str">
        <f t="shared" si="15"/>
        <v>-</v>
      </c>
      <c r="W90" s="303" t="str">
        <f t="shared" si="16"/>
        <v>-</v>
      </c>
      <c r="X90" s="303" t="str">
        <f t="shared" si="17"/>
        <v>-</v>
      </c>
    </row>
    <row r="91" spans="3:24">
      <c r="C91" s="277"/>
      <c r="D91" s="270" t="s">
        <v>687</v>
      </c>
      <c r="E91" s="303" t="s">
        <v>909</v>
      </c>
      <c r="F91" s="303">
        <v>12</v>
      </c>
      <c r="G91" s="303">
        <v>1</v>
      </c>
      <c r="H91" s="303">
        <v>2</v>
      </c>
      <c r="I91" s="303">
        <v>1</v>
      </c>
      <c r="J91" s="303"/>
      <c r="K91" s="269">
        <v>2.4</v>
      </c>
      <c r="L91" s="303"/>
      <c r="M91" s="303"/>
      <c r="N91" s="303"/>
      <c r="O91" s="321">
        <f t="shared" si="9"/>
        <v>2.4</v>
      </c>
      <c r="P91" s="322">
        <f t="shared" si="10"/>
        <v>0</v>
      </c>
      <c r="Q91" s="322"/>
      <c r="R91" s="303">
        <f t="shared" si="11"/>
        <v>2.4</v>
      </c>
      <c r="S91" s="303" t="str">
        <f t="shared" si="12"/>
        <v>-</v>
      </c>
      <c r="T91" s="303" t="str">
        <f t="shared" si="13"/>
        <v>-</v>
      </c>
      <c r="U91" s="303">
        <f t="shared" si="14"/>
        <v>4.8</v>
      </c>
      <c r="V91" s="303" t="str">
        <f t="shared" si="15"/>
        <v>-</v>
      </c>
      <c r="W91" s="303" t="str">
        <f t="shared" si="16"/>
        <v>-</v>
      </c>
      <c r="X91" s="303" t="str">
        <f t="shared" si="17"/>
        <v>-</v>
      </c>
    </row>
    <row r="92" spans="3:24">
      <c r="C92" s="277"/>
      <c r="D92" s="270" t="s">
        <v>688</v>
      </c>
      <c r="E92" s="303" t="s">
        <v>909</v>
      </c>
      <c r="F92" s="303">
        <v>12</v>
      </c>
      <c r="G92" s="303">
        <v>1</v>
      </c>
      <c r="H92" s="303">
        <v>1</v>
      </c>
      <c r="I92" s="303">
        <v>1</v>
      </c>
      <c r="J92" s="303"/>
      <c r="K92" s="269">
        <v>2.9</v>
      </c>
      <c r="L92" s="303"/>
      <c r="M92" s="303"/>
      <c r="N92" s="303"/>
      <c r="O92" s="321">
        <f t="shared" si="9"/>
        <v>2.9</v>
      </c>
      <c r="P92" s="322">
        <f t="shared" si="10"/>
        <v>0</v>
      </c>
      <c r="Q92" s="322"/>
      <c r="R92" s="303">
        <f t="shared" si="11"/>
        <v>2.9</v>
      </c>
      <c r="S92" s="303" t="str">
        <f t="shared" si="12"/>
        <v>-</v>
      </c>
      <c r="T92" s="303" t="str">
        <f t="shared" si="13"/>
        <v>-</v>
      </c>
      <c r="U92" s="303">
        <f t="shared" si="14"/>
        <v>2.9</v>
      </c>
      <c r="V92" s="303" t="str">
        <f t="shared" si="15"/>
        <v>-</v>
      </c>
      <c r="W92" s="303" t="str">
        <f t="shared" si="16"/>
        <v>-</v>
      </c>
      <c r="X92" s="303" t="str">
        <f t="shared" si="17"/>
        <v>-</v>
      </c>
    </row>
    <row r="93" spans="3:24">
      <c r="C93" s="277"/>
      <c r="D93" s="270" t="s">
        <v>689</v>
      </c>
      <c r="E93" s="303" t="s">
        <v>909</v>
      </c>
      <c r="F93" s="303">
        <v>12</v>
      </c>
      <c r="G93" s="303">
        <v>1</v>
      </c>
      <c r="H93" s="303">
        <v>2</v>
      </c>
      <c r="I93" s="303">
        <v>1</v>
      </c>
      <c r="J93" s="303"/>
      <c r="K93" s="269">
        <v>4.25</v>
      </c>
      <c r="L93" s="303"/>
      <c r="M93" s="303"/>
      <c r="N93" s="303"/>
      <c r="O93" s="321">
        <f t="shared" si="9"/>
        <v>4.25</v>
      </c>
      <c r="P93" s="322">
        <f t="shared" si="10"/>
        <v>0</v>
      </c>
      <c r="Q93" s="322"/>
      <c r="R93" s="303">
        <f t="shared" si="11"/>
        <v>4.25</v>
      </c>
      <c r="S93" s="303" t="str">
        <f t="shared" si="12"/>
        <v>-</v>
      </c>
      <c r="T93" s="303" t="str">
        <f t="shared" si="13"/>
        <v>-</v>
      </c>
      <c r="U93" s="303">
        <f t="shared" si="14"/>
        <v>8.5</v>
      </c>
      <c r="V93" s="303" t="str">
        <f t="shared" si="15"/>
        <v>-</v>
      </c>
      <c r="W93" s="303" t="str">
        <f t="shared" si="16"/>
        <v>-</v>
      </c>
      <c r="X93" s="303" t="str">
        <f t="shared" si="17"/>
        <v>-</v>
      </c>
    </row>
    <row r="94" spans="3:24">
      <c r="C94" s="277"/>
      <c r="D94" s="270" t="s">
        <v>690</v>
      </c>
      <c r="E94" s="303" t="s">
        <v>909</v>
      </c>
      <c r="F94" s="303">
        <v>12</v>
      </c>
      <c r="G94" s="303">
        <v>1</v>
      </c>
      <c r="H94" s="303">
        <v>2</v>
      </c>
      <c r="I94" s="303">
        <v>1</v>
      </c>
      <c r="J94" s="303"/>
      <c r="K94" s="269">
        <v>4.25</v>
      </c>
      <c r="L94" s="303"/>
      <c r="M94" s="303"/>
      <c r="N94" s="303"/>
      <c r="O94" s="321">
        <f t="shared" si="9"/>
        <v>4.25</v>
      </c>
      <c r="P94" s="322">
        <f t="shared" si="10"/>
        <v>0</v>
      </c>
      <c r="Q94" s="322"/>
      <c r="R94" s="303">
        <f t="shared" si="11"/>
        <v>4.25</v>
      </c>
      <c r="S94" s="303" t="str">
        <f t="shared" si="12"/>
        <v>-</v>
      </c>
      <c r="T94" s="303" t="str">
        <f t="shared" si="13"/>
        <v>-</v>
      </c>
      <c r="U94" s="303">
        <f t="shared" si="14"/>
        <v>8.5</v>
      </c>
      <c r="V94" s="303" t="str">
        <f t="shared" si="15"/>
        <v>-</v>
      </c>
      <c r="W94" s="303" t="str">
        <f t="shared" si="16"/>
        <v>-</v>
      </c>
      <c r="X94" s="303" t="str">
        <f t="shared" si="17"/>
        <v>-</v>
      </c>
    </row>
    <row r="95" spans="3:24">
      <c r="C95" s="277"/>
      <c r="D95" s="270" t="s">
        <v>650</v>
      </c>
      <c r="E95" s="303" t="s">
        <v>909</v>
      </c>
      <c r="F95" s="303">
        <v>12</v>
      </c>
      <c r="G95" s="303">
        <v>1</v>
      </c>
      <c r="H95" s="303">
        <v>108</v>
      </c>
      <c r="I95" s="303">
        <v>1</v>
      </c>
      <c r="J95" s="303"/>
      <c r="K95" s="269">
        <v>0.59</v>
      </c>
      <c r="L95" s="303"/>
      <c r="M95" s="303"/>
      <c r="N95" s="303"/>
      <c r="O95" s="321">
        <f t="shared" si="9"/>
        <v>0.59</v>
      </c>
      <c r="P95" s="322">
        <f t="shared" si="10"/>
        <v>0</v>
      </c>
      <c r="Q95" s="322"/>
      <c r="R95" s="303">
        <f t="shared" si="11"/>
        <v>0.59</v>
      </c>
      <c r="S95" s="303" t="str">
        <f t="shared" si="12"/>
        <v>-</v>
      </c>
      <c r="T95" s="303" t="str">
        <f t="shared" si="13"/>
        <v>-</v>
      </c>
      <c r="U95" s="303">
        <f t="shared" si="14"/>
        <v>63.72</v>
      </c>
      <c r="V95" s="303" t="str">
        <f t="shared" si="15"/>
        <v>-</v>
      </c>
      <c r="W95" s="303" t="str">
        <f t="shared" si="16"/>
        <v>-</v>
      </c>
      <c r="X95" s="303" t="str">
        <f t="shared" si="17"/>
        <v>-</v>
      </c>
    </row>
    <row r="96" spans="3:24">
      <c r="C96" s="277"/>
      <c r="D96" s="270" t="s">
        <v>632</v>
      </c>
      <c r="E96" s="303" t="s">
        <v>907</v>
      </c>
      <c r="F96" s="303">
        <v>8</v>
      </c>
      <c r="G96" s="303">
        <v>1</v>
      </c>
      <c r="H96" s="303">
        <v>317</v>
      </c>
      <c r="I96" s="303">
        <v>1</v>
      </c>
      <c r="J96" s="303">
        <v>0.18</v>
      </c>
      <c r="K96" s="269">
        <v>0.4</v>
      </c>
      <c r="L96" s="303">
        <v>0.18</v>
      </c>
      <c r="M96" s="303">
        <v>0.4</v>
      </c>
      <c r="N96" s="303">
        <v>0.16</v>
      </c>
      <c r="O96" s="321">
        <f t="shared" si="9"/>
        <v>1.32</v>
      </c>
      <c r="P96" s="322">
        <f t="shared" si="10"/>
        <v>0.08</v>
      </c>
      <c r="Q96" s="322"/>
      <c r="R96" s="303">
        <f t="shared" si="11"/>
        <v>1.24</v>
      </c>
      <c r="S96" s="303">
        <f t="shared" si="12"/>
        <v>393.08</v>
      </c>
      <c r="T96" s="303" t="str">
        <f t="shared" si="13"/>
        <v>-</v>
      </c>
      <c r="U96" s="303" t="str">
        <f t="shared" si="14"/>
        <v>-</v>
      </c>
      <c r="V96" s="303" t="str">
        <f t="shared" si="15"/>
        <v>-</v>
      </c>
      <c r="W96" s="303" t="str">
        <f t="shared" si="16"/>
        <v>-</v>
      </c>
      <c r="X96" s="303" t="str">
        <f t="shared" si="17"/>
        <v>-</v>
      </c>
    </row>
    <row r="97" spans="3:24">
      <c r="C97" s="277">
        <v>9</v>
      </c>
      <c r="D97" s="268" t="s">
        <v>905</v>
      </c>
      <c r="E97" s="303" t="s">
        <v>908</v>
      </c>
      <c r="F97" s="303">
        <v>12</v>
      </c>
      <c r="G97" s="303">
        <v>1</v>
      </c>
      <c r="H97" s="303">
        <v>6</v>
      </c>
      <c r="I97" s="303">
        <v>2</v>
      </c>
      <c r="J97" s="303">
        <v>0.12</v>
      </c>
      <c r="K97" s="269">
        <v>4.78</v>
      </c>
      <c r="L97" s="303">
        <v>0.12</v>
      </c>
      <c r="M97" s="303"/>
      <c r="N97" s="303"/>
      <c r="O97" s="321">
        <f t="shared" si="9"/>
        <v>5.0200000000000005</v>
      </c>
      <c r="P97" s="322">
        <f t="shared" si="10"/>
        <v>4.8000000000000001E-2</v>
      </c>
      <c r="Q97" s="322"/>
      <c r="R97" s="303">
        <f t="shared" si="11"/>
        <v>4.9720000000000004</v>
      </c>
      <c r="S97" s="303" t="str">
        <f t="shared" si="12"/>
        <v>-</v>
      </c>
      <c r="T97" s="303" t="str">
        <f t="shared" si="13"/>
        <v>-</v>
      </c>
      <c r="U97" s="303">
        <f t="shared" si="14"/>
        <v>59.66</v>
      </c>
      <c r="V97" s="303" t="str">
        <f t="shared" si="15"/>
        <v>-</v>
      </c>
      <c r="W97" s="303" t="str">
        <f t="shared" si="16"/>
        <v>-</v>
      </c>
      <c r="X97" s="303" t="str">
        <f t="shared" si="17"/>
        <v>-</v>
      </c>
    </row>
    <row r="98" spans="3:24">
      <c r="C98" s="277"/>
      <c r="D98" s="270" t="s">
        <v>691</v>
      </c>
      <c r="E98" s="303" t="s">
        <v>909</v>
      </c>
      <c r="F98" s="303">
        <v>12</v>
      </c>
      <c r="G98" s="303">
        <v>1</v>
      </c>
      <c r="H98" s="303">
        <v>2</v>
      </c>
      <c r="I98" s="303">
        <v>2</v>
      </c>
      <c r="J98" s="303"/>
      <c r="K98" s="269">
        <v>3.57</v>
      </c>
      <c r="L98" s="303"/>
      <c r="M98" s="303"/>
      <c r="N98" s="303"/>
      <c r="O98" s="321">
        <f t="shared" si="9"/>
        <v>3.57</v>
      </c>
      <c r="P98" s="322">
        <f t="shared" si="10"/>
        <v>0</v>
      </c>
      <c r="Q98" s="322"/>
      <c r="R98" s="303">
        <f t="shared" si="11"/>
        <v>3.57</v>
      </c>
      <c r="S98" s="303" t="str">
        <f t="shared" si="12"/>
        <v>-</v>
      </c>
      <c r="T98" s="303" t="str">
        <f t="shared" si="13"/>
        <v>-</v>
      </c>
      <c r="U98" s="303">
        <f t="shared" si="14"/>
        <v>14.28</v>
      </c>
      <c r="V98" s="303" t="str">
        <f t="shared" si="15"/>
        <v>-</v>
      </c>
      <c r="W98" s="303" t="str">
        <f t="shared" si="16"/>
        <v>-</v>
      </c>
      <c r="X98" s="303" t="str">
        <f t="shared" si="17"/>
        <v>-</v>
      </c>
    </row>
    <row r="99" spans="3:24">
      <c r="C99" s="277"/>
      <c r="D99" s="270" t="s">
        <v>632</v>
      </c>
      <c r="E99" s="303" t="s">
        <v>907</v>
      </c>
      <c r="F99" s="303">
        <v>8</v>
      </c>
      <c r="G99" s="303">
        <v>1</v>
      </c>
      <c r="H99" s="303">
        <v>36</v>
      </c>
      <c r="I99" s="303">
        <v>2</v>
      </c>
      <c r="J99" s="303">
        <v>0.18</v>
      </c>
      <c r="K99" s="269">
        <v>0.4</v>
      </c>
      <c r="L99" s="303">
        <v>0.18</v>
      </c>
      <c r="M99" s="303">
        <v>0.4</v>
      </c>
      <c r="N99" s="303">
        <v>0.16</v>
      </c>
      <c r="O99" s="321">
        <f t="shared" si="9"/>
        <v>1.32</v>
      </c>
      <c r="P99" s="322">
        <f t="shared" si="10"/>
        <v>0.08</v>
      </c>
      <c r="Q99" s="322"/>
      <c r="R99" s="303">
        <f t="shared" si="11"/>
        <v>1.24</v>
      </c>
      <c r="S99" s="303">
        <f t="shared" si="12"/>
        <v>89.28</v>
      </c>
      <c r="T99" s="303" t="str">
        <f t="shared" si="13"/>
        <v>-</v>
      </c>
      <c r="U99" s="303" t="str">
        <f t="shared" si="14"/>
        <v>-</v>
      </c>
      <c r="V99" s="303" t="str">
        <f t="shared" si="15"/>
        <v>-</v>
      </c>
      <c r="W99" s="303" t="str">
        <f t="shared" si="16"/>
        <v>-</v>
      </c>
      <c r="X99" s="303" t="str">
        <f t="shared" si="17"/>
        <v>-</v>
      </c>
    </row>
    <row r="100" spans="3:24">
      <c r="C100" s="277">
        <v>10</v>
      </c>
      <c r="D100" s="268" t="s">
        <v>692</v>
      </c>
      <c r="E100" s="303" t="s">
        <v>908</v>
      </c>
      <c r="F100" s="303">
        <v>12</v>
      </c>
      <c r="G100" s="303">
        <v>1</v>
      </c>
      <c r="H100" s="303">
        <v>3</v>
      </c>
      <c r="I100" s="303">
        <v>2</v>
      </c>
      <c r="J100" s="303">
        <v>0.12</v>
      </c>
      <c r="K100" s="269">
        <v>14.175000000000001</v>
      </c>
      <c r="L100" s="303">
        <v>0.12</v>
      </c>
      <c r="M100" s="303"/>
      <c r="N100" s="303"/>
      <c r="O100" s="321">
        <f t="shared" si="9"/>
        <v>14.414999999999999</v>
      </c>
      <c r="P100" s="322">
        <f t="shared" si="10"/>
        <v>4.8000000000000001E-2</v>
      </c>
      <c r="Q100" s="322"/>
      <c r="R100" s="303">
        <f t="shared" si="11"/>
        <v>14.366999999999999</v>
      </c>
      <c r="S100" s="303" t="str">
        <f t="shared" si="12"/>
        <v>-</v>
      </c>
      <c r="T100" s="303" t="str">
        <f t="shared" si="13"/>
        <v>-</v>
      </c>
      <c r="U100" s="303">
        <f t="shared" si="14"/>
        <v>86.2</v>
      </c>
      <c r="V100" s="303" t="str">
        <f t="shared" si="15"/>
        <v>-</v>
      </c>
      <c r="W100" s="303" t="str">
        <f t="shared" si="16"/>
        <v>-</v>
      </c>
      <c r="X100" s="303" t="str">
        <f t="shared" si="17"/>
        <v>-</v>
      </c>
    </row>
    <row r="101" spans="3:24">
      <c r="C101" s="277"/>
      <c r="D101" s="270" t="s">
        <v>693</v>
      </c>
      <c r="E101" s="303" t="s">
        <v>908</v>
      </c>
      <c r="F101" s="303">
        <v>16</v>
      </c>
      <c r="G101" s="303">
        <v>1</v>
      </c>
      <c r="H101" s="303">
        <v>3</v>
      </c>
      <c r="I101" s="303">
        <v>2</v>
      </c>
      <c r="J101" s="303">
        <v>0.16</v>
      </c>
      <c r="K101" s="269">
        <v>7.3230000000000004</v>
      </c>
      <c r="L101" s="303">
        <v>0.94399999999999995</v>
      </c>
      <c r="M101" s="303"/>
      <c r="N101" s="303"/>
      <c r="O101" s="321">
        <f t="shared" si="9"/>
        <v>8.4269999999999996</v>
      </c>
      <c r="P101" s="322">
        <f t="shared" si="10"/>
        <v>6.4000000000000001E-2</v>
      </c>
      <c r="Q101" s="322"/>
      <c r="R101" s="303">
        <f t="shared" si="11"/>
        <v>8.3629999999999995</v>
      </c>
      <c r="S101" s="303" t="str">
        <f t="shared" si="12"/>
        <v>-</v>
      </c>
      <c r="T101" s="303" t="str">
        <f t="shared" si="13"/>
        <v>-</v>
      </c>
      <c r="U101" s="303" t="str">
        <f t="shared" si="14"/>
        <v>-</v>
      </c>
      <c r="V101" s="303">
        <f t="shared" si="15"/>
        <v>50.18</v>
      </c>
      <c r="W101" s="303" t="str">
        <f t="shared" si="16"/>
        <v>-</v>
      </c>
      <c r="X101" s="303" t="str">
        <f t="shared" si="17"/>
        <v>-</v>
      </c>
    </row>
    <row r="102" spans="3:24">
      <c r="C102" s="277"/>
      <c r="D102" s="270" t="s">
        <v>694</v>
      </c>
      <c r="E102" s="303" t="s">
        <v>910</v>
      </c>
      <c r="F102" s="303">
        <v>16</v>
      </c>
      <c r="G102" s="303">
        <v>1</v>
      </c>
      <c r="H102" s="303">
        <v>2</v>
      </c>
      <c r="I102" s="303">
        <v>2</v>
      </c>
      <c r="J102" s="303">
        <v>0.16</v>
      </c>
      <c r="K102" s="269">
        <v>1.573</v>
      </c>
      <c r="L102" s="303"/>
      <c r="M102" s="303"/>
      <c r="N102" s="303"/>
      <c r="O102" s="321">
        <f t="shared" si="9"/>
        <v>1.7329999999999999</v>
      </c>
      <c r="P102" s="322">
        <f t="shared" si="10"/>
        <v>3.2000000000000001E-2</v>
      </c>
      <c r="Q102" s="322"/>
      <c r="R102" s="303">
        <f t="shared" si="11"/>
        <v>1.7009999999999998</v>
      </c>
      <c r="S102" s="303" t="str">
        <f t="shared" si="12"/>
        <v>-</v>
      </c>
      <c r="T102" s="303" t="str">
        <f t="shared" si="13"/>
        <v>-</v>
      </c>
      <c r="U102" s="303" t="str">
        <f t="shared" si="14"/>
        <v>-</v>
      </c>
      <c r="V102" s="303">
        <f t="shared" si="15"/>
        <v>6.8</v>
      </c>
      <c r="W102" s="303" t="str">
        <f t="shared" si="16"/>
        <v>-</v>
      </c>
      <c r="X102" s="303" t="str">
        <f t="shared" si="17"/>
        <v>-</v>
      </c>
    </row>
    <row r="103" spans="3:24" s="324" customFormat="1">
      <c r="C103" s="278"/>
      <c r="D103" s="274" t="s">
        <v>694</v>
      </c>
      <c r="E103" s="323" t="s">
        <v>910</v>
      </c>
      <c r="F103" s="323">
        <v>16</v>
      </c>
      <c r="G103" s="323">
        <v>1</v>
      </c>
      <c r="H103" s="323">
        <v>1</v>
      </c>
      <c r="I103" s="323">
        <v>2</v>
      </c>
      <c r="J103" s="323">
        <v>0.16</v>
      </c>
      <c r="K103" s="275">
        <v>2.2749999999999999</v>
      </c>
      <c r="L103" s="323"/>
      <c r="M103" s="323"/>
      <c r="N103" s="323"/>
      <c r="O103" s="325">
        <f t="shared" si="9"/>
        <v>2.4350000000000001</v>
      </c>
      <c r="P103" s="326">
        <f t="shared" si="10"/>
        <v>3.2000000000000001E-2</v>
      </c>
      <c r="Q103" s="326"/>
      <c r="R103" s="323">
        <f t="shared" si="11"/>
        <v>2.403</v>
      </c>
      <c r="S103" s="323" t="str">
        <f t="shared" si="12"/>
        <v>-</v>
      </c>
      <c r="T103" s="323" t="str">
        <f t="shared" si="13"/>
        <v>-</v>
      </c>
      <c r="U103" s="323" t="str">
        <f t="shared" si="14"/>
        <v>-</v>
      </c>
      <c r="V103" s="323">
        <f t="shared" si="15"/>
        <v>4.8099999999999996</v>
      </c>
      <c r="W103" s="323" t="str">
        <f t="shared" si="16"/>
        <v>-</v>
      </c>
      <c r="X103" s="323" t="str">
        <f t="shared" si="17"/>
        <v>-</v>
      </c>
    </row>
    <row r="104" spans="3:24">
      <c r="C104" s="277"/>
      <c r="D104" s="270" t="s">
        <v>695</v>
      </c>
      <c r="E104" s="303" t="s">
        <v>909</v>
      </c>
      <c r="F104" s="303">
        <v>16</v>
      </c>
      <c r="G104" s="303">
        <v>1</v>
      </c>
      <c r="H104" s="303">
        <v>2</v>
      </c>
      <c r="I104" s="303">
        <v>2</v>
      </c>
      <c r="J104" s="303"/>
      <c r="K104" s="269">
        <v>2.75</v>
      </c>
      <c r="L104" s="303"/>
      <c r="M104" s="303"/>
      <c r="N104" s="303"/>
      <c r="O104" s="321">
        <f t="shared" si="9"/>
        <v>2.75</v>
      </c>
      <c r="P104" s="322">
        <f t="shared" si="10"/>
        <v>0</v>
      </c>
      <c r="Q104" s="322"/>
      <c r="R104" s="303">
        <f t="shared" si="11"/>
        <v>2.75</v>
      </c>
      <c r="S104" s="303" t="str">
        <f t="shared" si="12"/>
        <v>-</v>
      </c>
      <c r="T104" s="303" t="str">
        <f t="shared" si="13"/>
        <v>-</v>
      </c>
      <c r="U104" s="303" t="str">
        <f t="shared" si="14"/>
        <v>-</v>
      </c>
      <c r="V104" s="303">
        <f t="shared" si="15"/>
        <v>11</v>
      </c>
      <c r="W104" s="303" t="str">
        <f t="shared" si="16"/>
        <v>-</v>
      </c>
      <c r="X104" s="303" t="str">
        <f t="shared" si="17"/>
        <v>-</v>
      </c>
    </row>
    <row r="105" spans="3:24">
      <c r="C105" s="277"/>
      <c r="D105" s="270" t="s">
        <v>696</v>
      </c>
      <c r="E105" s="303" t="s">
        <v>909</v>
      </c>
      <c r="F105" s="303">
        <v>16</v>
      </c>
      <c r="G105" s="303">
        <v>1</v>
      </c>
      <c r="H105" s="303">
        <v>1</v>
      </c>
      <c r="I105" s="303">
        <v>2</v>
      </c>
      <c r="J105" s="303"/>
      <c r="K105" s="269">
        <v>3.45</v>
      </c>
      <c r="L105" s="303"/>
      <c r="M105" s="303"/>
      <c r="N105" s="303"/>
      <c r="O105" s="321">
        <f t="shared" si="9"/>
        <v>3.45</v>
      </c>
      <c r="P105" s="322">
        <f t="shared" si="10"/>
        <v>0</v>
      </c>
      <c r="Q105" s="322"/>
      <c r="R105" s="303">
        <f t="shared" si="11"/>
        <v>3.45</v>
      </c>
      <c r="S105" s="303" t="str">
        <f t="shared" si="12"/>
        <v>-</v>
      </c>
      <c r="T105" s="303" t="str">
        <f t="shared" si="13"/>
        <v>-</v>
      </c>
      <c r="U105" s="303" t="str">
        <f t="shared" si="14"/>
        <v>-</v>
      </c>
      <c r="V105" s="303">
        <f t="shared" si="15"/>
        <v>6.9</v>
      </c>
      <c r="W105" s="303" t="str">
        <f t="shared" si="16"/>
        <v>-</v>
      </c>
      <c r="X105" s="303" t="str">
        <f t="shared" si="17"/>
        <v>-</v>
      </c>
    </row>
    <row r="106" spans="3:24">
      <c r="C106" s="277"/>
      <c r="D106" s="270" t="s">
        <v>697</v>
      </c>
      <c r="E106" s="303" t="s">
        <v>909</v>
      </c>
      <c r="F106" s="303">
        <v>12</v>
      </c>
      <c r="G106" s="303">
        <v>1</v>
      </c>
      <c r="H106" s="303">
        <v>3</v>
      </c>
      <c r="I106" s="303">
        <v>2</v>
      </c>
      <c r="J106" s="303"/>
      <c r="K106" s="269">
        <v>4.6230000000000002</v>
      </c>
      <c r="L106" s="303"/>
      <c r="M106" s="303"/>
      <c r="N106" s="303"/>
      <c r="O106" s="321">
        <f t="shared" si="9"/>
        <v>4.6230000000000002</v>
      </c>
      <c r="P106" s="322">
        <f t="shared" si="10"/>
        <v>0</v>
      </c>
      <c r="Q106" s="322"/>
      <c r="R106" s="303">
        <f t="shared" si="11"/>
        <v>4.6230000000000002</v>
      </c>
      <c r="S106" s="303" t="str">
        <f t="shared" si="12"/>
        <v>-</v>
      </c>
      <c r="T106" s="303" t="str">
        <f t="shared" si="13"/>
        <v>-</v>
      </c>
      <c r="U106" s="303">
        <f t="shared" si="14"/>
        <v>27.74</v>
      </c>
      <c r="V106" s="303" t="str">
        <f t="shared" si="15"/>
        <v>-</v>
      </c>
      <c r="W106" s="303" t="str">
        <f t="shared" si="16"/>
        <v>-</v>
      </c>
      <c r="X106" s="303" t="str">
        <f t="shared" si="17"/>
        <v>-</v>
      </c>
    </row>
    <row r="107" spans="3:24">
      <c r="C107" s="277"/>
      <c r="D107" s="270" t="s">
        <v>650</v>
      </c>
      <c r="E107" s="303" t="s">
        <v>909</v>
      </c>
      <c r="F107" s="303">
        <v>12</v>
      </c>
      <c r="G107" s="303">
        <v>1</v>
      </c>
      <c r="H107" s="303">
        <v>6</v>
      </c>
      <c r="I107" s="303">
        <v>2</v>
      </c>
      <c r="J107" s="303"/>
      <c r="K107" s="269">
        <v>0.59</v>
      </c>
      <c r="L107" s="303"/>
      <c r="M107" s="303"/>
      <c r="N107" s="303"/>
      <c r="O107" s="321">
        <f t="shared" si="9"/>
        <v>0.59</v>
      </c>
      <c r="P107" s="322">
        <f t="shared" si="10"/>
        <v>0</v>
      </c>
      <c r="Q107" s="322"/>
      <c r="R107" s="303">
        <f t="shared" si="11"/>
        <v>0.59</v>
      </c>
      <c r="S107" s="303" t="str">
        <f t="shared" si="12"/>
        <v>-</v>
      </c>
      <c r="T107" s="303" t="str">
        <f t="shared" si="13"/>
        <v>-</v>
      </c>
      <c r="U107" s="303">
        <f t="shared" si="14"/>
        <v>7.08</v>
      </c>
      <c r="V107" s="303" t="str">
        <f t="shared" si="15"/>
        <v>-</v>
      </c>
      <c r="W107" s="303" t="str">
        <f t="shared" si="16"/>
        <v>-</v>
      </c>
      <c r="X107" s="303" t="str">
        <f t="shared" si="17"/>
        <v>-</v>
      </c>
    </row>
    <row r="108" spans="3:24">
      <c r="C108" s="277"/>
      <c r="D108" s="270" t="s">
        <v>650</v>
      </c>
      <c r="E108" s="303" t="s">
        <v>909</v>
      </c>
      <c r="F108" s="303">
        <v>16</v>
      </c>
      <c r="G108" s="303">
        <v>1</v>
      </c>
      <c r="H108" s="303">
        <v>21</v>
      </c>
      <c r="I108" s="303">
        <v>2</v>
      </c>
      <c r="J108" s="303"/>
      <c r="K108" s="269">
        <v>0.78400000000000003</v>
      </c>
      <c r="L108" s="303"/>
      <c r="M108" s="303"/>
      <c r="N108" s="303"/>
      <c r="O108" s="321">
        <f t="shared" si="9"/>
        <v>0.78400000000000003</v>
      </c>
      <c r="P108" s="322">
        <f t="shared" si="10"/>
        <v>0</v>
      </c>
      <c r="Q108" s="322"/>
      <c r="R108" s="303">
        <f t="shared" si="11"/>
        <v>0.78400000000000003</v>
      </c>
      <c r="S108" s="303" t="str">
        <f t="shared" si="12"/>
        <v>-</v>
      </c>
      <c r="T108" s="303" t="str">
        <f t="shared" si="13"/>
        <v>-</v>
      </c>
      <c r="U108" s="303" t="str">
        <f t="shared" si="14"/>
        <v>-</v>
      </c>
      <c r="V108" s="303">
        <f t="shared" si="15"/>
        <v>32.93</v>
      </c>
      <c r="W108" s="303" t="str">
        <f t="shared" si="16"/>
        <v>-</v>
      </c>
      <c r="X108" s="303" t="str">
        <f t="shared" si="17"/>
        <v>-</v>
      </c>
    </row>
    <row r="109" spans="3:24" s="324" customFormat="1">
      <c r="C109" s="278"/>
      <c r="D109" s="274" t="s">
        <v>632</v>
      </c>
      <c r="E109" s="323" t="s">
        <v>907</v>
      </c>
      <c r="F109" s="323">
        <v>8</v>
      </c>
      <c r="G109" s="323">
        <v>1</v>
      </c>
      <c r="H109" s="323">
        <v>53</v>
      </c>
      <c r="I109" s="323">
        <v>2</v>
      </c>
      <c r="J109" s="323">
        <v>0.18</v>
      </c>
      <c r="K109" s="275">
        <v>0.55000000000000004</v>
      </c>
      <c r="L109" s="323">
        <v>0.18</v>
      </c>
      <c r="M109" s="323">
        <v>0.55000000000000004</v>
      </c>
      <c r="N109" s="323">
        <v>0.16</v>
      </c>
      <c r="O109" s="325">
        <f t="shared" si="9"/>
        <v>1.6199999999999999</v>
      </c>
      <c r="P109" s="326">
        <f t="shared" si="10"/>
        <v>0.08</v>
      </c>
      <c r="Q109" s="326"/>
      <c r="R109" s="323">
        <f t="shared" si="11"/>
        <v>1.5399999999999998</v>
      </c>
      <c r="S109" s="323">
        <f t="shared" si="12"/>
        <v>163.24</v>
      </c>
      <c r="T109" s="323" t="str">
        <f t="shared" si="13"/>
        <v>-</v>
      </c>
      <c r="U109" s="323" t="str">
        <f t="shared" si="14"/>
        <v>-</v>
      </c>
      <c r="V109" s="323" t="str">
        <f t="shared" si="15"/>
        <v>-</v>
      </c>
      <c r="W109" s="323" t="str">
        <f t="shared" si="16"/>
        <v>-</v>
      </c>
      <c r="X109" s="323" t="str">
        <f t="shared" si="17"/>
        <v>-</v>
      </c>
    </row>
    <row r="110" spans="3:24">
      <c r="C110" s="277">
        <v>11</v>
      </c>
      <c r="D110" s="268" t="s">
        <v>698</v>
      </c>
      <c r="E110" s="303" t="s">
        <v>910</v>
      </c>
      <c r="F110" s="303">
        <v>12</v>
      </c>
      <c r="G110" s="303">
        <v>1</v>
      </c>
      <c r="H110" s="303">
        <v>2</v>
      </c>
      <c r="I110" s="303">
        <v>2</v>
      </c>
      <c r="J110" s="303">
        <v>0.12</v>
      </c>
      <c r="K110" s="269">
        <v>7.4169999999999998</v>
      </c>
      <c r="L110" s="303"/>
      <c r="M110" s="303"/>
      <c r="N110" s="303"/>
      <c r="O110" s="325">
        <f>J110+K110+L110+M110+N110</f>
        <v>7.5369999999999999</v>
      </c>
      <c r="P110" s="326">
        <f>IF(E110="Ring",F110*2*5,IF(E110="U Shape",F110*2*2,IF(E110="L Shape",F110*2*1,IF(E110="Streight",F110*2*0,IF(E110="Trianguler",F110*2*4,IF(E110="Z Shape",F110*2*2))))))/1000</f>
        <v>2.4E-2</v>
      </c>
      <c r="Q110" s="326"/>
      <c r="R110" s="323">
        <f>O110-P110</f>
        <v>7.5129999999999999</v>
      </c>
      <c r="S110" s="323" t="str">
        <f>IF(F110=8,ROUND(PRODUCT(G110:I110,R110),2),"-")</f>
        <v>-</v>
      </c>
      <c r="T110" s="323" t="str">
        <f>IF(F110=10,ROUND(PRODUCT(G110:I110,R110),2),"-")</f>
        <v>-</v>
      </c>
      <c r="U110" s="323">
        <f>IF(F110=12,ROUND(PRODUCT(G110:I110,R110),2),"-")</f>
        <v>30.05</v>
      </c>
      <c r="V110" s="323" t="str">
        <f>IF(F110=16,ROUND(PRODUCT(G110:I110,R110),2),"-")</f>
        <v>-</v>
      </c>
      <c r="W110" s="323" t="str">
        <f>IF(F110=20,ROUND(PRODUCT(G110:I110,R110),2),"-")</f>
        <v>-</v>
      </c>
      <c r="X110" s="323" t="str">
        <f>IF(F110=25,ROUND(PRODUCT(G110:I110,R110),2),"-")</f>
        <v>-</v>
      </c>
    </row>
    <row r="111" spans="3:24">
      <c r="C111" s="277"/>
      <c r="D111" s="270" t="s">
        <v>699</v>
      </c>
      <c r="E111" s="303" t="s">
        <v>908</v>
      </c>
      <c r="F111" s="303">
        <v>16</v>
      </c>
      <c r="G111" s="303">
        <v>1</v>
      </c>
      <c r="H111" s="303">
        <v>3</v>
      </c>
      <c r="I111" s="303">
        <v>2</v>
      </c>
      <c r="J111" s="303">
        <v>0.16</v>
      </c>
      <c r="K111" s="269">
        <v>6.62</v>
      </c>
      <c r="L111" s="303">
        <v>0.16</v>
      </c>
      <c r="M111" s="303"/>
      <c r="N111" s="303"/>
      <c r="O111" s="321">
        <f t="shared" si="9"/>
        <v>6.94</v>
      </c>
      <c r="P111" s="322">
        <f t="shared" si="10"/>
        <v>6.4000000000000001E-2</v>
      </c>
      <c r="Q111" s="322"/>
      <c r="R111" s="303">
        <f t="shared" si="11"/>
        <v>6.8760000000000003</v>
      </c>
      <c r="S111" s="303" t="str">
        <f t="shared" si="12"/>
        <v>-</v>
      </c>
      <c r="T111" s="303" t="str">
        <f t="shared" si="13"/>
        <v>-</v>
      </c>
      <c r="U111" s="303" t="str">
        <f t="shared" si="14"/>
        <v>-</v>
      </c>
      <c r="V111" s="303">
        <f t="shared" si="15"/>
        <v>41.26</v>
      </c>
      <c r="W111" s="303" t="str">
        <f t="shared" si="16"/>
        <v>-</v>
      </c>
      <c r="X111" s="303" t="str">
        <f t="shared" si="17"/>
        <v>-</v>
      </c>
    </row>
    <row r="112" spans="3:24">
      <c r="C112" s="277"/>
      <c r="D112" s="270" t="s">
        <v>700</v>
      </c>
      <c r="E112" s="303" t="s">
        <v>909</v>
      </c>
      <c r="F112" s="303">
        <v>12</v>
      </c>
      <c r="G112" s="303">
        <v>1</v>
      </c>
      <c r="H112" s="303">
        <v>2</v>
      </c>
      <c r="I112" s="303">
        <v>2</v>
      </c>
      <c r="J112" s="303"/>
      <c r="K112" s="269">
        <v>2.25</v>
      </c>
      <c r="L112" s="303"/>
      <c r="M112" s="303"/>
      <c r="N112" s="303"/>
      <c r="O112" s="321">
        <f t="shared" si="9"/>
        <v>2.25</v>
      </c>
      <c r="P112" s="322">
        <f t="shared" si="10"/>
        <v>0</v>
      </c>
      <c r="Q112" s="322"/>
      <c r="R112" s="303">
        <f t="shared" si="11"/>
        <v>2.25</v>
      </c>
      <c r="S112" s="303" t="str">
        <f t="shared" si="12"/>
        <v>-</v>
      </c>
      <c r="T112" s="303" t="str">
        <f t="shared" si="13"/>
        <v>-</v>
      </c>
      <c r="U112" s="303">
        <f t="shared" si="14"/>
        <v>9</v>
      </c>
      <c r="V112" s="303" t="str">
        <f t="shared" si="15"/>
        <v>-</v>
      </c>
      <c r="W112" s="303" t="str">
        <f t="shared" si="16"/>
        <v>-</v>
      </c>
      <c r="X112" s="303" t="str">
        <f t="shared" si="17"/>
        <v>-</v>
      </c>
    </row>
    <row r="113" spans="3:24">
      <c r="C113" s="277"/>
      <c r="D113" s="270" t="s">
        <v>650</v>
      </c>
      <c r="E113" s="303" t="s">
        <v>909</v>
      </c>
      <c r="F113" s="303">
        <v>12</v>
      </c>
      <c r="G113" s="303">
        <v>1</v>
      </c>
      <c r="H113" s="303">
        <v>9</v>
      </c>
      <c r="I113" s="303">
        <v>2</v>
      </c>
      <c r="J113" s="303"/>
      <c r="K113" s="269">
        <v>0.59</v>
      </c>
      <c r="L113" s="303"/>
      <c r="M113" s="303"/>
      <c r="N113" s="303"/>
      <c r="O113" s="321">
        <f t="shared" si="9"/>
        <v>0.59</v>
      </c>
      <c r="P113" s="322">
        <f t="shared" si="10"/>
        <v>0</v>
      </c>
      <c r="Q113" s="322"/>
      <c r="R113" s="303">
        <f t="shared" si="11"/>
        <v>0.59</v>
      </c>
      <c r="S113" s="303" t="str">
        <f t="shared" si="12"/>
        <v>-</v>
      </c>
      <c r="T113" s="303" t="str">
        <f t="shared" si="13"/>
        <v>-</v>
      </c>
      <c r="U113" s="303">
        <f t="shared" si="14"/>
        <v>10.62</v>
      </c>
      <c r="V113" s="303" t="str">
        <f t="shared" si="15"/>
        <v>-</v>
      </c>
      <c r="W113" s="303" t="str">
        <f t="shared" si="16"/>
        <v>-</v>
      </c>
      <c r="X113" s="303" t="str">
        <f t="shared" si="17"/>
        <v>-</v>
      </c>
    </row>
    <row r="114" spans="3:24">
      <c r="C114" s="277"/>
      <c r="D114" s="270" t="s">
        <v>650</v>
      </c>
      <c r="E114" s="303" t="s">
        <v>909</v>
      </c>
      <c r="F114" s="303">
        <v>16</v>
      </c>
      <c r="G114" s="303">
        <v>1</v>
      </c>
      <c r="H114" s="303">
        <v>9</v>
      </c>
      <c r="I114" s="303">
        <v>2</v>
      </c>
      <c r="J114" s="303"/>
      <c r="K114" s="269">
        <v>0.78400000000000003</v>
      </c>
      <c r="L114" s="303"/>
      <c r="M114" s="303"/>
      <c r="N114" s="303"/>
      <c r="O114" s="321">
        <f t="shared" si="9"/>
        <v>0.78400000000000003</v>
      </c>
      <c r="P114" s="322">
        <f t="shared" si="10"/>
        <v>0</v>
      </c>
      <c r="Q114" s="322"/>
      <c r="R114" s="303">
        <f t="shared" si="11"/>
        <v>0.78400000000000003</v>
      </c>
      <c r="S114" s="303" t="str">
        <f t="shared" si="12"/>
        <v>-</v>
      </c>
      <c r="T114" s="303" t="str">
        <f t="shared" si="13"/>
        <v>-</v>
      </c>
      <c r="U114" s="303" t="str">
        <f t="shared" si="14"/>
        <v>-</v>
      </c>
      <c r="V114" s="303">
        <f t="shared" si="15"/>
        <v>14.11</v>
      </c>
      <c r="W114" s="303" t="str">
        <f t="shared" si="16"/>
        <v>-</v>
      </c>
      <c r="X114" s="303" t="str">
        <f t="shared" si="17"/>
        <v>-</v>
      </c>
    </row>
    <row r="115" spans="3:24">
      <c r="C115" s="277"/>
      <c r="D115" s="270" t="s">
        <v>632</v>
      </c>
      <c r="E115" s="303" t="s">
        <v>907</v>
      </c>
      <c r="F115" s="303">
        <v>8</v>
      </c>
      <c r="G115" s="303">
        <v>1</v>
      </c>
      <c r="H115" s="303">
        <v>65</v>
      </c>
      <c r="I115" s="303">
        <v>2</v>
      </c>
      <c r="J115" s="303">
        <v>0.18</v>
      </c>
      <c r="K115" s="269">
        <v>0.4</v>
      </c>
      <c r="L115" s="303">
        <v>0.18</v>
      </c>
      <c r="M115" s="303">
        <v>0.4</v>
      </c>
      <c r="N115" s="303">
        <v>0.16</v>
      </c>
      <c r="O115" s="321">
        <f t="shared" si="9"/>
        <v>1.32</v>
      </c>
      <c r="P115" s="322">
        <f t="shared" si="10"/>
        <v>0.08</v>
      </c>
      <c r="Q115" s="322"/>
      <c r="R115" s="303">
        <f t="shared" si="11"/>
        <v>1.24</v>
      </c>
      <c r="S115" s="303">
        <f t="shared" si="12"/>
        <v>161.19999999999999</v>
      </c>
      <c r="T115" s="303" t="str">
        <f t="shared" si="13"/>
        <v>-</v>
      </c>
      <c r="U115" s="303" t="str">
        <f t="shared" si="14"/>
        <v>-</v>
      </c>
      <c r="V115" s="303" t="str">
        <f t="shared" si="15"/>
        <v>-</v>
      </c>
      <c r="W115" s="303" t="str">
        <f t="shared" si="16"/>
        <v>-</v>
      </c>
      <c r="X115" s="303" t="str">
        <f t="shared" si="17"/>
        <v>-</v>
      </c>
    </row>
    <row r="116" spans="3:24">
      <c r="C116" s="277">
        <v>12</v>
      </c>
      <c r="D116" s="268" t="s">
        <v>701</v>
      </c>
      <c r="E116" s="303" t="s">
        <v>908</v>
      </c>
      <c r="F116" s="303">
        <v>12</v>
      </c>
      <c r="G116" s="303">
        <v>2</v>
      </c>
      <c r="H116" s="303">
        <v>6</v>
      </c>
      <c r="I116" s="303">
        <v>1</v>
      </c>
      <c r="J116" s="303">
        <v>0.12</v>
      </c>
      <c r="K116" s="269">
        <v>32.5</v>
      </c>
      <c r="L116" s="303">
        <v>0.12</v>
      </c>
      <c r="M116" s="303"/>
      <c r="N116" s="303"/>
      <c r="O116" s="321">
        <f t="shared" si="9"/>
        <v>32.739999999999995</v>
      </c>
      <c r="P116" s="322">
        <f t="shared" si="10"/>
        <v>4.8000000000000001E-2</v>
      </c>
      <c r="Q116" s="322"/>
      <c r="R116" s="303">
        <f t="shared" si="11"/>
        <v>32.691999999999993</v>
      </c>
      <c r="S116" s="303" t="str">
        <f t="shared" si="12"/>
        <v>-</v>
      </c>
      <c r="T116" s="303" t="str">
        <f t="shared" si="13"/>
        <v>-</v>
      </c>
      <c r="U116" s="303">
        <f t="shared" si="14"/>
        <v>392.3</v>
      </c>
      <c r="V116" s="303" t="str">
        <f t="shared" si="15"/>
        <v>-</v>
      </c>
      <c r="W116" s="303" t="str">
        <f t="shared" si="16"/>
        <v>-</v>
      </c>
      <c r="X116" s="303" t="str">
        <f t="shared" si="17"/>
        <v>-</v>
      </c>
    </row>
    <row r="117" spans="3:24">
      <c r="C117" s="277"/>
      <c r="D117" s="270" t="s">
        <v>702</v>
      </c>
      <c r="E117" s="303" t="s">
        <v>910</v>
      </c>
      <c r="F117" s="303">
        <v>12</v>
      </c>
      <c r="G117" s="303">
        <v>1</v>
      </c>
      <c r="H117" s="303">
        <v>2</v>
      </c>
      <c r="I117" s="303">
        <v>1</v>
      </c>
      <c r="J117" s="303">
        <v>0.12</v>
      </c>
      <c r="K117" s="269">
        <v>1.375</v>
      </c>
      <c r="L117" s="303"/>
      <c r="M117" s="303"/>
      <c r="N117" s="303"/>
      <c r="O117" s="321">
        <f t="shared" si="9"/>
        <v>1.4950000000000001</v>
      </c>
      <c r="P117" s="322">
        <f t="shared" si="10"/>
        <v>2.4E-2</v>
      </c>
      <c r="Q117" s="322"/>
      <c r="R117" s="303">
        <f t="shared" si="11"/>
        <v>1.4710000000000001</v>
      </c>
      <c r="S117" s="303" t="str">
        <f t="shared" si="12"/>
        <v>-</v>
      </c>
      <c r="T117" s="303" t="str">
        <f t="shared" si="13"/>
        <v>-</v>
      </c>
      <c r="U117" s="303">
        <f t="shared" si="14"/>
        <v>2.94</v>
      </c>
      <c r="V117" s="303" t="str">
        <f t="shared" si="15"/>
        <v>-</v>
      </c>
      <c r="W117" s="303" t="str">
        <f t="shared" si="16"/>
        <v>-</v>
      </c>
      <c r="X117" s="303" t="str">
        <f t="shared" si="17"/>
        <v>-</v>
      </c>
    </row>
    <row r="118" spans="3:24" s="324" customFormat="1">
      <c r="C118" s="278"/>
      <c r="D118" s="274" t="s">
        <v>703</v>
      </c>
      <c r="E118" s="323" t="s">
        <v>910</v>
      </c>
      <c r="F118" s="323">
        <v>12</v>
      </c>
      <c r="G118" s="323">
        <v>1</v>
      </c>
      <c r="H118" s="323">
        <v>1</v>
      </c>
      <c r="I118" s="323">
        <v>1</v>
      </c>
      <c r="J118" s="323">
        <v>0.12</v>
      </c>
      <c r="K118" s="275">
        <v>1.875</v>
      </c>
      <c r="L118" s="323"/>
      <c r="M118" s="323"/>
      <c r="N118" s="323"/>
      <c r="O118" s="325">
        <f t="shared" si="9"/>
        <v>1.9950000000000001</v>
      </c>
      <c r="P118" s="326">
        <f t="shared" si="10"/>
        <v>2.4E-2</v>
      </c>
      <c r="Q118" s="326"/>
      <c r="R118" s="323">
        <f t="shared" si="11"/>
        <v>1.9710000000000001</v>
      </c>
      <c r="S118" s="323" t="str">
        <f t="shared" si="12"/>
        <v>-</v>
      </c>
      <c r="T118" s="323" t="str">
        <f t="shared" si="13"/>
        <v>-</v>
      </c>
      <c r="U118" s="323">
        <f t="shared" si="14"/>
        <v>1.97</v>
      </c>
      <c r="V118" s="323" t="str">
        <f t="shared" si="15"/>
        <v>-</v>
      </c>
      <c r="W118" s="323" t="str">
        <f t="shared" si="16"/>
        <v>-</v>
      </c>
      <c r="X118" s="323" t="str">
        <f t="shared" si="17"/>
        <v>-</v>
      </c>
    </row>
    <row r="119" spans="3:24">
      <c r="C119" s="277"/>
      <c r="D119" s="270" t="s">
        <v>704</v>
      </c>
      <c r="E119" s="303" t="s">
        <v>909</v>
      </c>
      <c r="F119" s="303">
        <v>12</v>
      </c>
      <c r="G119" s="303">
        <v>1</v>
      </c>
      <c r="H119" s="303">
        <v>2</v>
      </c>
      <c r="I119" s="303">
        <v>1</v>
      </c>
      <c r="J119" s="303"/>
      <c r="K119" s="269">
        <v>5.65</v>
      </c>
      <c r="L119" s="303"/>
      <c r="M119" s="303"/>
      <c r="N119" s="303"/>
      <c r="O119" s="321">
        <f t="shared" si="9"/>
        <v>5.65</v>
      </c>
      <c r="P119" s="322">
        <f t="shared" si="10"/>
        <v>0</v>
      </c>
      <c r="Q119" s="322"/>
      <c r="R119" s="303">
        <f t="shared" si="11"/>
        <v>5.65</v>
      </c>
      <c r="S119" s="303" t="str">
        <f t="shared" si="12"/>
        <v>-</v>
      </c>
      <c r="T119" s="303" t="str">
        <f t="shared" si="13"/>
        <v>-</v>
      </c>
      <c r="U119" s="303">
        <f t="shared" si="14"/>
        <v>11.3</v>
      </c>
      <c r="V119" s="303" t="str">
        <f t="shared" si="15"/>
        <v>-</v>
      </c>
      <c r="W119" s="303" t="str">
        <f t="shared" si="16"/>
        <v>-</v>
      </c>
      <c r="X119" s="303" t="str">
        <f t="shared" si="17"/>
        <v>-</v>
      </c>
    </row>
    <row r="120" spans="3:24">
      <c r="C120" s="277"/>
      <c r="D120" s="270" t="s">
        <v>705</v>
      </c>
      <c r="E120" s="303" t="s">
        <v>909</v>
      </c>
      <c r="F120" s="303">
        <v>12</v>
      </c>
      <c r="G120" s="303">
        <v>1</v>
      </c>
      <c r="H120" s="303">
        <v>1</v>
      </c>
      <c r="I120" s="303">
        <v>1</v>
      </c>
      <c r="J120" s="303"/>
      <c r="K120" s="269">
        <v>6.15</v>
      </c>
      <c r="L120" s="303"/>
      <c r="M120" s="303"/>
      <c r="N120" s="303"/>
      <c r="O120" s="321">
        <f t="shared" si="9"/>
        <v>6.15</v>
      </c>
      <c r="P120" s="322">
        <f t="shared" si="10"/>
        <v>0</v>
      </c>
      <c r="Q120" s="322"/>
      <c r="R120" s="303">
        <f t="shared" si="11"/>
        <v>6.15</v>
      </c>
      <c r="S120" s="303" t="str">
        <f t="shared" si="12"/>
        <v>-</v>
      </c>
      <c r="T120" s="303" t="str">
        <f t="shared" si="13"/>
        <v>-</v>
      </c>
      <c r="U120" s="303">
        <f t="shared" si="14"/>
        <v>6.15</v>
      </c>
      <c r="V120" s="303" t="str">
        <f t="shared" si="15"/>
        <v>-</v>
      </c>
      <c r="W120" s="303" t="str">
        <f t="shared" si="16"/>
        <v>-</v>
      </c>
      <c r="X120" s="303" t="str">
        <f t="shared" si="17"/>
        <v>-</v>
      </c>
    </row>
    <row r="121" spans="3:24">
      <c r="C121" s="277"/>
      <c r="D121" s="270" t="s">
        <v>706</v>
      </c>
      <c r="E121" s="303" t="s">
        <v>909</v>
      </c>
      <c r="F121" s="303">
        <v>12</v>
      </c>
      <c r="G121" s="303">
        <v>1</v>
      </c>
      <c r="H121" s="303">
        <v>3</v>
      </c>
      <c r="I121" s="303">
        <v>1</v>
      </c>
      <c r="J121" s="303"/>
      <c r="K121" s="269">
        <v>2.6</v>
      </c>
      <c r="L121" s="303"/>
      <c r="M121" s="303"/>
      <c r="N121" s="303"/>
      <c r="O121" s="321">
        <f t="shared" si="9"/>
        <v>2.6</v>
      </c>
      <c r="P121" s="322">
        <f t="shared" si="10"/>
        <v>0</v>
      </c>
      <c r="Q121" s="322"/>
      <c r="R121" s="303">
        <f t="shared" si="11"/>
        <v>2.6</v>
      </c>
      <c r="S121" s="303" t="str">
        <f t="shared" si="12"/>
        <v>-</v>
      </c>
      <c r="T121" s="303" t="str">
        <f t="shared" si="13"/>
        <v>-</v>
      </c>
      <c r="U121" s="303">
        <f t="shared" si="14"/>
        <v>7.8</v>
      </c>
      <c r="V121" s="303" t="str">
        <f t="shared" si="15"/>
        <v>-</v>
      </c>
      <c r="W121" s="303" t="str">
        <f t="shared" si="16"/>
        <v>-</v>
      </c>
      <c r="X121" s="303" t="str">
        <f t="shared" si="17"/>
        <v>-</v>
      </c>
    </row>
    <row r="122" spans="3:24">
      <c r="C122" s="277"/>
      <c r="D122" s="270" t="s">
        <v>707</v>
      </c>
      <c r="E122" s="303" t="s">
        <v>909</v>
      </c>
      <c r="F122" s="303">
        <v>12</v>
      </c>
      <c r="G122" s="303">
        <v>1</v>
      </c>
      <c r="H122" s="303">
        <v>3</v>
      </c>
      <c r="I122" s="303">
        <v>1</v>
      </c>
      <c r="J122" s="303"/>
      <c r="K122" s="269">
        <v>2.6</v>
      </c>
      <c r="L122" s="303"/>
      <c r="M122" s="303"/>
      <c r="N122" s="303"/>
      <c r="O122" s="321">
        <f t="shared" si="9"/>
        <v>2.6</v>
      </c>
      <c r="P122" s="322">
        <f t="shared" si="10"/>
        <v>0</v>
      </c>
      <c r="Q122" s="322"/>
      <c r="R122" s="303">
        <f t="shared" si="11"/>
        <v>2.6</v>
      </c>
      <c r="S122" s="303" t="str">
        <f t="shared" si="12"/>
        <v>-</v>
      </c>
      <c r="T122" s="303" t="str">
        <f t="shared" si="13"/>
        <v>-</v>
      </c>
      <c r="U122" s="303">
        <f t="shared" si="14"/>
        <v>7.8</v>
      </c>
      <c r="V122" s="303" t="str">
        <f t="shared" si="15"/>
        <v>-</v>
      </c>
      <c r="W122" s="303" t="str">
        <f t="shared" si="16"/>
        <v>-</v>
      </c>
      <c r="X122" s="303" t="str">
        <f t="shared" si="17"/>
        <v>-</v>
      </c>
    </row>
    <row r="123" spans="3:24">
      <c r="C123" s="277"/>
      <c r="D123" s="270" t="s">
        <v>708</v>
      </c>
      <c r="E123" s="303" t="s">
        <v>909</v>
      </c>
      <c r="F123" s="303">
        <v>12</v>
      </c>
      <c r="G123" s="303">
        <v>1</v>
      </c>
      <c r="H123" s="303">
        <v>2</v>
      </c>
      <c r="I123" s="303">
        <v>1</v>
      </c>
      <c r="J123" s="303"/>
      <c r="K123" s="269">
        <v>5.65</v>
      </c>
      <c r="L123" s="303"/>
      <c r="M123" s="303"/>
      <c r="N123" s="303"/>
      <c r="O123" s="321">
        <f t="shared" si="9"/>
        <v>5.65</v>
      </c>
      <c r="P123" s="322">
        <f t="shared" si="10"/>
        <v>0</v>
      </c>
      <c r="Q123" s="322"/>
      <c r="R123" s="303">
        <f t="shared" si="11"/>
        <v>5.65</v>
      </c>
      <c r="S123" s="303" t="str">
        <f t="shared" si="12"/>
        <v>-</v>
      </c>
      <c r="T123" s="303" t="str">
        <f t="shared" si="13"/>
        <v>-</v>
      </c>
      <c r="U123" s="303">
        <f t="shared" si="14"/>
        <v>11.3</v>
      </c>
      <c r="V123" s="303" t="str">
        <f t="shared" si="15"/>
        <v>-</v>
      </c>
      <c r="W123" s="303" t="str">
        <f t="shared" si="16"/>
        <v>-</v>
      </c>
      <c r="X123" s="303" t="str">
        <f t="shared" si="17"/>
        <v>-</v>
      </c>
    </row>
    <row r="124" spans="3:24">
      <c r="C124" s="277"/>
      <c r="D124" s="270" t="s">
        <v>709</v>
      </c>
      <c r="E124" s="303" t="s">
        <v>909</v>
      </c>
      <c r="F124" s="303">
        <v>12</v>
      </c>
      <c r="G124" s="303">
        <v>1</v>
      </c>
      <c r="H124" s="303">
        <v>1</v>
      </c>
      <c r="I124" s="303">
        <v>1</v>
      </c>
      <c r="J124" s="303"/>
      <c r="K124" s="269">
        <v>6.15</v>
      </c>
      <c r="L124" s="303"/>
      <c r="M124" s="303"/>
      <c r="N124" s="303"/>
      <c r="O124" s="321">
        <f t="shared" si="9"/>
        <v>6.15</v>
      </c>
      <c r="P124" s="322">
        <f t="shared" si="10"/>
        <v>0</v>
      </c>
      <c r="Q124" s="322"/>
      <c r="R124" s="303">
        <f t="shared" si="11"/>
        <v>6.15</v>
      </c>
      <c r="S124" s="303" t="str">
        <f t="shared" si="12"/>
        <v>-</v>
      </c>
      <c r="T124" s="303" t="str">
        <f t="shared" si="13"/>
        <v>-</v>
      </c>
      <c r="U124" s="303">
        <f t="shared" si="14"/>
        <v>6.15</v>
      </c>
      <c r="V124" s="303" t="str">
        <f t="shared" si="15"/>
        <v>-</v>
      </c>
      <c r="W124" s="303" t="str">
        <f t="shared" si="16"/>
        <v>-</v>
      </c>
      <c r="X124" s="303" t="str">
        <f t="shared" si="17"/>
        <v>-</v>
      </c>
    </row>
    <row r="125" spans="3:24">
      <c r="C125" s="277"/>
      <c r="D125" s="270" t="s">
        <v>710</v>
      </c>
      <c r="E125" s="303" t="s">
        <v>910</v>
      </c>
      <c r="F125" s="303">
        <v>12</v>
      </c>
      <c r="G125" s="303">
        <v>1</v>
      </c>
      <c r="H125" s="303">
        <v>2</v>
      </c>
      <c r="I125" s="303">
        <v>1</v>
      </c>
      <c r="J125" s="303">
        <v>0.12</v>
      </c>
      <c r="K125" s="269">
        <v>1.375</v>
      </c>
      <c r="L125" s="303"/>
      <c r="M125" s="303"/>
      <c r="N125" s="303"/>
      <c r="O125" s="321">
        <f t="shared" si="9"/>
        <v>1.4950000000000001</v>
      </c>
      <c r="P125" s="322">
        <f t="shared" si="10"/>
        <v>2.4E-2</v>
      </c>
      <c r="Q125" s="322"/>
      <c r="R125" s="303">
        <f t="shared" si="11"/>
        <v>1.4710000000000001</v>
      </c>
      <c r="S125" s="303" t="str">
        <f t="shared" si="12"/>
        <v>-</v>
      </c>
      <c r="T125" s="303" t="str">
        <f t="shared" si="13"/>
        <v>-</v>
      </c>
      <c r="U125" s="303">
        <f t="shared" si="14"/>
        <v>2.94</v>
      </c>
      <c r="V125" s="303" t="str">
        <f t="shared" si="15"/>
        <v>-</v>
      </c>
      <c r="W125" s="303" t="str">
        <f t="shared" si="16"/>
        <v>-</v>
      </c>
      <c r="X125" s="303" t="str">
        <f t="shared" si="17"/>
        <v>-</v>
      </c>
    </row>
    <row r="126" spans="3:24" s="324" customFormat="1">
      <c r="C126" s="278"/>
      <c r="D126" s="274" t="s">
        <v>711</v>
      </c>
      <c r="E126" s="323" t="s">
        <v>910</v>
      </c>
      <c r="F126" s="323">
        <v>12</v>
      </c>
      <c r="G126" s="323">
        <v>1</v>
      </c>
      <c r="H126" s="323">
        <v>1</v>
      </c>
      <c r="I126" s="323">
        <v>1</v>
      </c>
      <c r="J126" s="323">
        <v>0.12</v>
      </c>
      <c r="K126" s="275">
        <v>1.875</v>
      </c>
      <c r="L126" s="323"/>
      <c r="M126" s="323"/>
      <c r="N126" s="323"/>
      <c r="O126" s="325">
        <f t="shared" si="9"/>
        <v>1.9950000000000001</v>
      </c>
      <c r="P126" s="326">
        <f t="shared" si="10"/>
        <v>2.4E-2</v>
      </c>
      <c r="Q126" s="326"/>
      <c r="R126" s="323">
        <f t="shared" si="11"/>
        <v>1.9710000000000001</v>
      </c>
      <c r="S126" s="323" t="str">
        <f t="shared" si="12"/>
        <v>-</v>
      </c>
      <c r="T126" s="323" t="str">
        <f t="shared" si="13"/>
        <v>-</v>
      </c>
      <c r="U126" s="323">
        <f t="shared" si="14"/>
        <v>1.97</v>
      </c>
      <c r="V126" s="323" t="str">
        <f t="shared" si="15"/>
        <v>-</v>
      </c>
      <c r="W126" s="323" t="str">
        <f t="shared" si="16"/>
        <v>-</v>
      </c>
      <c r="X126" s="323" t="str">
        <f t="shared" si="17"/>
        <v>-</v>
      </c>
    </row>
    <row r="127" spans="3:24">
      <c r="C127" s="277"/>
      <c r="D127" s="270" t="s">
        <v>712</v>
      </c>
      <c r="E127" s="303" t="s">
        <v>909</v>
      </c>
      <c r="F127" s="303">
        <v>12</v>
      </c>
      <c r="G127" s="303">
        <v>1</v>
      </c>
      <c r="H127" s="303">
        <v>3</v>
      </c>
      <c r="I127" s="303">
        <v>1</v>
      </c>
      <c r="J127" s="303"/>
      <c r="K127" s="269">
        <v>4.25</v>
      </c>
      <c r="L127" s="303"/>
      <c r="M127" s="303"/>
      <c r="N127" s="303"/>
      <c r="O127" s="321">
        <f t="shared" si="9"/>
        <v>4.25</v>
      </c>
      <c r="P127" s="322">
        <f t="shared" si="10"/>
        <v>0</v>
      </c>
      <c r="Q127" s="322"/>
      <c r="R127" s="303">
        <f t="shared" si="11"/>
        <v>4.25</v>
      </c>
      <c r="S127" s="303" t="str">
        <f t="shared" si="12"/>
        <v>-</v>
      </c>
      <c r="T127" s="303" t="str">
        <f t="shared" si="13"/>
        <v>-</v>
      </c>
      <c r="U127" s="303">
        <f t="shared" si="14"/>
        <v>12.75</v>
      </c>
      <c r="V127" s="303" t="str">
        <f t="shared" si="15"/>
        <v>-</v>
      </c>
      <c r="W127" s="303" t="str">
        <f t="shared" si="16"/>
        <v>-</v>
      </c>
      <c r="X127" s="303" t="str">
        <f t="shared" si="17"/>
        <v>-</v>
      </c>
    </row>
    <row r="128" spans="3:24">
      <c r="C128" s="277"/>
      <c r="D128" s="270" t="s">
        <v>713</v>
      </c>
      <c r="E128" s="303" t="s">
        <v>909</v>
      </c>
      <c r="F128" s="303">
        <v>12</v>
      </c>
      <c r="G128" s="303">
        <v>1</v>
      </c>
      <c r="H128" s="303">
        <v>3</v>
      </c>
      <c r="I128" s="303">
        <v>1</v>
      </c>
      <c r="J128" s="303"/>
      <c r="K128" s="269">
        <v>3.306</v>
      </c>
      <c r="L128" s="303"/>
      <c r="M128" s="303"/>
      <c r="N128" s="303"/>
      <c r="O128" s="321">
        <f t="shared" si="9"/>
        <v>3.306</v>
      </c>
      <c r="P128" s="322">
        <f t="shared" si="10"/>
        <v>0</v>
      </c>
      <c r="Q128" s="322"/>
      <c r="R128" s="303">
        <f t="shared" si="11"/>
        <v>3.306</v>
      </c>
      <c r="S128" s="303" t="str">
        <f t="shared" si="12"/>
        <v>-</v>
      </c>
      <c r="T128" s="303" t="str">
        <f t="shared" si="13"/>
        <v>-</v>
      </c>
      <c r="U128" s="303">
        <f t="shared" si="14"/>
        <v>9.92</v>
      </c>
      <c r="V128" s="303" t="str">
        <f t="shared" si="15"/>
        <v>-</v>
      </c>
      <c r="W128" s="303" t="str">
        <f t="shared" si="16"/>
        <v>-</v>
      </c>
      <c r="X128" s="303" t="str">
        <f t="shared" si="17"/>
        <v>-</v>
      </c>
    </row>
    <row r="129" spans="3:24">
      <c r="C129" s="277"/>
      <c r="D129" s="270" t="s">
        <v>714</v>
      </c>
      <c r="E129" s="303" t="s">
        <v>909</v>
      </c>
      <c r="F129" s="303">
        <v>12</v>
      </c>
      <c r="G129" s="303">
        <v>1</v>
      </c>
      <c r="H129" s="303">
        <v>2</v>
      </c>
      <c r="I129" s="303">
        <v>1</v>
      </c>
      <c r="J129" s="303"/>
      <c r="K129" s="269">
        <v>4.25</v>
      </c>
      <c r="L129" s="303"/>
      <c r="M129" s="303"/>
      <c r="N129" s="303"/>
      <c r="O129" s="321">
        <f t="shared" si="9"/>
        <v>4.25</v>
      </c>
      <c r="P129" s="322">
        <f t="shared" si="10"/>
        <v>0</v>
      </c>
      <c r="Q129" s="322"/>
      <c r="R129" s="303">
        <f t="shared" si="11"/>
        <v>4.25</v>
      </c>
      <c r="S129" s="303" t="str">
        <f t="shared" si="12"/>
        <v>-</v>
      </c>
      <c r="T129" s="303" t="str">
        <f t="shared" si="13"/>
        <v>-</v>
      </c>
      <c r="U129" s="303">
        <f t="shared" si="14"/>
        <v>8.5</v>
      </c>
      <c r="V129" s="303" t="str">
        <f t="shared" si="15"/>
        <v>-</v>
      </c>
      <c r="W129" s="303" t="str">
        <f t="shared" si="16"/>
        <v>-</v>
      </c>
      <c r="X129" s="303" t="str">
        <f t="shared" si="17"/>
        <v>-</v>
      </c>
    </row>
    <row r="130" spans="3:24">
      <c r="C130" s="277"/>
      <c r="D130" s="270" t="s">
        <v>650</v>
      </c>
      <c r="E130" s="303" t="s">
        <v>909</v>
      </c>
      <c r="F130" s="303">
        <v>12</v>
      </c>
      <c r="G130" s="303">
        <v>1</v>
      </c>
      <c r="H130" s="303">
        <v>84</v>
      </c>
      <c r="I130" s="303">
        <v>1</v>
      </c>
      <c r="J130" s="303"/>
      <c r="K130" s="269">
        <v>0.59</v>
      </c>
      <c r="L130" s="303"/>
      <c r="M130" s="303"/>
      <c r="N130" s="303"/>
      <c r="O130" s="321">
        <f t="shared" si="9"/>
        <v>0.59</v>
      </c>
      <c r="P130" s="322">
        <f t="shared" si="10"/>
        <v>0</v>
      </c>
      <c r="Q130" s="322"/>
      <c r="R130" s="303">
        <f t="shared" si="11"/>
        <v>0.59</v>
      </c>
      <c r="S130" s="303" t="str">
        <f t="shared" si="12"/>
        <v>-</v>
      </c>
      <c r="T130" s="303" t="str">
        <f t="shared" si="13"/>
        <v>-</v>
      </c>
      <c r="U130" s="303">
        <f t="shared" si="14"/>
        <v>49.56</v>
      </c>
      <c r="V130" s="303" t="str">
        <f t="shared" si="15"/>
        <v>-</v>
      </c>
      <c r="W130" s="303" t="str">
        <f t="shared" si="16"/>
        <v>-</v>
      </c>
      <c r="X130" s="303" t="str">
        <f t="shared" si="17"/>
        <v>-</v>
      </c>
    </row>
    <row r="131" spans="3:24">
      <c r="C131" s="277"/>
      <c r="D131" s="270" t="s">
        <v>632</v>
      </c>
      <c r="E131" s="303" t="s">
        <v>907</v>
      </c>
      <c r="F131" s="303">
        <v>8</v>
      </c>
      <c r="G131" s="303">
        <v>1</v>
      </c>
      <c r="H131" s="303">
        <v>260</v>
      </c>
      <c r="I131" s="303">
        <v>1</v>
      </c>
      <c r="J131" s="303">
        <v>0.18</v>
      </c>
      <c r="K131" s="269">
        <v>0.4</v>
      </c>
      <c r="L131" s="303">
        <v>0.18</v>
      </c>
      <c r="M131" s="303">
        <v>0.4</v>
      </c>
      <c r="N131" s="303">
        <v>0.16</v>
      </c>
      <c r="O131" s="321">
        <f t="shared" si="9"/>
        <v>1.32</v>
      </c>
      <c r="P131" s="322">
        <f t="shared" si="10"/>
        <v>0.08</v>
      </c>
      <c r="Q131" s="322"/>
      <c r="R131" s="303">
        <f t="shared" si="11"/>
        <v>1.24</v>
      </c>
      <c r="S131" s="303">
        <f t="shared" si="12"/>
        <v>322.39999999999998</v>
      </c>
      <c r="T131" s="303" t="str">
        <f t="shared" si="13"/>
        <v>-</v>
      </c>
      <c r="U131" s="303" t="str">
        <f t="shared" si="14"/>
        <v>-</v>
      </c>
      <c r="V131" s="303" t="str">
        <f t="shared" si="15"/>
        <v>-</v>
      </c>
      <c r="W131" s="303" t="str">
        <f t="shared" si="16"/>
        <v>-</v>
      </c>
      <c r="X131" s="303" t="str">
        <f t="shared" si="17"/>
        <v>-</v>
      </c>
    </row>
    <row r="132" spans="3:24">
      <c r="C132" s="277">
        <v>13</v>
      </c>
      <c r="D132" s="268" t="s">
        <v>715</v>
      </c>
      <c r="E132" s="303" t="s">
        <v>908</v>
      </c>
      <c r="F132" s="303">
        <v>12</v>
      </c>
      <c r="G132" s="303">
        <v>2</v>
      </c>
      <c r="H132" s="303">
        <v>4</v>
      </c>
      <c r="I132" s="303">
        <v>2</v>
      </c>
      <c r="J132" s="303">
        <v>0.12</v>
      </c>
      <c r="K132" s="269">
        <v>11.95</v>
      </c>
      <c r="L132" s="303">
        <v>0.12</v>
      </c>
      <c r="M132" s="303"/>
      <c r="N132" s="303"/>
      <c r="O132" s="321">
        <f t="shared" si="9"/>
        <v>12.189999999999998</v>
      </c>
      <c r="P132" s="322">
        <f t="shared" si="10"/>
        <v>4.8000000000000001E-2</v>
      </c>
      <c r="Q132" s="322"/>
      <c r="R132" s="303">
        <f t="shared" si="11"/>
        <v>12.141999999999998</v>
      </c>
      <c r="S132" s="303" t="str">
        <f t="shared" si="12"/>
        <v>-</v>
      </c>
      <c r="T132" s="303" t="str">
        <f t="shared" si="13"/>
        <v>-</v>
      </c>
      <c r="U132" s="303">
        <f t="shared" si="14"/>
        <v>194.27</v>
      </c>
      <c r="V132" s="303" t="str">
        <f t="shared" si="15"/>
        <v>-</v>
      </c>
      <c r="W132" s="303" t="str">
        <f t="shared" si="16"/>
        <v>-</v>
      </c>
      <c r="X132" s="303" t="str">
        <f t="shared" si="17"/>
        <v>-</v>
      </c>
    </row>
    <row r="133" spans="3:24">
      <c r="C133" s="279"/>
      <c r="D133" s="270" t="s">
        <v>716</v>
      </c>
      <c r="E133" s="303" t="s">
        <v>910</v>
      </c>
      <c r="F133" s="303">
        <v>12</v>
      </c>
      <c r="G133" s="303">
        <v>1</v>
      </c>
      <c r="H133" s="303">
        <v>2</v>
      </c>
      <c r="I133" s="303">
        <v>2</v>
      </c>
      <c r="J133" s="303">
        <v>0.12</v>
      </c>
      <c r="K133" s="269">
        <v>1.625</v>
      </c>
      <c r="L133" s="303"/>
      <c r="M133" s="303"/>
      <c r="N133" s="303"/>
      <c r="O133" s="321">
        <f t="shared" si="9"/>
        <v>1.7450000000000001</v>
      </c>
      <c r="P133" s="322">
        <f t="shared" si="10"/>
        <v>2.4E-2</v>
      </c>
      <c r="Q133" s="322"/>
      <c r="R133" s="303">
        <f t="shared" si="11"/>
        <v>1.7210000000000001</v>
      </c>
      <c r="S133" s="303" t="str">
        <f t="shared" si="12"/>
        <v>-</v>
      </c>
      <c r="T133" s="303" t="str">
        <f t="shared" si="13"/>
        <v>-</v>
      </c>
      <c r="U133" s="303">
        <f t="shared" si="14"/>
        <v>6.88</v>
      </c>
      <c r="V133" s="303" t="str">
        <f t="shared" si="15"/>
        <v>-</v>
      </c>
      <c r="W133" s="303" t="str">
        <f t="shared" si="16"/>
        <v>-</v>
      </c>
      <c r="X133" s="303" t="str">
        <f t="shared" si="17"/>
        <v>-</v>
      </c>
    </row>
    <row r="134" spans="3:24">
      <c r="C134" s="280"/>
      <c r="D134" s="270" t="s">
        <v>717</v>
      </c>
      <c r="E134" s="303" t="s">
        <v>909</v>
      </c>
      <c r="F134" s="303">
        <v>12</v>
      </c>
      <c r="G134" s="303">
        <v>1</v>
      </c>
      <c r="H134" s="303">
        <v>2</v>
      </c>
      <c r="I134" s="303">
        <v>2</v>
      </c>
      <c r="J134" s="303"/>
      <c r="K134" s="269">
        <v>5</v>
      </c>
      <c r="L134" s="303"/>
      <c r="M134" s="303"/>
      <c r="N134" s="303"/>
      <c r="O134" s="321">
        <f t="shared" ref="O134:O197" si="18">J134+K134+L134+M134+N134</f>
        <v>5</v>
      </c>
      <c r="P134" s="322">
        <f t="shared" ref="P134:P197" si="19">IF(E134="Ring",F134*2*5,IF(E134="U Shape",F134*2*2,IF(E134="L Shape",F134*2*1,IF(E134="Streight",F134*2*0,IF(E134="Trianguler",F134*2*4,IF(E134="Z Shape",F134*2*2))))))/1000</f>
        <v>0</v>
      </c>
      <c r="Q134" s="322"/>
      <c r="R134" s="303">
        <f t="shared" ref="R134:R197" si="20">O134-P134</f>
        <v>5</v>
      </c>
      <c r="S134" s="303" t="str">
        <f t="shared" ref="S134:S197" si="21">IF(F134=8,ROUND(PRODUCT(G134:I134,R134),2),"-")</f>
        <v>-</v>
      </c>
      <c r="T134" s="303" t="str">
        <f t="shared" ref="T134:T197" si="22">IF(F134=10,ROUND(PRODUCT(G134:I134,R134),2),"-")</f>
        <v>-</v>
      </c>
      <c r="U134" s="303">
        <f t="shared" ref="U134:U197" si="23">IF(F134=12,ROUND(PRODUCT(G134:I134,R134),2),"-")</f>
        <v>20</v>
      </c>
      <c r="V134" s="303" t="str">
        <f t="shared" ref="V134:V197" si="24">IF(F134=16,ROUND(PRODUCT(G134:I134,R134),2),"-")</f>
        <v>-</v>
      </c>
      <c r="W134" s="303" t="str">
        <f t="shared" ref="W134:W197" si="25">IF(F134=20,ROUND(PRODUCT(G134:I134,R134),2),"-")</f>
        <v>-</v>
      </c>
      <c r="X134" s="303" t="str">
        <f t="shared" ref="X134:X197" si="26">IF(F134=25,ROUND(PRODUCT(G134:I134,R134),2),"-")</f>
        <v>-</v>
      </c>
    </row>
    <row r="135" spans="3:24">
      <c r="C135" s="280"/>
      <c r="D135" s="270" t="s">
        <v>718</v>
      </c>
      <c r="E135" s="303" t="s">
        <v>910</v>
      </c>
      <c r="F135" s="303">
        <v>12</v>
      </c>
      <c r="G135" s="303">
        <v>1</v>
      </c>
      <c r="H135" s="303">
        <v>2</v>
      </c>
      <c r="I135" s="303">
        <v>2</v>
      </c>
      <c r="J135" s="303">
        <v>0.12</v>
      </c>
      <c r="K135" s="269">
        <v>1.625</v>
      </c>
      <c r="L135" s="303"/>
      <c r="M135" s="303"/>
      <c r="N135" s="303"/>
      <c r="O135" s="321">
        <f t="shared" si="18"/>
        <v>1.7450000000000001</v>
      </c>
      <c r="P135" s="322">
        <f t="shared" si="19"/>
        <v>2.4E-2</v>
      </c>
      <c r="Q135" s="322"/>
      <c r="R135" s="303">
        <f t="shared" si="20"/>
        <v>1.7210000000000001</v>
      </c>
      <c r="S135" s="303" t="str">
        <f t="shared" si="21"/>
        <v>-</v>
      </c>
      <c r="T135" s="303" t="str">
        <f t="shared" si="22"/>
        <v>-</v>
      </c>
      <c r="U135" s="303">
        <f t="shared" si="23"/>
        <v>6.88</v>
      </c>
      <c r="V135" s="303" t="str">
        <f t="shared" si="24"/>
        <v>-</v>
      </c>
      <c r="W135" s="303" t="str">
        <f t="shared" si="25"/>
        <v>-</v>
      </c>
      <c r="X135" s="303" t="str">
        <f t="shared" si="26"/>
        <v>-</v>
      </c>
    </row>
    <row r="136" spans="3:24">
      <c r="C136" s="280"/>
      <c r="D136" s="270" t="s">
        <v>719</v>
      </c>
      <c r="E136" s="303" t="s">
        <v>909</v>
      </c>
      <c r="F136" s="303">
        <v>12</v>
      </c>
      <c r="G136" s="303">
        <v>1</v>
      </c>
      <c r="H136" s="303">
        <v>2</v>
      </c>
      <c r="I136" s="303">
        <v>2</v>
      </c>
      <c r="J136" s="303"/>
      <c r="K136" s="269">
        <v>2.85</v>
      </c>
      <c r="L136" s="303"/>
      <c r="M136" s="303"/>
      <c r="N136" s="303"/>
      <c r="O136" s="321">
        <f t="shared" si="18"/>
        <v>2.85</v>
      </c>
      <c r="P136" s="322">
        <f t="shared" si="19"/>
        <v>0</v>
      </c>
      <c r="Q136" s="322"/>
      <c r="R136" s="303">
        <f t="shared" si="20"/>
        <v>2.85</v>
      </c>
      <c r="S136" s="303" t="str">
        <f t="shared" si="21"/>
        <v>-</v>
      </c>
      <c r="T136" s="303" t="str">
        <f t="shared" si="22"/>
        <v>-</v>
      </c>
      <c r="U136" s="303">
        <f t="shared" si="23"/>
        <v>11.4</v>
      </c>
      <c r="V136" s="303" t="str">
        <f t="shared" si="24"/>
        <v>-</v>
      </c>
      <c r="W136" s="303" t="str">
        <f t="shared" si="25"/>
        <v>-</v>
      </c>
      <c r="X136" s="303" t="str">
        <f t="shared" si="26"/>
        <v>-</v>
      </c>
    </row>
    <row r="137" spans="3:24">
      <c r="C137" s="280"/>
      <c r="D137" s="270" t="s">
        <v>720</v>
      </c>
      <c r="E137" s="303" t="s">
        <v>909</v>
      </c>
      <c r="F137" s="303">
        <v>12</v>
      </c>
      <c r="G137" s="303">
        <v>1</v>
      </c>
      <c r="H137" s="303">
        <v>2</v>
      </c>
      <c r="I137" s="303">
        <v>2</v>
      </c>
      <c r="J137" s="303"/>
      <c r="K137" s="269">
        <v>2.85</v>
      </c>
      <c r="L137" s="303"/>
      <c r="M137" s="304">
        <v>0</v>
      </c>
      <c r="N137" s="304"/>
      <c r="O137" s="321">
        <f t="shared" si="18"/>
        <v>2.85</v>
      </c>
      <c r="P137" s="322">
        <f t="shared" si="19"/>
        <v>0</v>
      </c>
      <c r="Q137" s="322"/>
      <c r="R137" s="303">
        <f t="shared" si="20"/>
        <v>2.85</v>
      </c>
      <c r="S137" s="303" t="str">
        <f t="shared" si="21"/>
        <v>-</v>
      </c>
      <c r="T137" s="303" t="str">
        <f t="shared" si="22"/>
        <v>-</v>
      </c>
      <c r="U137" s="303">
        <f t="shared" si="23"/>
        <v>11.4</v>
      </c>
      <c r="V137" s="303" t="str">
        <f t="shared" si="24"/>
        <v>-</v>
      </c>
      <c r="W137" s="303" t="str">
        <f t="shared" si="25"/>
        <v>-</v>
      </c>
      <c r="X137" s="303" t="str">
        <f t="shared" si="26"/>
        <v>-</v>
      </c>
    </row>
    <row r="138" spans="3:24">
      <c r="C138" s="280"/>
      <c r="D138" s="270" t="s">
        <v>650</v>
      </c>
      <c r="E138" s="303" t="s">
        <v>909</v>
      </c>
      <c r="F138" s="303">
        <v>12</v>
      </c>
      <c r="G138" s="303">
        <v>1</v>
      </c>
      <c r="H138" s="303">
        <v>24</v>
      </c>
      <c r="I138" s="303">
        <v>2</v>
      </c>
      <c r="J138" s="303"/>
      <c r="K138" s="269">
        <v>0.59</v>
      </c>
      <c r="L138" s="303">
        <v>0</v>
      </c>
      <c r="M138" s="304">
        <v>0</v>
      </c>
      <c r="N138" s="304"/>
      <c r="O138" s="321">
        <f t="shared" si="18"/>
        <v>0.59</v>
      </c>
      <c r="P138" s="322">
        <f t="shared" si="19"/>
        <v>0</v>
      </c>
      <c r="Q138" s="322"/>
      <c r="R138" s="303">
        <f t="shared" si="20"/>
        <v>0.59</v>
      </c>
      <c r="S138" s="303" t="str">
        <f t="shared" si="21"/>
        <v>-</v>
      </c>
      <c r="T138" s="303" t="str">
        <f t="shared" si="22"/>
        <v>-</v>
      </c>
      <c r="U138" s="303">
        <f t="shared" si="23"/>
        <v>28.32</v>
      </c>
      <c r="V138" s="303" t="str">
        <f t="shared" si="24"/>
        <v>-</v>
      </c>
      <c r="W138" s="303" t="str">
        <f t="shared" si="25"/>
        <v>-</v>
      </c>
      <c r="X138" s="303" t="str">
        <f t="shared" si="26"/>
        <v>-</v>
      </c>
    </row>
    <row r="139" spans="3:24">
      <c r="C139" s="281"/>
      <c r="D139" s="270" t="s">
        <v>632</v>
      </c>
      <c r="E139" s="303" t="s">
        <v>907</v>
      </c>
      <c r="F139" s="303">
        <v>8</v>
      </c>
      <c r="G139" s="303">
        <v>1</v>
      </c>
      <c r="H139" s="303">
        <v>88</v>
      </c>
      <c r="I139" s="303">
        <v>2</v>
      </c>
      <c r="J139" s="303">
        <v>0.18</v>
      </c>
      <c r="K139" s="269">
        <v>0.4</v>
      </c>
      <c r="L139" s="303">
        <v>0.18</v>
      </c>
      <c r="M139" s="303">
        <v>0.4</v>
      </c>
      <c r="N139" s="303">
        <v>0.16</v>
      </c>
      <c r="O139" s="321">
        <f t="shared" si="18"/>
        <v>1.32</v>
      </c>
      <c r="P139" s="322">
        <f t="shared" si="19"/>
        <v>0.08</v>
      </c>
      <c r="Q139" s="322"/>
      <c r="R139" s="303">
        <f t="shared" si="20"/>
        <v>1.24</v>
      </c>
      <c r="S139" s="303">
        <f t="shared" si="21"/>
        <v>218.24</v>
      </c>
      <c r="T139" s="303" t="str">
        <f t="shared" si="22"/>
        <v>-</v>
      </c>
      <c r="U139" s="303" t="str">
        <f t="shared" si="23"/>
        <v>-</v>
      </c>
      <c r="V139" s="303" t="str">
        <f t="shared" si="24"/>
        <v>-</v>
      </c>
      <c r="W139" s="303" t="str">
        <f t="shared" si="25"/>
        <v>-</v>
      </c>
      <c r="X139" s="303" t="str">
        <f t="shared" si="26"/>
        <v>-</v>
      </c>
    </row>
    <row r="140" spans="3:24">
      <c r="C140" s="277"/>
      <c r="D140" s="267"/>
      <c r="E140" s="303"/>
      <c r="F140" s="303"/>
      <c r="G140" s="303"/>
      <c r="H140" s="303"/>
      <c r="I140" s="303"/>
      <c r="J140" s="303"/>
      <c r="K140" s="282"/>
      <c r="L140" s="303"/>
      <c r="M140" s="304"/>
      <c r="N140" s="304"/>
      <c r="O140" s="321">
        <f t="shared" si="18"/>
        <v>0</v>
      </c>
      <c r="P140" s="322">
        <f t="shared" si="19"/>
        <v>0</v>
      </c>
      <c r="Q140" s="322"/>
      <c r="R140" s="303">
        <f t="shared" si="20"/>
        <v>0</v>
      </c>
      <c r="S140" s="303" t="str">
        <f t="shared" si="21"/>
        <v>-</v>
      </c>
      <c r="T140" s="303" t="str">
        <f t="shared" si="22"/>
        <v>-</v>
      </c>
      <c r="U140" s="303" t="str">
        <f t="shared" si="23"/>
        <v>-</v>
      </c>
      <c r="V140" s="303" t="str">
        <f t="shared" si="24"/>
        <v>-</v>
      </c>
      <c r="W140" s="303" t="str">
        <f t="shared" si="25"/>
        <v>-</v>
      </c>
      <c r="X140" s="303" t="str">
        <f t="shared" si="26"/>
        <v>-</v>
      </c>
    </row>
    <row r="141" spans="3:24">
      <c r="C141" s="277">
        <v>14</v>
      </c>
      <c r="D141" s="283" t="s">
        <v>721</v>
      </c>
      <c r="E141" s="303" t="s">
        <v>908</v>
      </c>
      <c r="F141" s="303">
        <v>12</v>
      </c>
      <c r="G141" s="303">
        <v>1</v>
      </c>
      <c r="H141" s="303">
        <v>5</v>
      </c>
      <c r="I141" s="303">
        <v>1</v>
      </c>
      <c r="J141" s="303">
        <v>0.12</v>
      </c>
      <c r="K141" s="269">
        <v>5.25</v>
      </c>
      <c r="L141" s="303">
        <v>0.12</v>
      </c>
      <c r="M141" s="304">
        <v>0.7</v>
      </c>
      <c r="N141" s="304"/>
      <c r="O141" s="321">
        <f t="shared" si="18"/>
        <v>6.19</v>
      </c>
      <c r="P141" s="322">
        <f t="shared" si="19"/>
        <v>4.8000000000000001E-2</v>
      </c>
      <c r="Q141" s="322"/>
      <c r="R141" s="303">
        <f t="shared" si="20"/>
        <v>6.1420000000000003</v>
      </c>
      <c r="S141" s="303" t="str">
        <f t="shared" si="21"/>
        <v>-</v>
      </c>
      <c r="T141" s="303" t="str">
        <f t="shared" si="22"/>
        <v>-</v>
      </c>
      <c r="U141" s="303">
        <f t="shared" si="23"/>
        <v>30.71</v>
      </c>
      <c r="V141" s="303" t="str">
        <f t="shared" si="24"/>
        <v>-</v>
      </c>
      <c r="W141" s="303" t="str">
        <f t="shared" si="25"/>
        <v>-</v>
      </c>
      <c r="X141" s="303" t="str">
        <f t="shared" si="26"/>
        <v>-</v>
      </c>
    </row>
    <row r="142" spans="3:24">
      <c r="C142" s="277"/>
      <c r="D142" s="270" t="s">
        <v>722</v>
      </c>
      <c r="E142" s="303" t="s">
        <v>910</v>
      </c>
      <c r="F142" s="303">
        <v>12</v>
      </c>
      <c r="G142" s="303">
        <v>1</v>
      </c>
      <c r="H142" s="303">
        <v>4</v>
      </c>
      <c r="I142" s="303">
        <v>1</v>
      </c>
      <c r="J142" s="303">
        <v>0.12</v>
      </c>
      <c r="K142" s="269">
        <v>1.575</v>
      </c>
      <c r="L142" s="303"/>
      <c r="M142" s="304"/>
      <c r="N142" s="304"/>
      <c r="O142" s="321">
        <f t="shared" si="18"/>
        <v>1.6949999999999998</v>
      </c>
      <c r="P142" s="322">
        <f t="shared" si="19"/>
        <v>2.4E-2</v>
      </c>
      <c r="Q142" s="322"/>
      <c r="R142" s="303">
        <f t="shared" si="20"/>
        <v>1.6709999999999998</v>
      </c>
      <c r="S142" s="303" t="str">
        <f t="shared" si="21"/>
        <v>-</v>
      </c>
      <c r="T142" s="303" t="str">
        <f t="shared" si="22"/>
        <v>-</v>
      </c>
      <c r="U142" s="303">
        <f t="shared" si="23"/>
        <v>6.68</v>
      </c>
      <c r="V142" s="303" t="str">
        <f t="shared" si="24"/>
        <v>-</v>
      </c>
      <c r="W142" s="303" t="str">
        <f t="shared" si="25"/>
        <v>-</v>
      </c>
      <c r="X142" s="303" t="str">
        <f t="shared" si="26"/>
        <v>-</v>
      </c>
    </row>
    <row r="143" spans="3:24">
      <c r="C143" s="277"/>
      <c r="D143" s="270" t="s">
        <v>723</v>
      </c>
      <c r="E143" s="303" t="s">
        <v>909</v>
      </c>
      <c r="F143" s="303">
        <v>12</v>
      </c>
      <c r="G143" s="303">
        <v>1</v>
      </c>
      <c r="H143" s="303">
        <v>2</v>
      </c>
      <c r="I143" s="303">
        <v>1</v>
      </c>
      <c r="J143" s="303"/>
      <c r="K143" s="269">
        <v>3.3</v>
      </c>
      <c r="L143" s="303"/>
      <c r="M143" s="304"/>
      <c r="N143" s="304"/>
      <c r="O143" s="321">
        <f t="shared" si="18"/>
        <v>3.3</v>
      </c>
      <c r="P143" s="322">
        <f t="shared" si="19"/>
        <v>0</v>
      </c>
      <c r="Q143" s="322"/>
      <c r="R143" s="303">
        <f t="shared" si="20"/>
        <v>3.3</v>
      </c>
      <c r="S143" s="303" t="str">
        <f t="shared" si="21"/>
        <v>-</v>
      </c>
      <c r="T143" s="303" t="str">
        <f t="shared" si="22"/>
        <v>-</v>
      </c>
      <c r="U143" s="303">
        <f t="shared" si="23"/>
        <v>6.6</v>
      </c>
      <c r="V143" s="303" t="str">
        <f t="shared" si="24"/>
        <v>-</v>
      </c>
      <c r="W143" s="303" t="str">
        <f t="shared" si="25"/>
        <v>-</v>
      </c>
      <c r="X143" s="303" t="str">
        <f t="shared" si="26"/>
        <v>-</v>
      </c>
    </row>
    <row r="144" spans="3:24">
      <c r="C144" s="277"/>
      <c r="D144" s="270" t="s">
        <v>650</v>
      </c>
      <c r="E144" s="303" t="s">
        <v>909</v>
      </c>
      <c r="F144" s="303">
        <v>12</v>
      </c>
      <c r="G144" s="303">
        <v>1</v>
      </c>
      <c r="H144" s="303">
        <v>10</v>
      </c>
      <c r="I144" s="303">
        <v>1</v>
      </c>
      <c r="J144" s="303"/>
      <c r="K144" s="269">
        <v>0.59</v>
      </c>
      <c r="L144" s="303"/>
      <c r="M144" s="304"/>
      <c r="N144" s="304"/>
      <c r="O144" s="321">
        <f t="shared" si="18"/>
        <v>0.59</v>
      </c>
      <c r="P144" s="322">
        <f t="shared" si="19"/>
        <v>0</v>
      </c>
      <c r="Q144" s="322"/>
      <c r="R144" s="303">
        <f t="shared" si="20"/>
        <v>0.59</v>
      </c>
      <c r="S144" s="303" t="str">
        <f t="shared" si="21"/>
        <v>-</v>
      </c>
      <c r="T144" s="303" t="str">
        <f t="shared" si="22"/>
        <v>-</v>
      </c>
      <c r="U144" s="303">
        <f t="shared" si="23"/>
        <v>5.9</v>
      </c>
      <c r="V144" s="303" t="str">
        <f t="shared" si="24"/>
        <v>-</v>
      </c>
      <c r="W144" s="303" t="str">
        <f t="shared" si="25"/>
        <v>-</v>
      </c>
      <c r="X144" s="303" t="str">
        <f t="shared" si="26"/>
        <v>-</v>
      </c>
    </row>
    <row r="145" spans="3:24">
      <c r="C145" s="277"/>
      <c r="D145" s="270" t="s">
        <v>632</v>
      </c>
      <c r="E145" s="303" t="s">
        <v>907</v>
      </c>
      <c r="F145" s="303">
        <v>12</v>
      </c>
      <c r="G145" s="303">
        <v>1</v>
      </c>
      <c r="H145" s="303">
        <v>38</v>
      </c>
      <c r="I145" s="303">
        <v>1</v>
      </c>
      <c r="J145" s="303">
        <v>0.18</v>
      </c>
      <c r="K145" s="269">
        <v>0.4</v>
      </c>
      <c r="L145" s="303">
        <v>0.18</v>
      </c>
      <c r="M145" s="303">
        <v>0.4</v>
      </c>
      <c r="N145" s="303">
        <v>0.16</v>
      </c>
      <c r="O145" s="321">
        <f t="shared" si="18"/>
        <v>1.32</v>
      </c>
      <c r="P145" s="322">
        <f t="shared" si="19"/>
        <v>0.12</v>
      </c>
      <c r="Q145" s="322"/>
      <c r="R145" s="303">
        <f t="shared" si="20"/>
        <v>1.2000000000000002</v>
      </c>
      <c r="S145" s="303" t="str">
        <f t="shared" si="21"/>
        <v>-</v>
      </c>
      <c r="T145" s="303" t="str">
        <f t="shared" si="22"/>
        <v>-</v>
      </c>
      <c r="U145" s="303">
        <f t="shared" si="23"/>
        <v>45.6</v>
      </c>
      <c r="V145" s="303" t="str">
        <f t="shared" si="24"/>
        <v>-</v>
      </c>
      <c r="W145" s="303" t="str">
        <f t="shared" si="25"/>
        <v>-</v>
      </c>
      <c r="X145" s="303" t="str">
        <f t="shared" si="26"/>
        <v>-</v>
      </c>
    </row>
    <row r="146" spans="3:24">
      <c r="C146" s="277">
        <v>15</v>
      </c>
      <c r="D146" s="268" t="s">
        <v>724</v>
      </c>
      <c r="E146" s="303" t="s">
        <v>908</v>
      </c>
      <c r="F146" s="303">
        <v>12</v>
      </c>
      <c r="G146" s="303">
        <v>1</v>
      </c>
      <c r="H146" s="303">
        <v>6</v>
      </c>
      <c r="I146" s="303">
        <v>4</v>
      </c>
      <c r="J146" s="303">
        <v>0.12</v>
      </c>
      <c r="K146" s="269">
        <v>11.95</v>
      </c>
      <c r="L146" s="303">
        <v>0.12</v>
      </c>
      <c r="M146" s="304"/>
      <c r="N146" s="304"/>
      <c r="O146" s="321">
        <f t="shared" si="18"/>
        <v>12.189999999999998</v>
      </c>
      <c r="P146" s="322">
        <f t="shared" si="19"/>
        <v>4.8000000000000001E-2</v>
      </c>
      <c r="Q146" s="322"/>
      <c r="R146" s="303">
        <f t="shared" si="20"/>
        <v>12.141999999999998</v>
      </c>
      <c r="S146" s="303" t="str">
        <f t="shared" si="21"/>
        <v>-</v>
      </c>
      <c r="T146" s="303" t="str">
        <f t="shared" si="22"/>
        <v>-</v>
      </c>
      <c r="U146" s="303">
        <f t="shared" si="23"/>
        <v>291.41000000000003</v>
      </c>
      <c r="V146" s="303" t="str">
        <f t="shared" si="24"/>
        <v>-</v>
      </c>
      <c r="W146" s="303" t="str">
        <f t="shared" si="25"/>
        <v>-</v>
      </c>
      <c r="X146" s="303" t="str">
        <f t="shared" si="26"/>
        <v>-</v>
      </c>
    </row>
    <row r="147" spans="3:24">
      <c r="C147" s="277"/>
      <c r="D147" s="270" t="s">
        <v>725</v>
      </c>
      <c r="E147" s="303" t="s">
        <v>910</v>
      </c>
      <c r="F147" s="303">
        <v>12</v>
      </c>
      <c r="G147" s="303">
        <v>1</v>
      </c>
      <c r="H147" s="303">
        <v>4</v>
      </c>
      <c r="I147" s="303">
        <v>4</v>
      </c>
      <c r="J147" s="303">
        <v>0.12</v>
      </c>
      <c r="K147" s="269">
        <v>1.625</v>
      </c>
      <c r="L147" s="303"/>
      <c r="M147" s="304"/>
      <c r="N147" s="304"/>
      <c r="O147" s="321">
        <f t="shared" si="18"/>
        <v>1.7450000000000001</v>
      </c>
      <c r="P147" s="322">
        <f t="shared" si="19"/>
        <v>2.4E-2</v>
      </c>
      <c r="Q147" s="322"/>
      <c r="R147" s="303">
        <f t="shared" si="20"/>
        <v>1.7210000000000001</v>
      </c>
      <c r="S147" s="303" t="str">
        <f t="shared" si="21"/>
        <v>-</v>
      </c>
      <c r="T147" s="303" t="str">
        <f t="shared" si="22"/>
        <v>-</v>
      </c>
      <c r="U147" s="303">
        <f t="shared" si="23"/>
        <v>27.54</v>
      </c>
      <c r="V147" s="303" t="str">
        <f t="shared" si="24"/>
        <v>-</v>
      </c>
      <c r="W147" s="303" t="str">
        <f t="shared" si="25"/>
        <v>-</v>
      </c>
      <c r="X147" s="303" t="str">
        <f t="shared" si="26"/>
        <v>-</v>
      </c>
    </row>
    <row r="148" spans="3:24">
      <c r="C148" s="277"/>
      <c r="D148" s="270" t="s">
        <v>726</v>
      </c>
      <c r="E148" s="303" t="s">
        <v>909</v>
      </c>
      <c r="F148" s="303">
        <v>12</v>
      </c>
      <c r="G148" s="303">
        <v>1</v>
      </c>
      <c r="H148" s="303">
        <v>2</v>
      </c>
      <c r="I148" s="303">
        <v>4</v>
      </c>
      <c r="J148" s="303"/>
      <c r="K148" s="269">
        <v>5</v>
      </c>
      <c r="L148" s="303"/>
      <c r="M148" s="304"/>
      <c r="N148" s="304"/>
      <c r="O148" s="321">
        <f t="shared" si="18"/>
        <v>5</v>
      </c>
      <c r="P148" s="322">
        <f t="shared" si="19"/>
        <v>0</v>
      </c>
      <c r="Q148" s="322"/>
      <c r="R148" s="303">
        <f t="shared" si="20"/>
        <v>5</v>
      </c>
      <c r="S148" s="303" t="str">
        <f t="shared" si="21"/>
        <v>-</v>
      </c>
      <c r="T148" s="303" t="str">
        <f t="shared" si="22"/>
        <v>-</v>
      </c>
      <c r="U148" s="303">
        <f t="shared" si="23"/>
        <v>40</v>
      </c>
      <c r="V148" s="303" t="str">
        <f t="shared" si="24"/>
        <v>-</v>
      </c>
      <c r="W148" s="303" t="str">
        <f t="shared" si="25"/>
        <v>-</v>
      </c>
      <c r="X148" s="303" t="str">
        <f t="shared" si="26"/>
        <v>-</v>
      </c>
    </row>
    <row r="149" spans="3:24">
      <c r="C149" s="277"/>
      <c r="D149" s="270" t="s">
        <v>650</v>
      </c>
      <c r="E149" s="303" t="s">
        <v>909</v>
      </c>
      <c r="F149" s="303">
        <v>12</v>
      </c>
      <c r="G149" s="303">
        <v>1</v>
      </c>
      <c r="H149" s="303">
        <v>36</v>
      </c>
      <c r="I149" s="303">
        <v>4</v>
      </c>
      <c r="J149" s="303"/>
      <c r="K149" s="269">
        <v>0.59</v>
      </c>
      <c r="L149" s="303"/>
      <c r="M149" s="304"/>
      <c r="N149" s="304"/>
      <c r="O149" s="321">
        <f t="shared" si="18"/>
        <v>0.59</v>
      </c>
      <c r="P149" s="322">
        <f t="shared" si="19"/>
        <v>0</v>
      </c>
      <c r="Q149" s="322"/>
      <c r="R149" s="303">
        <f t="shared" si="20"/>
        <v>0.59</v>
      </c>
      <c r="S149" s="303" t="str">
        <f t="shared" si="21"/>
        <v>-</v>
      </c>
      <c r="T149" s="303" t="str">
        <f t="shared" si="22"/>
        <v>-</v>
      </c>
      <c r="U149" s="303">
        <f t="shared" si="23"/>
        <v>84.96</v>
      </c>
      <c r="V149" s="303" t="str">
        <f t="shared" si="24"/>
        <v>-</v>
      </c>
      <c r="W149" s="303" t="str">
        <f t="shared" si="25"/>
        <v>-</v>
      </c>
      <c r="X149" s="303" t="str">
        <f t="shared" si="26"/>
        <v>-</v>
      </c>
    </row>
    <row r="150" spans="3:24">
      <c r="C150" s="277"/>
      <c r="D150" s="270" t="s">
        <v>632</v>
      </c>
      <c r="E150" s="303" t="s">
        <v>907</v>
      </c>
      <c r="F150" s="303">
        <v>8</v>
      </c>
      <c r="G150" s="303">
        <v>1</v>
      </c>
      <c r="H150" s="303">
        <v>88</v>
      </c>
      <c r="I150" s="303">
        <v>4</v>
      </c>
      <c r="J150" s="303">
        <v>0.18</v>
      </c>
      <c r="K150" s="269">
        <v>0.4</v>
      </c>
      <c r="L150" s="303">
        <v>0.18</v>
      </c>
      <c r="M150" s="303">
        <v>0.4</v>
      </c>
      <c r="N150" s="303">
        <v>0.16</v>
      </c>
      <c r="O150" s="321">
        <f t="shared" si="18"/>
        <v>1.32</v>
      </c>
      <c r="P150" s="322">
        <f t="shared" si="19"/>
        <v>0.08</v>
      </c>
      <c r="Q150" s="322"/>
      <c r="R150" s="303">
        <f t="shared" si="20"/>
        <v>1.24</v>
      </c>
      <c r="S150" s="303">
        <f t="shared" si="21"/>
        <v>436.48</v>
      </c>
      <c r="T150" s="303" t="str">
        <f t="shared" si="22"/>
        <v>-</v>
      </c>
      <c r="U150" s="303" t="str">
        <f t="shared" si="23"/>
        <v>-</v>
      </c>
      <c r="V150" s="303" t="str">
        <f t="shared" si="24"/>
        <v>-</v>
      </c>
      <c r="W150" s="303" t="str">
        <f t="shared" si="25"/>
        <v>-</v>
      </c>
      <c r="X150" s="303" t="str">
        <f t="shared" si="26"/>
        <v>-</v>
      </c>
    </row>
    <row r="151" spans="3:24">
      <c r="C151" s="277"/>
      <c r="D151" s="270"/>
      <c r="E151" s="303"/>
      <c r="F151" s="303"/>
      <c r="G151" s="303"/>
      <c r="H151" s="303"/>
      <c r="I151" s="303"/>
      <c r="J151" s="303"/>
      <c r="K151" s="269"/>
      <c r="L151" s="303"/>
      <c r="M151" s="304"/>
      <c r="N151" s="304"/>
      <c r="O151" s="321">
        <f t="shared" si="18"/>
        <v>0</v>
      </c>
      <c r="P151" s="322">
        <f t="shared" si="19"/>
        <v>0</v>
      </c>
      <c r="Q151" s="322"/>
      <c r="R151" s="303">
        <f t="shared" si="20"/>
        <v>0</v>
      </c>
      <c r="S151" s="303" t="str">
        <f t="shared" si="21"/>
        <v>-</v>
      </c>
      <c r="T151" s="303" t="str">
        <f t="shared" si="22"/>
        <v>-</v>
      </c>
      <c r="U151" s="303" t="str">
        <f t="shared" si="23"/>
        <v>-</v>
      </c>
      <c r="V151" s="303" t="str">
        <f t="shared" si="24"/>
        <v>-</v>
      </c>
      <c r="W151" s="303" t="str">
        <f t="shared" si="25"/>
        <v>-</v>
      </c>
      <c r="X151" s="303" t="str">
        <f t="shared" si="26"/>
        <v>-</v>
      </c>
    </row>
    <row r="152" spans="3:24">
      <c r="C152" s="277">
        <v>16</v>
      </c>
      <c r="D152" s="268" t="s">
        <v>727</v>
      </c>
      <c r="E152" s="303" t="s">
        <v>908</v>
      </c>
      <c r="F152" s="303">
        <v>12</v>
      </c>
      <c r="G152" s="303">
        <v>1</v>
      </c>
      <c r="H152" s="303">
        <v>5</v>
      </c>
      <c r="I152" s="303">
        <v>2</v>
      </c>
      <c r="J152" s="303">
        <v>0.12</v>
      </c>
      <c r="K152" s="269">
        <v>5.125</v>
      </c>
      <c r="L152" s="303">
        <v>0.12</v>
      </c>
      <c r="M152" s="304"/>
      <c r="N152" s="304"/>
      <c r="O152" s="321">
        <f t="shared" si="18"/>
        <v>5.3650000000000002</v>
      </c>
      <c r="P152" s="322">
        <f t="shared" si="19"/>
        <v>4.8000000000000001E-2</v>
      </c>
      <c r="Q152" s="322"/>
      <c r="R152" s="303">
        <f t="shared" si="20"/>
        <v>5.3170000000000002</v>
      </c>
      <c r="S152" s="303" t="str">
        <f t="shared" si="21"/>
        <v>-</v>
      </c>
      <c r="T152" s="303" t="str">
        <f t="shared" si="22"/>
        <v>-</v>
      </c>
      <c r="U152" s="303">
        <f t="shared" si="23"/>
        <v>53.17</v>
      </c>
      <c r="V152" s="303" t="str">
        <f t="shared" si="24"/>
        <v>-</v>
      </c>
      <c r="W152" s="303" t="str">
        <f t="shared" si="25"/>
        <v>-</v>
      </c>
      <c r="X152" s="303" t="str">
        <f t="shared" si="26"/>
        <v>-</v>
      </c>
    </row>
    <row r="153" spans="3:24">
      <c r="C153" s="277"/>
      <c r="D153" s="270" t="s">
        <v>728</v>
      </c>
      <c r="E153" s="303" t="s">
        <v>910</v>
      </c>
      <c r="F153" s="303">
        <v>12</v>
      </c>
      <c r="G153" s="303">
        <v>1</v>
      </c>
      <c r="H153" s="303">
        <v>4</v>
      </c>
      <c r="I153" s="303">
        <v>2</v>
      </c>
      <c r="J153" s="303">
        <v>0.12</v>
      </c>
      <c r="K153" s="269">
        <v>1.4750000000000001</v>
      </c>
      <c r="L153" s="303"/>
      <c r="M153" s="304"/>
      <c r="N153" s="304"/>
      <c r="O153" s="321">
        <f t="shared" si="18"/>
        <v>1.5950000000000002</v>
      </c>
      <c r="P153" s="322">
        <f t="shared" si="19"/>
        <v>2.4E-2</v>
      </c>
      <c r="Q153" s="322"/>
      <c r="R153" s="303">
        <f t="shared" si="20"/>
        <v>1.5710000000000002</v>
      </c>
      <c r="S153" s="303" t="str">
        <f t="shared" si="21"/>
        <v>-</v>
      </c>
      <c r="T153" s="303" t="str">
        <f t="shared" si="22"/>
        <v>-</v>
      </c>
      <c r="U153" s="303">
        <f t="shared" si="23"/>
        <v>12.57</v>
      </c>
      <c r="V153" s="303" t="str">
        <f t="shared" si="24"/>
        <v>-</v>
      </c>
      <c r="W153" s="303" t="str">
        <f t="shared" si="25"/>
        <v>-</v>
      </c>
      <c r="X153" s="303" t="str">
        <f t="shared" si="26"/>
        <v>-</v>
      </c>
    </row>
    <row r="154" spans="3:24">
      <c r="C154" s="277"/>
      <c r="D154" s="270" t="s">
        <v>729</v>
      </c>
      <c r="E154" s="303" t="s">
        <v>909</v>
      </c>
      <c r="F154" s="303">
        <v>12</v>
      </c>
      <c r="G154" s="303">
        <v>1</v>
      </c>
      <c r="H154" s="303">
        <v>2</v>
      </c>
      <c r="I154" s="303">
        <v>2</v>
      </c>
      <c r="J154" s="303"/>
      <c r="K154" s="269">
        <v>3.1749999999999998</v>
      </c>
      <c r="L154" s="303"/>
      <c r="M154" s="304"/>
      <c r="N154" s="304"/>
      <c r="O154" s="321">
        <f t="shared" si="18"/>
        <v>3.1749999999999998</v>
      </c>
      <c r="P154" s="322">
        <f t="shared" si="19"/>
        <v>0</v>
      </c>
      <c r="Q154" s="322"/>
      <c r="R154" s="303">
        <f t="shared" si="20"/>
        <v>3.1749999999999998</v>
      </c>
      <c r="S154" s="303" t="str">
        <f t="shared" si="21"/>
        <v>-</v>
      </c>
      <c r="T154" s="303" t="str">
        <f t="shared" si="22"/>
        <v>-</v>
      </c>
      <c r="U154" s="303">
        <f t="shared" si="23"/>
        <v>12.7</v>
      </c>
      <c r="V154" s="303" t="str">
        <f t="shared" si="24"/>
        <v>-</v>
      </c>
      <c r="W154" s="303" t="str">
        <f t="shared" si="25"/>
        <v>-</v>
      </c>
      <c r="X154" s="303" t="str">
        <f t="shared" si="26"/>
        <v>-</v>
      </c>
    </row>
    <row r="155" spans="3:24">
      <c r="C155" s="277"/>
      <c r="D155" s="270" t="s">
        <v>730</v>
      </c>
      <c r="E155" s="303" t="s">
        <v>909</v>
      </c>
      <c r="F155" s="303">
        <v>12</v>
      </c>
      <c r="G155" s="303">
        <v>1</v>
      </c>
      <c r="H155" s="303">
        <v>10</v>
      </c>
      <c r="I155" s="303">
        <v>2</v>
      </c>
      <c r="J155" s="303"/>
      <c r="K155" s="269">
        <v>0.59</v>
      </c>
      <c r="L155" s="303"/>
      <c r="M155" s="304"/>
      <c r="N155" s="304"/>
      <c r="O155" s="321">
        <f t="shared" si="18"/>
        <v>0.59</v>
      </c>
      <c r="P155" s="322">
        <f t="shared" si="19"/>
        <v>0</v>
      </c>
      <c r="Q155" s="322"/>
      <c r="R155" s="303">
        <f t="shared" si="20"/>
        <v>0.59</v>
      </c>
      <c r="S155" s="303" t="str">
        <f t="shared" si="21"/>
        <v>-</v>
      </c>
      <c r="T155" s="303" t="str">
        <f t="shared" si="22"/>
        <v>-</v>
      </c>
      <c r="U155" s="303">
        <f t="shared" si="23"/>
        <v>11.8</v>
      </c>
      <c r="V155" s="303" t="str">
        <f t="shared" si="24"/>
        <v>-</v>
      </c>
      <c r="W155" s="303" t="str">
        <f t="shared" si="25"/>
        <v>-</v>
      </c>
      <c r="X155" s="303" t="str">
        <f t="shared" si="26"/>
        <v>-</v>
      </c>
    </row>
    <row r="156" spans="3:24">
      <c r="C156" s="277"/>
      <c r="D156" s="270" t="s">
        <v>632</v>
      </c>
      <c r="E156" s="303" t="s">
        <v>907</v>
      </c>
      <c r="F156" s="303">
        <v>8</v>
      </c>
      <c r="G156" s="303">
        <v>1</v>
      </c>
      <c r="H156" s="303">
        <v>36</v>
      </c>
      <c r="I156" s="303">
        <v>2</v>
      </c>
      <c r="J156" s="303">
        <v>0.18</v>
      </c>
      <c r="K156" s="269">
        <v>0.4</v>
      </c>
      <c r="L156" s="303">
        <v>0.18</v>
      </c>
      <c r="M156" s="303">
        <v>0.4</v>
      </c>
      <c r="N156" s="303">
        <v>0.16</v>
      </c>
      <c r="O156" s="321">
        <f t="shared" si="18"/>
        <v>1.32</v>
      </c>
      <c r="P156" s="322">
        <f t="shared" si="19"/>
        <v>0.08</v>
      </c>
      <c r="Q156" s="322"/>
      <c r="R156" s="303">
        <f t="shared" si="20"/>
        <v>1.24</v>
      </c>
      <c r="S156" s="303">
        <f t="shared" si="21"/>
        <v>89.28</v>
      </c>
      <c r="T156" s="303" t="str">
        <f t="shared" si="22"/>
        <v>-</v>
      </c>
      <c r="U156" s="303" t="str">
        <f t="shared" si="23"/>
        <v>-</v>
      </c>
      <c r="V156" s="303" t="str">
        <f t="shared" si="24"/>
        <v>-</v>
      </c>
      <c r="W156" s="303" t="str">
        <f t="shared" si="25"/>
        <v>-</v>
      </c>
      <c r="X156" s="303" t="str">
        <f t="shared" si="26"/>
        <v>-</v>
      </c>
    </row>
    <row r="157" spans="3:24">
      <c r="C157" s="277"/>
      <c r="D157" s="270"/>
      <c r="E157" s="303"/>
      <c r="F157" s="303"/>
      <c r="G157" s="303"/>
      <c r="H157" s="303"/>
      <c r="I157" s="303"/>
      <c r="J157" s="303"/>
      <c r="K157" s="269"/>
      <c r="L157" s="303"/>
      <c r="M157" s="303"/>
      <c r="N157" s="303"/>
      <c r="O157" s="321">
        <f t="shared" si="18"/>
        <v>0</v>
      </c>
      <c r="P157" s="322">
        <f t="shared" si="19"/>
        <v>0</v>
      </c>
      <c r="Q157" s="322"/>
      <c r="R157" s="303">
        <f t="shared" si="20"/>
        <v>0</v>
      </c>
      <c r="S157" s="303" t="str">
        <f t="shared" si="21"/>
        <v>-</v>
      </c>
      <c r="T157" s="303" t="str">
        <f t="shared" si="22"/>
        <v>-</v>
      </c>
      <c r="U157" s="303" t="str">
        <f t="shared" si="23"/>
        <v>-</v>
      </c>
      <c r="V157" s="303" t="str">
        <f t="shared" si="24"/>
        <v>-</v>
      </c>
      <c r="W157" s="303" t="str">
        <f t="shared" si="25"/>
        <v>-</v>
      </c>
      <c r="X157" s="303" t="str">
        <f t="shared" si="26"/>
        <v>-</v>
      </c>
    </row>
    <row r="158" spans="3:24">
      <c r="C158" s="277">
        <v>17</v>
      </c>
      <c r="D158" s="268" t="s">
        <v>731</v>
      </c>
      <c r="E158" s="303" t="s">
        <v>908</v>
      </c>
      <c r="F158" s="303">
        <v>12</v>
      </c>
      <c r="G158" s="303">
        <v>1</v>
      </c>
      <c r="H158" s="303">
        <v>6</v>
      </c>
      <c r="I158" s="303">
        <v>2</v>
      </c>
      <c r="J158" s="303">
        <v>0.12</v>
      </c>
      <c r="K158" s="269">
        <v>13.18</v>
      </c>
      <c r="L158" s="303">
        <v>0.12</v>
      </c>
      <c r="M158" s="304"/>
      <c r="N158" s="304"/>
      <c r="O158" s="321">
        <f t="shared" si="18"/>
        <v>13.419999999999998</v>
      </c>
      <c r="P158" s="322">
        <f t="shared" si="19"/>
        <v>4.8000000000000001E-2</v>
      </c>
      <c r="Q158" s="322"/>
      <c r="R158" s="303">
        <f t="shared" si="20"/>
        <v>13.371999999999998</v>
      </c>
      <c r="S158" s="303" t="str">
        <f t="shared" si="21"/>
        <v>-</v>
      </c>
      <c r="T158" s="303" t="str">
        <f t="shared" si="22"/>
        <v>-</v>
      </c>
      <c r="U158" s="303">
        <f t="shared" si="23"/>
        <v>160.46</v>
      </c>
      <c r="V158" s="303" t="str">
        <f t="shared" si="24"/>
        <v>-</v>
      </c>
      <c r="W158" s="303" t="str">
        <f t="shared" si="25"/>
        <v>-</v>
      </c>
      <c r="X158" s="303" t="str">
        <f t="shared" si="26"/>
        <v>-</v>
      </c>
    </row>
    <row r="159" spans="3:24">
      <c r="C159" s="277"/>
      <c r="D159" s="270" t="s">
        <v>718</v>
      </c>
      <c r="E159" s="303" t="s">
        <v>910</v>
      </c>
      <c r="F159" s="303">
        <v>12</v>
      </c>
      <c r="G159" s="303">
        <v>1</v>
      </c>
      <c r="H159" s="303">
        <v>2</v>
      </c>
      <c r="I159" s="303">
        <v>2</v>
      </c>
      <c r="J159" s="303">
        <v>0.12</v>
      </c>
      <c r="K159" s="269">
        <v>1.375</v>
      </c>
      <c r="L159" s="303"/>
      <c r="M159" s="304"/>
      <c r="N159" s="304"/>
      <c r="O159" s="321">
        <f t="shared" si="18"/>
        <v>1.4950000000000001</v>
      </c>
      <c r="P159" s="322">
        <f t="shared" si="19"/>
        <v>2.4E-2</v>
      </c>
      <c r="Q159" s="322"/>
      <c r="R159" s="303">
        <f t="shared" si="20"/>
        <v>1.4710000000000001</v>
      </c>
      <c r="S159" s="303" t="str">
        <f t="shared" si="21"/>
        <v>-</v>
      </c>
      <c r="T159" s="303" t="str">
        <f t="shared" si="22"/>
        <v>-</v>
      </c>
      <c r="U159" s="303">
        <f t="shared" si="23"/>
        <v>5.88</v>
      </c>
      <c r="V159" s="303" t="str">
        <f t="shared" si="24"/>
        <v>-</v>
      </c>
      <c r="W159" s="303" t="str">
        <f t="shared" si="25"/>
        <v>-</v>
      </c>
      <c r="X159" s="303" t="str">
        <f t="shared" si="26"/>
        <v>-</v>
      </c>
    </row>
    <row r="160" spans="3:24">
      <c r="C160" s="277"/>
      <c r="D160" s="270" t="s">
        <v>718</v>
      </c>
      <c r="E160" s="303" t="s">
        <v>910</v>
      </c>
      <c r="F160" s="303">
        <v>12</v>
      </c>
      <c r="G160" s="303">
        <v>1</v>
      </c>
      <c r="H160" s="303">
        <v>1</v>
      </c>
      <c r="I160" s="303">
        <v>2</v>
      </c>
      <c r="J160" s="303">
        <v>0.12</v>
      </c>
      <c r="K160" s="269">
        <v>1.875</v>
      </c>
      <c r="L160" s="303"/>
      <c r="M160" s="304"/>
      <c r="N160" s="304"/>
      <c r="O160" s="321">
        <f t="shared" si="18"/>
        <v>1.9950000000000001</v>
      </c>
      <c r="P160" s="322">
        <f t="shared" si="19"/>
        <v>2.4E-2</v>
      </c>
      <c r="Q160" s="322"/>
      <c r="R160" s="303">
        <f t="shared" si="20"/>
        <v>1.9710000000000001</v>
      </c>
      <c r="S160" s="303" t="str">
        <f t="shared" si="21"/>
        <v>-</v>
      </c>
      <c r="T160" s="303" t="str">
        <f t="shared" si="22"/>
        <v>-</v>
      </c>
      <c r="U160" s="303">
        <f t="shared" si="23"/>
        <v>3.94</v>
      </c>
      <c r="V160" s="303" t="str">
        <f t="shared" si="24"/>
        <v>-</v>
      </c>
      <c r="W160" s="303" t="str">
        <f t="shared" si="25"/>
        <v>-</v>
      </c>
      <c r="X160" s="303" t="str">
        <f t="shared" si="26"/>
        <v>-</v>
      </c>
    </row>
    <row r="161" spans="3:24">
      <c r="C161" s="277"/>
      <c r="D161" s="270" t="s">
        <v>732</v>
      </c>
      <c r="E161" s="303" t="s">
        <v>909</v>
      </c>
      <c r="F161" s="303">
        <v>12</v>
      </c>
      <c r="G161" s="303">
        <v>1</v>
      </c>
      <c r="H161" s="303">
        <v>2</v>
      </c>
      <c r="I161" s="303">
        <v>2</v>
      </c>
      <c r="J161" s="303"/>
      <c r="K161" s="269">
        <v>2.4</v>
      </c>
      <c r="L161" s="303"/>
      <c r="M161" s="304"/>
      <c r="N161" s="304"/>
      <c r="O161" s="321">
        <f t="shared" si="18"/>
        <v>2.4</v>
      </c>
      <c r="P161" s="322">
        <f t="shared" si="19"/>
        <v>0</v>
      </c>
      <c r="Q161" s="322"/>
      <c r="R161" s="303">
        <f t="shared" si="20"/>
        <v>2.4</v>
      </c>
      <c r="S161" s="303" t="str">
        <f t="shared" si="21"/>
        <v>-</v>
      </c>
      <c r="T161" s="303" t="str">
        <f t="shared" si="22"/>
        <v>-</v>
      </c>
      <c r="U161" s="303">
        <f t="shared" si="23"/>
        <v>9.6</v>
      </c>
      <c r="V161" s="303" t="str">
        <f t="shared" si="24"/>
        <v>-</v>
      </c>
      <c r="W161" s="303" t="str">
        <f t="shared" si="25"/>
        <v>-</v>
      </c>
      <c r="X161" s="303" t="str">
        <f t="shared" si="26"/>
        <v>-</v>
      </c>
    </row>
    <row r="162" spans="3:24">
      <c r="C162" s="277"/>
      <c r="D162" s="270" t="s">
        <v>733</v>
      </c>
      <c r="E162" s="303" t="s">
        <v>909</v>
      </c>
      <c r="F162" s="303">
        <v>12</v>
      </c>
      <c r="G162" s="303">
        <v>1</v>
      </c>
      <c r="H162" s="303">
        <v>1</v>
      </c>
      <c r="I162" s="303">
        <v>2</v>
      </c>
      <c r="J162" s="303"/>
      <c r="K162" s="269">
        <v>3.5</v>
      </c>
      <c r="L162" s="303"/>
      <c r="M162" s="304"/>
      <c r="N162" s="304"/>
      <c r="O162" s="321">
        <f t="shared" si="18"/>
        <v>3.5</v>
      </c>
      <c r="P162" s="322">
        <f t="shared" si="19"/>
        <v>0</v>
      </c>
      <c r="Q162" s="322"/>
      <c r="R162" s="303">
        <f t="shared" si="20"/>
        <v>3.5</v>
      </c>
      <c r="S162" s="303" t="str">
        <f t="shared" si="21"/>
        <v>-</v>
      </c>
      <c r="T162" s="303" t="str">
        <f t="shared" si="22"/>
        <v>-</v>
      </c>
      <c r="U162" s="303">
        <f t="shared" si="23"/>
        <v>7</v>
      </c>
      <c r="V162" s="303" t="str">
        <f t="shared" si="24"/>
        <v>-</v>
      </c>
      <c r="W162" s="303" t="str">
        <f t="shared" si="25"/>
        <v>-</v>
      </c>
      <c r="X162" s="303" t="str">
        <f t="shared" si="26"/>
        <v>-</v>
      </c>
    </row>
    <row r="163" spans="3:24">
      <c r="C163" s="277"/>
      <c r="D163" s="270" t="s">
        <v>734</v>
      </c>
      <c r="E163" s="303" t="s">
        <v>910</v>
      </c>
      <c r="F163" s="303">
        <v>12</v>
      </c>
      <c r="G163" s="303">
        <v>1</v>
      </c>
      <c r="H163" s="303">
        <v>2</v>
      </c>
      <c r="I163" s="303">
        <v>2</v>
      </c>
      <c r="J163" s="303">
        <v>0.12</v>
      </c>
      <c r="K163" s="269">
        <v>1.2050000000000001</v>
      </c>
      <c r="L163" s="303"/>
      <c r="M163" s="304"/>
      <c r="N163" s="304"/>
      <c r="O163" s="321">
        <f t="shared" si="18"/>
        <v>1.3250000000000002</v>
      </c>
      <c r="P163" s="322">
        <f t="shared" si="19"/>
        <v>2.4E-2</v>
      </c>
      <c r="Q163" s="322"/>
      <c r="R163" s="303">
        <f t="shared" si="20"/>
        <v>1.3010000000000002</v>
      </c>
      <c r="S163" s="303" t="str">
        <f t="shared" si="21"/>
        <v>-</v>
      </c>
      <c r="T163" s="303" t="str">
        <f t="shared" si="22"/>
        <v>-</v>
      </c>
      <c r="U163" s="303">
        <f t="shared" si="23"/>
        <v>5.2</v>
      </c>
      <c r="V163" s="303" t="str">
        <f t="shared" si="24"/>
        <v>-</v>
      </c>
      <c r="W163" s="303" t="str">
        <f t="shared" si="25"/>
        <v>-</v>
      </c>
      <c r="X163" s="303" t="str">
        <f t="shared" si="26"/>
        <v>-</v>
      </c>
    </row>
    <row r="164" spans="3:24">
      <c r="C164" s="277"/>
      <c r="D164" s="270" t="s">
        <v>735</v>
      </c>
      <c r="E164" s="303" t="s">
        <v>910</v>
      </c>
      <c r="F164" s="303">
        <v>12</v>
      </c>
      <c r="G164" s="303">
        <v>1</v>
      </c>
      <c r="H164" s="303">
        <v>1</v>
      </c>
      <c r="I164" s="303">
        <v>2</v>
      </c>
      <c r="J164" s="303">
        <v>0.12</v>
      </c>
      <c r="K164" s="269">
        <v>1.8049999999999999</v>
      </c>
      <c r="L164" s="303"/>
      <c r="M164" s="304"/>
      <c r="N164" s="304"/>
      <c r="O164" s="321">
        <f t="shared" si="18"/>
        <v>1.9249999999999998</v>
      </c>
      <c r="P164" s="322">
        <f t="shared" si="19"/>
        <v>2.4E-2</v>
      </c>
      <c r="Q164" s="322"/>
      <c r="R164" s="303">
        <f t="shared" si="20"/>
        <v>1.9009999999999998</v>
      </c>
      <c r="S164" s="303" t="str">
        <f t="shared" si="21"/>
        <v>-</v>
      </c>
      <c r="T164" s="303" t="str">
        <f t="shared" si="22"/>
        <v>-</v>
      </c>
      <c r="U164" s="303">
        <f t="shared" si="23"/>
        <v>3.8</v>
      </c>
      <c r="V164" s="303" t="str">
        <f t="shared" si="24"/>
        <v>-</v>
      </c>
      <c r="W164" s="303" t="str">
        <f t="shared" si="25"/>
        <v>-</v>
      </c>
      <c r="X164" s="303" t="str">
        <f t="shared" si="26"/>
        <v>-</v>
      </c>
    </row>
    <row r="165" spans="3:24">
      <c r="C165" s="277"/>
      <c r="D165" s="270" t="s">
        <v>736</v>
      </c>
      <c r="E165" s="303" t="s">
        <v>909</v>
      </c>
      <c r="F165" s="303">
        <v>12</v>
      </c>
      <c r="G165" s="303">
        <v>1</v>
      </c>
      <c r="H165" s="303">
        <v>3</v>
      </c>
      <c r="I165" s="303">
        <v>2</v>
      </c>
      <c r="J165" s="303"/>
      <c r="K165" s="269">
        <v>4.25</v>
      </c>
      <c r="L165" s="303"/>
      <c r="M165" s="304"/>
      <c r="N165" s="304"/>
      <c r="O165" s="321">
        <f t="shared" si="18"/>
        <v>4.25</v>
      </c>
      <c r="P165" s="322">
        <f t="shared" si="19"/>
        <v>0</v>
      </c>
      <c r="Q165" s="322"/>
      <c r="R165" s="303">
        <f t="shared" si="20"/>
        <v>4.25</v>
      </c>
      <c r="S165" s="303" t="str">
        <f t="shared" si="21"/>
        <v>-</v>
      </c>
      <c r="T165" s="303" t="str">
        <f t="shared" si="22"/>
        <v>-</v>
      </c>
      <c r="U165" s="303">
        <f t="shared" si="23"/>
        <v>25.5</v>
      </c>
      <c r="V165" s="303" t="str">
        <f t="shared" si="24"/>
        <v>-</v>
      </c>
      <c r="W165" s="303" t="str">
        <f t="shared" si="25"/>
        <v>-</v>
      </c>
      <c r="X165" s="303" t="str">
        <f t="shared" si="26"/>
        <v>-</v>
      </c>
    </row>
    <row r="166" spans="3:24">
      <c r="C166" s="277"/>
      <c r="D166" s="270" t="s">
        <v>737</v>
      </c>
      <c r="E166" s="303" t="s">
        <v>909</v>
      </c>
      <c r="F166" s="303">
        <v>12</v>
      </c>
      <c r="G166" s="303">
        <v>1</v>
      </c>
      <c r="H166" s="303">
        <v>3</v>
      </c>
      <c r="I166" s="303">
        <v>2</v>
      </c>
      <c r="J166" s="303"/>
      <c r="K166" s="269">
        <v>4.3499999999999996</v>
      </c>
      <c r="L166" s="303"/>
      <c r="M166" s="304"/>
      <c r="N166" s="304"/>
      <c r="O166" s="321">
        <f t="shared" si="18"/>
        <v>4.3499999999999996</v>
      </c>
      <c r="P166" s="322">
        <f t="shared" si="19"/>
        <v>0</v>
      </c>
      <c r="Q166" s="322"/>
      <c r="R166" s="303">
        <f t="shared" si="20"/>
        <v>4.3499999999999996</v>
      </c>
      <c r="S166" s="303" t="str">
        <f t="shared" si="21"/>
        <v>-</v>
      </c>
      <c r="T166" s="303" t="str">
        <f t="shared" si="22"/>
        <v>-</v>
      </c>
      <c r="U166" s="303">
        <f t="shared" si="23"/>
        <v>26.1</v>
      </c>
      <c r="V166" s="303" t="str">
        <f t="shared" si="24"/>
        <v>-</v>
      </c>
      <c r="W166" s="303" t="str">
        <f t="shared" si="25"/>
        <v>-</v>
      </c>
      <c r="X166" s="303" t="str">
        <f t="shared" si="26"/>
        <v>-</v>
      </c>
    </row>
    <row r="167" spans="3:24">
      <c r="C167" s="277"/>
      <c r="D167" s="270" t="s">
        <v>650</v>
      </c>
      <c r="E167" s="303" t="s">
        <v>909</v>
      </c>
      <c r="F167" s="303">
        <v>12</v>
      </c>
      <c r="G167" s="303">
        <v>1</v>
      </c>
      <c r="H167" s="303">
        <v>18</v>
      </c>
      <c r="I167" s="303">
        <v>2</v>
      </c>
      <c r="J167" s="303"/>
      <c r="K167" s="269">
        <v>0.59</v>
      </c>
      <c r="L167" s="303"/>
      <c r="M167" s="304"/>
      <c r="N167" s="304"/>
      <c r="O167" s="321">
        <f t="shared" si="18"/>
        <v>0.59</v>
      </c>
      <c r="P167" s="322">
        <f t="shared" si="19"/>
        <v>0</v>
      </c>
      <c r="Q167" s="322"/>
      <c r="R167" s="303">
        <f t="shared" si="20"/>
        <v>0.59</v>
      </c>
      <c r="S167" s="303" t="str">
        <f t="shared" si="21"/>
        <v>-</v>
      </c>
      <c r="T167" s="303" t="str">
        <f t="shared" si="22"/>
        <v>-</v>
      </c>
      <c r="U167" s="303">
        <f t="shared" si="23"/>
        <v>21.24</v>
      </c>
      <c r="V167" s="303" t="str">
        <f t="shared" si="24"/>
        <v>-</v>
      </c>
      <c r="W167" s="303" t="str">
        <f t="shared" si="25"/>
        <v>-</v>
      </c>
      <c r="X167" s="303" t="str">
        <f t="shared" si="26"/>
        <v>-</v>
      </c>
    </row>
    <row r="168" spans="3:24">
      <c r="C168" s="277"/>
      <c r="D168" s="270" t="s">
        <v>632</v>
      </c>
      <c r="E168" s="303" t="s">
        <v>907</v>
      </c>
      <c r="F168" s="303">
        <v>8</v>
      </c>
      <c r="G168" s="303">
        <v>1</v>
      </c>
      <c r="H168" s="303">
        <v>101</v>
      </c>
      <c r="I168" s="303">
        <v>2</v>
      </c>
      <c r="J168" s="303">
        <v>0.18</v>
      </c>
      <c r="K168" s="269">
        <v>0.4</v>
      </c>
      <c r="L168" s="303">
        <v>0.18</v>
      </c>
      <c r="M168" s="303">
        <v>0.4</v>
      </c>
      <c r="N168" s="303">
        <v>0.16</v>
      </c>
      <c r="O168" s="321">
        <f t="shared" si="18"/>
        <v>1.32</v>
      </c>
      <c r="P168" s="322">
        <f t="shared" si="19"/>
        <v>0.08</v>
      </c>
      <c r="Q168" s="322"/>
      <c r="R168" s="303">
        <f t="shared" si="20"/>
        <v>1.24</v>
      </c>
      <c r="S168" s="303">
        <f t="shared" si="21"/>
        <v>250.48</v>
      </c>
      <c r="T168" s="303" t="str">
        <f t="shared" si="22"/>
        <v>-</v>
      </c>
      <c r="U168" s="303" t="str">
        <f t="shared" si="23"/>
        <v>-</v>
      </c>
      <c r="V168" s="303" t="str">
        <f t="shared" si="24"/>
        <v>-</v>
      </c>
      <c r="W168" s="303" t="str">
        <f t="shared" si="25"/>
        <v>-</v>
      </c>
      <c r="X168" s="303" t="str">
        <f t="shared" si="26"/>
        <v>-</v>
      </c>
    </row>
    <row r="169" spans="3:24">
      <c r="C169" s="277">
        <v>18</v>
      </c>
      <c r="D169" s="283" t="s">
        <v>906</v>
      </c>
      <c r="E169" s="303" t="s">
        <v>908</v>
      </c>
      <c r="F169" s="303">
        <v>12</v>
      </c>
      <c r="G169" s="303">
        <v>1</v>
      </c>
      <c r="H169" s="303">
        <v>3</v>
      </c>
      <c r="I169" s="303">
        <v>1</v>
      </c>
      <c r="J169" s="303">
        <v>0.12</v>
      </c>
      <c r="K169" s="269">
        <v>6.65</v>
      </c>
      <c r="L169" s="303">
        <v>0.12</v>
      </c>
      <c r="M169" s="303"/>
      <c r="N169" s="303"/>
      <c r="O169" s="321">
        <f t="shared" si="18"/>
        <v>6.8900000000000006</v>
      </c>
      <c r="P169" s="322">
        <f t="shared" si="19"/>
        <v>4.8000000000000001E-2</v>
      </c>
      <c r="Q169" s="322"/>
      <c r="R169" s="303">
        <f t="shared" si="20"/>
        <v>6.8420000000000005</v>
      </c>
      <c r="S169" s="303" t="str">
        <f t="shared" si="21"/>
        <v>-</v>
      </c>
      <c r="T169" s="303" t="str">
        <f t="shared" si="22"/>
        <v>-</v>
      </c>
      <c r="U169" s="303">
        <f t="shared" si="23"/>
        <v>20.53</v>
      </c>
      <c r="V169" s="303" t="str">
        <f t="shared" si="24"/>
        <v>-</v>
      </c>
      <c r="W169" s="303" t="str">
        <f t="shared" si="25"/>
        <v>-</v>
      </c>
      <c r="X169" s="303" t="str">
        <f t="shared" si="26"/>
        <v>-</v>
      </c>
    </row>
    <row r="170" spans="3:24">
      <c r="C170" s="277"/>
      <c r="D170" s="270" t="s">
        <v>738</v>
      </c>
      <c r="E170" s="303" t="s">
        <v>908</v>
      </c>
      <c r="F170" s="303">
        <v>16</v>
      </c>
      <c r="G170" s="303">
        <v>1</v>
      </c>
      <c r="H170" s="303">
        <v>3</v>
      </c>
      <c r="I170" s="303">
        <v>1</v>
      </c>
      <c r="J170" s="303">
        <v>0.16</v>
      </c>
      <c r="K170" s="269">
        <v>6.65</v>
      </c>
      <c r="L170" s="303">
        <v>0.16</v>
      </c>
      <c r="M170" s="303"/>
      <c r="N170" s="303"/>
      <c r="O170" s="321">
        <f t="shared" si="18"/>
        <v>6.9700000000000006</v>
      </c>
      <c r="P170" s="322">
        <f t="shared" si="19"/>
        <v>6.4000000000000001E-2</v>
      </c>
      <c r="Q170" s="322"/>
      <c r="R170" s="303">
        <f t="shared" si="20"/>
        <v>6.9060000000000006</v>
      </c>
      <c r="S170" s="303" t="str">
        <f t="shared" si="21"/>
        <v>-</v>
      </c>
      <c r="T170" s="303" t="str">
        <f t="shared" si="22"/>
        <v>-</v>
      </c>
      <c r="U170" s="303" t="str">
        <f t="shared" si="23"/>
        <v>-</v>
      </c>
      <c r="V170" s="303">
        <f t="shared" si="24"/>
        <v>20.72</v>
      </c>
      <c r="W170" s="303" t="str">
        <f t="shared" si="25"/>
        <v>-</v>
      </c>
      <c r="X170" s="303" t="str">
        <f t="shared" si="26"/>
        <v>-</v>
      </c>
    </row>
    <row r="171" spans="3:24">
      <c r="C171" s="277"/>
      <c r="D171" s="270" t="s">
        <v>739</v>
      </c>
      <c r="E171" s="303" t="s">
        <v>910</v>
      </c>
      <c r="F171" s="303">
        <v>12</v>
      </c>
      <c r="G171" s="303">
        <v>1</v>
      </c>
      <c r="H171" s="303">
        <v>4</v>
      </c>
      <c r="I171" s="303">
        <v>1</v>
      </c>
      <c r="J171" s="303">
        <v>0.12</v>
      </c>
      <c r="K171" s="269">
        <v>1.875</v>
      </c>
      <c r="L171" s="303"/>
      <c r="M171" s="303"/>
      <c r="N171" s="303"/>
      <c r="O171" s="321">
        <f t="shared" si="18"/>
        <v>1.9950000000000001</v>
      </c>
      <c r="P171" s="322">
        <f t="shared" si="19"/>
        <v>2.4E-2</v>
      </c>
      <c r="Q171" s="322"/>
      <c r="R171" s="303">
        <f t="shared" si="20"/>
        <v>1.9710000000000001</v>
      </c>
      <c r="S171" s="303" t="str">
        <f t="shared" si="21"/>
        <v>-</v>
      </c>
      <c r="T171" s="303" t="str">
        <f t="shared" si="22"/>
        <v>-</v>
      </c>
      <c r="U171" s="303">
        <f t="shared" si="23"/>
        <v>7.88</v>
      </c>
      <c r="V171" s="303" t="str">
        <f t="shared" si="24"/>
        <v>-</v>
      </c>
      <c r="W171" s="303" t="str">
        <f t="shared" si="25"/>
        <v>-</v>
      </c>
      <c r="X171" s="303" t="str">
        <f t="shared" si="26"/>
        <v>-</v>
      </c>
    </row>
    <row r="172" spans="3:24">
      <c r="C172" s="277"/>
      <c r="D172" s="270" t="s">
        <v>678</v>
      </c>
      <c r="E172" s="303" t="s">
        <v>909</v>
      </c>
      <c r="F172" s="303">
        <v>12</v>
      </c>
      <c r="G172" s="303">
        <v>1</v>
      </c>
      <c r="H172" s="303">
        <v>3</v>
      </c>
      <c r="I172" s="303">
        <v>1</v>
      </c>
      <c r="J172" s="303"/>
      <c r="K172" s="269">
        <v>4.3</v>
      </c>
      <c r="L172" s="303"/>
      <c r="M172" s="303"/>
      <c r="N172" s="303"/>
      <c r="O172" s="321">
        <f t="shared" si="18"/>
        <v>4.3</v>
      </c>
      <c r="P172" s="322">
        <f t="shared" si="19"/>
        <v>0</v>
      </c>
      <c r="Q172" s="322"/>
      <c r="R172" s="303">
        <f t="shared" si="20"/>
        <v>4.3</v>
      </c>
      <c r="S172" s="303" t="str">
        <f t="shared" si="21"/>
        <v>-</v>
      </c>
      <c r="T172" s="303" t="str">
        <f t="shared" si="22"/>
        <v>-</v>
      </c>
      <c r="U172" s="303">
        <f t="shared" si="23"/>
        <v>12.9</v>
      </c>
      <c r="V172" s="303" t="str">
        <f t="shared" si="24"/>
        <v>-</v>
      </c>
      <c r="W172" s="303" t="str">
        <f t="shared" si="25"/>
        <v>-</v>
      </c>
      <c r="X172" s="303" t="str">
        <f t="shared" si="26"/>
        <v>-</v>
      </c>
    </row>
    <row r="173" spans="3:24">
      <c r="C173" s="277"/>
      <c r="D173" s="270" t="s">
        <v>650</v>
      </c>
      <c r="E173" s="303" t="s">
        <v>909</v>
      </c>
      <c r="F173" s="303">
        <v>12</v>
      </c>
      <c r="G173" s="303">
        <v>1</v>
      </c>
      <c r="H173" s="303">
        <v>6</v>
      </c>
      <c r="I173" s="303">
        <v>1</v>
      </c>
      <c r="J173" s="303"/>
      <c r="K173" s="269">
        <v>0.59</v>
      </c>
      <c r="L173" s="303"/>
      <c r="M173" s="303"/>
      <c r="N173" s="303"/>
      <c r="O173" s="321">
        <f t="shared" si="18"/>
        <v>0.59</v>
      </c>
      <c r="P173" s="322">
        <f t="shared" si="19"/>
        <v>0</v>
      </c>
      <c r="Q173" s="322"/>
      <c r="R173" s="303">
        <f t="shared" si="20"/>
        <v>0.59</v>
      </c>
      <c r="S173" s="303" t="str">
        <f t="shared" si="21"/>
        <v>-</v>
      </c>
      <c r="T173" s="303" t="str">
        <f t="shared" si="22"/>
        <v>-</v>
      </c>
      <c r="U173" s="303">
        <f t="shared" si="23"/>
        <v>3.54</v>
      </c>
      <c r="V173" s="303" t="str">
        <f t="shared" si="24"/>
        <v>-</v>
      </c>
      <c r="W173" s="303" t="str">
        <f t="shared" si="25"/>
        <v>-</v>
      </c>
      <c r="X173" s="303" t="str">
        <f t="shared" si="26"/>
        <v>-</v>
      </c>
    </row>
    <row r="174" spans="3:24">
      <c r="C174" s="277"/>
      <c r="D174" s="270" t="s">
        <v>650</v>
      </c>
      <c r="E174" s="303" t="s">
        <v>909</v>
      </c>
      <c r="F174" s="303">
        <v>16</v>
      </c>
      <c r="G174" s="303">
        <v>1</v>
      </c>
      <c r="H174" s="303">
        <v>6</v>
      </c>
      <c r="I174" s="303">
        <v>1</v>
      </c>
      <c r="J174" s="303"/>
      <c r="K174" s="269">
        <v>0.59</v>
      </c>
      <c r="L174" s="303"/>
      <c r="M174" s="303"/>
      <c r="N174" s="303"/>
      <c r="O174" s="321">
        <f t="shared" si="18"/>
        <v>0.59</v>
      </c>
      <c r="P174" s="322">
        <f t="shared" si="19"/>
        <v>0</v>
      </c>
      <c r="Q174" s="322"/>
      <c r="R174" s="303">
        <f t="shared" si="20"/>
        <v>0.59</v>
      </c>
      <c r="S174" s="303" t="str">
        <f t="shared" si="21"/>
        <v>-</v>
      </c>
      <c r="T174" s="303" t="str">
        <f t="shared" si="22"/>
        <v>-</v>
      </c>
      <c r="U174" s="303" t="str">
        <f t="shared" si="23"/>
        <v>-</v>
      </c>
      <c r="V174" s="303">
        <f t="shared" si="24"/>
        <v>3.54</v>
      </c>
      <c r="W174" s="303" t="str">
        <f t="shared" si="25"/>
        <v>-</v>
      </c>
      <c r="X174" s="303" t="str">
        <f t="shared" si="26"/>
        <v>-</v>
      </c>
    </row>
    <row r="175" spans="3:24">
      <c r="C175" s="277"/>
      <c r="D175" s="270" t="s">
        <v>632</v>
      </c>
      <c r="E175" s="303" t="s">
        <v>907</v>
      </c>
      <c r="F175" s="303">
        <v>8</v>
      </c>
      <c r="G175" s="303">
        <v>1</v>
      </c>
      <c r="H175" s="303">
        <v>48</v>
      </c>
      <c r="I175" s="303">
        <v>1</v>
      </c>
      <c r="J175" s="303">
        <v>0.18</v>
      </c>
      <c r="K175" s="269">
        <v>0.4</v>
      </c>
      <c r="L175" s="303">
        <v>0.18</v>
      </c>
      <c r="M175" s="303">
        <v>0.4</v>
      </c>
      <c r="N175" s="303">
        <v>0.16</v>
      </c>
      <c r="O175" s="321">
        <f t="shared" si="18"/>
        <v>1.32</v>
      </c>
      <c r="P175" s="322">
        <f t="shared" si="19"/>
        <v>0.08</v>
      </c>
      <c r="Q175" s="322"/>
      <c r="R175" s="303">
        <f t="shared" si="20"/>
        <v>1.24</v>
      </c>
      <c r="S175" s="303">
        <f t="shared" si="21"/>
        <v>59.52</v>
      </c>
      <c r="T175" s="303" t="str">
        <f t="shared" si="22"/>
        <v>-</v>
      </c>
      <c r="U175" s="303" t="str">
        <f t="shared" si="23"/>
        <v>-</v>
      </c>
      <c r="V175" s="303" t="str">
        <f t="shared" si="24"/>
        <v>-</v>
      </c>
      <c r="W175" s="303" t="str">
        <f t="shared" si="25"/>
        <v>-</v>
      </c>
      <c r="X175" s="303" t="str">
        <f t="shared" si="26"/>
        <v>-</v>
      </c>
    </row>
    <row r="176" spans="3:24">
      <c r="C176" s="277"/>
      <c r="D176" s="270"/>
      <c r="E176" s="303"/>
      <c r="F176" s="303"/>
      <c r="G176" s="303"/>
      <c r="H176" s="303"/>
      <c r="I176" s="303"/>
      <c r="J176" s="303"/>
      <c r="K176" s="269"/>
      <c r="L176" s="303"/>
      <c r="M176" s="304"/>
      <c r="N176" s="304"/>
      <c r="O176" s="321">
        <f t="shared" si="18"/>
        <v>0</v>
      </c>
      <c r="P176" s="322">
        <f t="shared" si="19"/>
        <v>0</v>
      </c>
      <c r="Q176" s="322"/>
      <c r="R176" s="303">
        <f t="shared" si="20"/>
        <v>0</v>
      </c>
      <c r="S176" s="303" t="str">
        <f t="shared" si="21"/>
        <v>-</v>
      </c>
      <c r="T176" s="303" t="str">
        <f t="shared" si="22"/>
        <v>-</v>
      </c>
      <c r="U176" s="303" t="str">
        <f t="shared" si="23"/>
        <v>-</v>
      </c>
      <c r="V176" s="303" t="str">
        <f t="shared" si="24"/>
        <v>-</v>
      </c>
      <c r="W176" s="303" t="str">
        <f t="shared" si="25"/>
        <v>-</v>
      </c>
      <c r="X176" s="303" t="str">
        <f t="shared" si="26"/>
        <v>-</v>
      </c>
    </row>
    <row r="177" spans="3:24">
      <c r="C177" s="277">
        <v>19</v>
      </c>
      <c r="D177" s="283" t="s">
        <v>740</v>
      </c>
      <c r="E177" s="303" t="s">
        <v>908</v>
      </c>
      <c r="F177" s="303">
        <v>12</v>
      </c>
      <c r="G177" s="303">
        <v>1</v>
      </c>
      <c r="H177" s="303">
        <v>6</v>
      </c>
      <c r="I177" s="303">
        <v>2</v>
      </c>
      <c r="J177" s="303">
        <v>0.12</v>
      </c>
      <c r="K177" s="269">
        <v>5.0999999999999996</v>
      </c>
      <c r="L177" s="303">
        <v>0.12</v>
      </c>
      <c r="M177" s="304"/>
      <c r="N177" s="304"/>
      <c r="O177" s="321">
        <f t="shared" si="18"/>
        <v>5.34</v>
      </c>
      <c r="P177" s="322">
        <f t="shared" si="19"/>
        <v>4.8000000000000001E-2</v>
      </c>
      <c r="Q177" s="322"/>
      <c r="R177" s="303">
        <f t="shared" si="20"/>
        <v>5.2919999999999998</v>
      </c>
      <c r="S177" s="303" t="str">
        <f t="shared" si="21"/>
        <v>-</v>
      </c>
      <c r="T177" s="303" t="str">
        <f t="shared" si="22"/>
        <v>-</v>
      </c>
      <c r="U177" s="303">
        <f t="shared" si="23"/>
        <v>63.5</v>
      </c>
      <c r="V177" s="303" t="str">
        <f t="shared" si="24"/>
        <v>-</v>
      </c>
      <c r="W177" s="303" t="str">
        <f t="shared" si="25"/>
        <v>-</v>
      </c>
      <c r="X177" s="303" t="str">
        <f t="shared" si="26"/>
        <v>-</v>
      </c>
    </row>
    <row r="178" spans="3:24">
      <c r="C178" s="277"/>
      <c r="D178" s="270" t="s">
        <v>741</v>
      </c>
      <c r="E178" s="303" t="s">
        <v>910</v>
      </c>
      <c r="F178" s="303">
        <v>12</v>
      </c>
      <c r="G178" s="303">
        <v>1</v>
      </c>
      <c r="H178" s="303">
        <v>4</v>
      </c>
      <c r="I178" s="303">
        <v>2</v>
      </c>
      <c r="J178" s="303">
        <v>0.12</v>
      </c>
      <c r="K178" s="269">
        <v>1.625</v>
      </c>
      <c r="L178" s="303"/>
      <c r="M178" s="304"/>
      <c r="N178" s="304"/>
      <c r="O178" s="321">
        <f t="shared" si="18"/>
        <v>1.7450000000000001</v>
      </c>
      <c r="P178" s="322">
        <f t="shared" si="19"/>
        <v>2.4E-2</v>
      </c>
      <c r="Q178" s="322"/>
      <c r="R178" s="303">
        <f t="shared" si="20"/>
        <v>1.7210000000000001</v>
      </c>
      <c r="S178" s="303" t="str">
        <f t="shared" si="21"/>
        <v>-</v>
      </c>
      <c r="T178" s="303" t="str">
        <f t="shared" si="22"/>
        <v>-</v>
      </c>
      <c r="U178" s="303">
        <f t="shared" si="23"/>
        <v>13.77</v>
      </c>
      <c r="V178" s="303" t="str">
        <f t="shared" si="24"/>
        <v>-</v>
      </c>
      <c r="W178" s="303" t="str">
        <f t="shared" si="25"/>
        <v>-</v>
      </c>
      <c r="X178" s="303" t="str">
        <f t="shared" si="26"/>
        <v>-</v>
      </c>
    </row>
    <row r="179" spans="3:24" s="324" customFormat="1">
      <c r="C179" s="278"/>
      <c r="D179" s="274" t="s">
        <v>742</v>
      </c>
      <c r="E179" s="323" t="s">
        <v>909</v>
      </c>
      <c r="F179" s="323">
        <v>12</v>
      </c>
      <c r="G179" s="323">
        <v>1</v>
      </c>
      <c r="H179" s="323">
        <v>12</v>
      </c>
      <c r="I179" s="323">
        <v>2</v>
      </c>
      <c r="J179" s="323"/>
      <c r="K179" s="275">
        <v>0.6</v>
      </c>
      <c r="L179" s="323"/>
      <c r="M179" s="328"/>
      <c r="N179" s="328"/>
      <c r="O179" s="325">
        <f t="shared" si="18"/>
        <v>0.6</v>
      </c>
      <c r="P179" s="326">
        <f t="shared" si="19"/>
        <v>0</v>
      </c>
      <c r="Q179" s="326"/>
      <c r="R179" s="323">
        <f t="shared" si="20"/>
        <v>0.6</v>
      </c>
      <c r="S179" s="323" t="str">
        <f t="shared" si="21"/>
        <v>-</v>
      </c>
      <c r="T179" s="323" t="str">
        <f t="shared" si="22"/>
        <v>-</v>
      </c>
      <c r="U179" s="323">
        <f t="shared" si="23"/>
        <v>14.4</v>
      </c>
      <c r="V179" s="323" t="str">
        <f t="shared" si="24"/>
        <v>-</v>
      </c>
      <c r="W179" s="323" t="str">
        <f t="shared" si="25"/>
        <v>-</v>
      </c>
      <c r="X179" s="323" t="str">
        <f t="shared" si="26"/>
        <v>-</v>
      </c>
    </row>
    <row r="180" spans="3:24">
      <c r="C180" s="277"/>
      <c r="D180" s="270" t="s">
        <v>632</v>
      </c>
      <c r="E180" s="303" t="s">
        <v>907</v>
      </c>
      <c r="F180" s="303">
        <v>8</v>
      </c>
      <c r="G180" s="303">
        <v>1</v>
      </c>
      <c r="H180" s="303">
        <v>35</v>
      </c>
      <c r="I180" s="303">
        <v>2</v>
      </c>
      <c r="J180" s="303">
        <v>0.18</v>
      </c>
      <c r="K180" s="269">
        <v>0.4</v>
      </c>
      <c r="L180" s="303">
        <v>0.18</v>
      </c>
      <c r="M180" s="303">
        <v>0.4</v>
      </c>
      <c r="N180" s="303">
        <v>0.16</v>
      </c>
      <c r="O180" s="321">
        <f t="shared" si="18"/>
        <v>1.32</v>
      </c>
      <c r="P180" s="322">
        <f t="shared" si="19"/>
        <v>0.08</v>
      </c>
      <c r="Q180" s="322"/>
      <c r="R180" s="303">
        <f t="shared" si="20"/>
        <v>1.24</v>
      </c>
      <c r="S180" s="303">
        <f t="shared" si="21"/>
        <v>86.8</v>
      </c>
      <c r="T180" s="303" t="str">
        <f t="shared" si="22"/>
        <v>-</v>
      </c>
      <c r="U180" s="303" t="str">
        <f t="shared" si="23"/>
        <v>-</v>
      </c>
      <c r="V180" s="303" t="str">
        <f t="shared" si="24"/>
        <v>-</v>
      </c>
      <c r="W180" s="303" t="str">
        <f t="shared" si="25"/>
        <v>-</v>
      </c>
      <c r="X180" s="303" t="str">
        <f t="shared" si="26"/>
        <v>-</v>
      </c>
    </row>
    <row r="181" spans="3:24">
      <c r="C181" s="277"/>
      <c r="D181" s="270"/>
      <c r="E181" s="303"/>
      <c r="F181" s="303"/>
      <c r="G181" s="303"/>
      <c r="H181" s="303"/>
      <c r="I181" s="303"/>
      <c r="J181" s="303"/>
      <c r="K181" s="269"/>
      <c r="L181" s="303"/>
      <c r="M181" s="304"/>
      <c r="N181" s="304"/>
      <c r="O181" s="321">
        <f t="shared" si="18"/>
        <v>0</v>
      </c>
      <c r="P181" s="322">
        <f t="shared" si="19"/>
        <v>0</v>
      </c>
      <c r="Q181" s="322"/>
      <c r="R181" s="303">
        <f t="shared" si="20"/>
        <v>0</v>
      </c>
      <c r="S181" s="303" t="str">
        <f t="shared" si="21"/>
        <v>-</v>
      </c>
      <c r="T181" s="303" t="str">
        <f t="shared" si="22"/>
        <v>-</v>
      </c>
      <c r="U181" s="303" t="str">
        <f t="shared" si="23"/>
        <v>-</v>
      </c>
      <c r="V181" s="303" t="str">
        <f t="shared" si="24"/>
        <v>-</v>
      </c>
      <c r="W181" s="303" t="str">
        <f t="shared" si="25"/>
        <v>-</v>
      </c>
      <c r="X181" s="303" t="str">
        <f t="shared" si="26"/>
        <v>-</v>
      </c>
    </row>
    <row r="182" spans="3:24">
      <c r="C182" s="277">
        <v>20</v>
      </c>
      <c r="D182" s="283" t="s">
        <v>743</v>
      </c>
      <c r="E182" s="303" t="s">
        <v>908</v>
      </c>
      <c r="F182" s="303">
        <v>12</v>
      </c>
      <c r="G182" s="303">
        <v>1</v>
      </c>
      <c r="H182" s="303">
        <v>6</v>
      </c>
      <c r="I182" s="303">
        <v>1</v>
      </c>
      <c r="J182" s="303">
        <v>0.12</v>
      </c>
      <c r="K182" s="269">
        <v>6.641</v>
      </c>
      <c r="L182" s="303">
        <v>0.12</v>
      </c>
      <c r="M182" s="304"/>
      <c r="N182" s="304"/>
      <c r="O182" s="321">
        <f t="shared" si="18"/>
        <v>6.8810000000000002</v>
      </c>
      <c r="P182" s="322">
        <f t="shared" si="19"/>
        <v>4.8000000000000001E-2</v>
      </c>
      <c r="Q182" s="322"/>
      <c r="R182" s="303">
        <f t="shared" si="20"/>
        <v>6.8330000000000002</v>
      </c>
      <c r="S182" s="303" t="str">
        <f t="shared" si="21"/>
        <v>-</v>
      </c>
      <c r="T182" s="303" t="str">
        <f t="shared" si="22"/>
        <v>-</v>
      </c>
      <c r="U182" s="303">
        <f t="shared" si="23"/>
        <v>41</v>
      </c>
      <c r="V182" s="303" t="str">
        <f t="shared" si="24"/>
        <v>-</v>
      </c>
      <c r="W182" s="303" t="str">
        <f t="shared" si="25"/>
        <v>-</v>
      </c>
      <c r="X182" s="303" t="str">
        <f t="shared" si="26"/>
        <v>-</v>
      </c>
    </row>
    <row r="183" spans="3:24">
      <c r="C183" s="277"/>
      <c r="D183" s="270" t="s">
        <v>744</v>
      </c>
      <c r="E183" s="303" t="s">
        <v>909</v>
      </c>
      <c r="F183" s="303">
        <v>12</v>
      </c>
      <c r="G183" s="303">
        <v>1</v>
      </c>
      <c r="H183" s="303">
        <v>3</v>
      </c>
      <c r="I183" s="303">
        <v>1</v>
      </c>
      <c r="J183" s="303"/>
      <c r="K183" s="269">
        <v>4.431</v>
      </c>
      <c r="L183" s="303"/>
      <c r="M183" s="304"/>
      <c r="N183" s="304"/>
      <c r="O183" s="321">
        <f t="shared" si="18"/>
        <v>4.431</v>
      </c>
      <c r="P183" s="322">
        <f t="shared" si="19"/>
        <v>0</v>
      </c>
      <c r="Q183" s="322"/>
      <c r="R183" s="303">
        <f t="shared" si="20"/>
        <v>4.431</v>
      </c>
      <c r="S183" s="303" t="str">
        <f t="shared" si="21"/>
        <v>-</v>
      </c>
      <c r="T183" s="303" t="str">
        <f t="shared" si="22"/>
        <v>-</v>
      </c>
      <c r="U183" s="303">
        <f t="shared" si="23"/>
        <v>13.29</v>
      </c>
      <c r="V183" s="303" t="str">
        <f t="shared" si="24"/>
        <v>-</v>
      </c>
      <c r="W183" s="303" t="str">
        <f t="shared" si="25"/>
        <v>-</v>
      </c>
      <c r="X183" s="303" t="str">
        <f t="shared" si="26"/>
        <v>-</v>
      </c>
    </row>
    <row r="184" spans="3:24">
      <c r="C184" s="277"/>
      <c r="D184" s="270" t="s">
        <v>632</v>
      </c>
      <c r="E184" s="303" t="s">
        <v>907</v>
      </c>
      <c r="F184" s="303">
        <v>8</v>
      </c>
      <c r="G184" s="303">
        <v>1</v>
      </c>
      <c r="H184" s="303">
        <v>51</v>
      </c>
      <c r="I184" s="303">
        <v>1</v>
      </c>
      <c r="J184" s="303">
        <v>0.18</v>
      </c>
      <c r="K184" s="269">
        <v>0.4</v>
      </c>
      <c r="L184" s="303">
        <v>0.18</v>
      </c>
      <c r="M184" s="303">
        <v>0.4</v>
      </c>
      <c r="N184" s="303">
        <v>0.16</v>
      </c>
      <c r="O184" s="321">
        <f t="shared" si="18"/>
        <v>1.32</v>
      </c>
      <c r="P184" s="322">
        <f t="shared" si="19"/>
        <v>0.08</v>
      </c>
      <c r="Q184" s="322"/>
      <c r="R184" s="303">
        <f t="shared" si="20"/>
        <v>1.24</v>
      </c>
      <c r="S184" s="303">
        <f t="shared" si="21"/>
        <v>63.24</v>
      </c>
      <c r="T184" s="303" t="str">
        <f t="shared" si="22"/>
        <v>-</v>
      </c>
      <c r="U184" s="303" t="str">
        <f t="shared" si="23"/>
        <v>-</v>
      </c>
      <c r="V184" s="303" t="str">
        <f t="shared" si="24"/>
        <v>-</v>
      </c>
      <c r="W184" s="303" t="str">
        <f t="shared" si="25"/>
        <v>-</v>
      </c>
      <c r="X184" s="303" t="str">
        <f t="shared" si="26"/>
        <v>-</v>
      </c>
    </row>
    <row r="185" spans="3:24">
      <c r="C185" s="277">
        <v>21</v>
      </c>
      <c r="D185" s="283" t="s">
        <v>745</v>
      </c>
      <c r="E185" s="303" t="s">
        <v>908</v>
      </c>
      <c r="F185" s="303">
        <v>12</v>
      </c>
      <c r="G185" s="303">
        <v>1</v>
      </c>
      <c r="H185" s="303">
        <v>6</v>
      </c>
      <c r="I185" s="303">
        <v>1</v>
      </c>
      <c r="J185" s="303">
        <v>0.12</v>
      </c>
      <c r="K185" s="269">
        <v>42</v>
      </c>
      <c r="L185" s="303">
        <v>0.12</v>
      </c>
      <c r="M185" s="304"/>
      <c r="N185" s="304"/>
      <c r="O185" s="321">
        <f t="shared" si="18"/>
        <v>42.239999999999995</v>
      </c>
      <c r="P185" s="322">
        <f t="shared" si="19"/>
        <v>4.8000000000000001E-2</v>
      </c>
      <c r="Q185" s="322"/>
      <c r="R185" s="303">
        <f t="shared" si="20"/>
        <v>42.191999999999993</v>
      </c>
      <c r="S185" s="303" t="str">
        <f t="shared" si="21"/>
        <v>-</v>
      </c>
      <c r="T185" s="303" t="str">
        <f t="shared" si="22"/>
        <v>-</v>
      </c>
      <c r="U185" s="303">
        <f t="shared" si="23"/>
        <v>253.15</v>
      </c>
      <c r="V185" s="303" t="str">
        <f t="shared" si="24"/>
        <v>-</v>
      </c>
      <c r="W185" s="303" t="str">
        <f t="shared" si="25"/>
        <v>-</v>
      </c>
      <c r="X185" s="303" t="str">
        <f t="shared" si="26"/>
        <v>-</v>
      </c>
    </row>
    <row r="186" spans="3:24">
      <c r="C186" s="277"/>
      <c r="D186" s="270" t="s">
        <v>746</v>
      </c>
      <c r="E186" s="303" t="s">
        <v>910</v>
      </c>
      <c r="F186" s="303">
        <v>12</v>
      </c>
      <c r="G186" s="303">
        <v>1</v>
      </c>
      <c r="H186" s="303">
        <v>3</v>
      </c>
      <c r="I186" s="303">
        <v>1</v>
      </c>
      <c r="J186" s="303">
        <v>0.12</v>
      </c>
      <c r="K186" s="269">
        <v>1.4750000000000001</v>
      </c>
      <c r="L186" s="303"/>
      <c r="M186" s="304"/>
      <c r="N186" s="304"/>
      <c r="O186" s="321">
        <f t="shared" si="18"/>
        <v>1.5950000000000002</v>
      </c>
      <c r="P186" s="322">
        <f t="shared" si="19"/>
        <v>2.4E-2</v>
      </c>
      <c r="Q186" s="322"/>
      <c r="R186" s="303">
        <f t="shared" si="20"/>
        <v>1.5710000000000002</v>
      </c>
      <c r="S186" s="303" t="str">
        <f t="shared" si="21"/>
        <v>-</v>
      </c>
      <c r="T186" s="303" t="str">
        <f t="shared" si="22"/>
        <v>-</v>
      </c>
      <c r="U186" s="303">
        <f t="shared" si="23"/>
        <v>4.71</v>
      </c>
      <c r="V186" s="303" t="str">
        <f t="shared" si="24"/>
        <v>-</v>
      </c>
      <c r="W186" s="303" t="str">
        <f t="shared" si="25"/>
        <v>-</v>
      </c>
      <c r="X186" s="303" t="str">
        <f t="shared" si="26"/>
        <v>-</v>
      </c>
    </row>
    <row r="187" spans="3:24">
      <c r="C187" s="277"/>
      <c r="D187" s="270" t="s">
        <v>718</v>
      </c>
      <c r="E187" s="303" t="s">
        <v>909</v>
      </c>
      <c r="F187" s="303">
        <v>12</v>
      </c>
      <c r="G187" s="303">
        <v>1</v>
      </c>
      <c r="H187" s="303">
        <v>2</v>
      </c>
      <c r="I187" s="303">
        <v>1</v>
      </c>
      <c r="J187" s="303"/>
      <c r="K187" s="269">
        <v>2.5</v>
      </c>
      <c r="L187" s="303"/>
      <c r="M187" s="304"/>
      <c r="N187" s="304"/>
      <c r="O187" s="321">
        <f t="shared" si="18"/>
        <v>2.5</v>
      </c>
      <c r="P187" s="322">
        <f t="shared" si="19"/>
        <v>0</v>
      </c>
      <c r="Q187" s="322"/>
      <c r="R187" s="303">
        <f t="shared" si="20"/>
        <v>2.5</v>
      </c>
      <c r="S187" s="303" t="str">
        <f t="shared" si="21"/>
        <v>-</v>
      </c>
      <c r="T187" s="303" t="str">
        <f t="shared" si="22"/>
        <v>-</v>
      </c>
      <c r="U187" s="303">
        <f t="shared" si="23"/>
        <v>5</v>
      </c>
      <c r="V187" s="303" t="str">
        <f t="shared" si="24"/>
        <v>-</v>
      </c>
      <c r="W187" s="303" t="str">
        <f t="shared" si="25"/>
        <v>-</v>
      </c>
      <c r="X187" s="303" t="str">
        <f t="shared" si="26"/>
        <v>-</v>
      </c>
    </row>
    <row r="188" spans="3:24">
      <c r="C188" s="277"/>
      <c r="D188" s="270" t="s">
        <v>718</v>
      </c>
      <c r="E188" s="303" t="s">
        <v>909</v>
      </c>
      <c r="F188" s="303">
        <v>12</v>
      </c>
      <c r="G188" s="303">
        <v>1</v>
      </c>
      <c r="H188" s="303">
        <v>1</v>
      </c>
      <c r="I188" s="303">
        <v>1</v>
      </c>
      <c r="J188" s="303"/>
      <c r="K188" s="269">
        <v>3</v>
      </c>
      <c r="L188" s="303"/>
      <c r="M188" s="304"/>
      <c r="N188" s="304"/>
      <c r="O188" s="321">
        <f t="shared" si="18"/>
        <v>3</v>
      </c>
      <c r="P188" s="322">
        <f t="shared" si="19"/>
        <v>0</v>
      </c>
      <c r="Q188" s="322"/>
      <c r="R188" s="303">
        <f t="shared" si="20"/>
        <v>3</v>
      </c>
      <c r="S188" s="303" t="str">
        <f t="shared" si="21"/>
        <v>-</v>
      </c>
      <c r="T188" s="303" t="str">
        <f t="shared" si="22"/>
        <v>-</v>
      </c>
      <c r="U188" s="303">
        <f t="shared" si="23"/>
        <v>3</v>
      </c>
      <c r="V188" s="303" t="str">
        <f t="shared" si="24"/>
        <v>-</v>
      </c>
      <c r="W188" s="303" t="str">
        <f t="shared" si="25"/>
        <v>-</v>
      </c>
      <c r="X188" s="303" t="str">
        <f t="shared" si="26"/>
        <v>-</v>
      </c>
    </row>
    <row r="189" spans="3:24">
      <c r="C189" s="277"/>
      <c r="D189" s="270" t="s">
        <v>732</v>
      </c>
      <c r="E189" s="303" t="s">
        <v>909</v>
      </c>
      <c r="F189" s="303">
        <v>12</v>
      </c>
      <c r="G189" s="303">
        <v>1</v>
      </c>
      <c r="H189" s="303">
        <v>2</v>
      </c>
      <c r="I189" s="303">
        <v>1</v>
      </c>
      <c r="J189" s="303"/>
      <c r="K189" s="269">
        <v>2.4</v>
      </c>
      <c r="L189" s="303"/>
      <c r="M189" s="304"/>
      <c r="N189" s="304"/>
      <c r="O189" s="321">
        <f t="shared" si="18"/>
        <v>2.4</v>
      </c>
      <c r="P189" s="322">
        <f t="shared" si="19"/>
        <v>0</v>
      </c>
      <c r="Q189" s="322"/>
      <c r="R189" s="303">
        <f t="shared" si="20"/>
        <v>2.4</v>
      </c>
      <c r="S189" s="303" t="str">
        <f t="shared" si="21"/>
        <v>-</v>
      </c>
      <c r="T189" s="303" t="str">
        <f t="shared" si="22"/>
        <v>-</v>
      </c>
      <c r="U189" s="303">
        <f t="shared" si="23"/>
        <v>4.8</v>
      </c>
      <c r="V189" s="303" t="str">
        <f t="shared" si="24"/>
        <v>-</v>
      </c>
      <c r="W189" s="303" t="str">
        <f t="shared" si="25"/>
        <v>-</v>
      </c>
      <c r="X189" s="303" t="str">
        <f t="shared" si="26"/>
        <v>-</v>
      </c>
    </row>
    <row r="190" spans="3:24">
      <c r="C190" s="277"/>
      <c r="D190" s="270" t="s">
        <v>732</v>
      </c>
      <c r="E190" s="303" t="s">
        <v>909</v>
      </c>
      <c r="F190" s="303">
        <v>12</v>
      </c>
      <c r="G190" s="303">
        <v>1</v>
      </c>
      <c r="H190" s="303">
        <v>1</v>
      </c>
      <c r="I190" s="303">
        <v>1</v>
      </c>
      <c r="J190" s="303"/>
      <c r="K190" s="269">
        <v>3.5</v>
      </c>
      <c r="L190" s="303"/>
      <c r="M190" s="304"/>
      <c r="N190" s="304"/>
      <c r="O190" s="321">
        <f t="shared" si="18"/>
        <v>3.5</v>
      </c>
      <c r="P190" s="322">
        <f t="shared" si="19"/>
        <v>0</v>
      </c>
      <c r="Q190" s="322"/>
      <c r="R190" s="303">
        <f t="shared" si="20"/>
        <v>3.5</v>
      </c>
      <c r="S190" s="303" t="str">
        <f t="shared" si="21"/>
        <v>-</v>
      </c>
      <c r="T190" s="303" t="str">
        <f t="shared" si="22"/>
        <v>-</v>
      </c>
      <c r="U190" s="303">
        <f t="shared" si="23"/>
        <v>3.5</v>
      </c>
      <c r="V190" s="303" t="str">
        <f t="shared" si="24"/>
        <v>-</v>
      </c>
      <c r="W190" s="303" t="str">
        <f t="shared" si="25"/>
        <v>-</v>
      </c>
      <c r="X190" s="303" t="str">
        <f t="shared" si="26"/>
        <v>-</v>
      </c>
    </row>
    <row r="191" spans="3:24">
      <c r="C191" s="277"/>
      <c r="D191" s="270" t="s">
        <v>747</v>
      </c>
      <c r="E191" s="303" t="s">
        <v>909</v>
      </c>
      <c r="F191" s="303">
        <v>12</v>
      </c>
      <c r="G191" s="303">
        <v>1</v>
      </c>
      <c r="H191" s="303">
        <v>2</v>
      </c>
      <c r="I191" s="303">
        <v>1</v>
      </c>
      <c r="J191" s="303"/>
      <c r="K191" s="269">
        <v>2.4</v>
      </c>
      <c r="L191" s="303"/>
      <c r="M191" s="304"/>
      <c r="N191" s="304"/>
      <c r="O191" s="321">
        <f t="shared" si="18"/>
        <v>2.4</v>
      </c>
      <c r="P191" s="322">
        <f t="shared" si="19"/>
        <v>0</v>
      </c>
      <c r="Q191" s="322"/>
      <c r="R191" s="303">
        <f t="shared" si="20"/>
        <v>2.4</v>
      </c>
      <c r="S191" s="303" t="str">
        <f t="shared" si="21"/>
        <v>-</v>
      </c>
      <c r="T191" s="303" t="str">
        <f t="shared" si="22"/>
        <v>-</v>
      </c>
      <c r="U191" s="303">
        <f t="shared" si="23"/>
        <v>4.8</v>
      </c>
      <c r="V191" s="303" t="str">
        <f t="shared" si="24"/>
        <v>-</v>
      </c>
      <c r="W191" s="303" t="str">
        <f t="shared" si="25"/>
        <v>-</v>
      </c>
      <c r="X191" s="303" t="str">
        <f t="shared" si="26"/>
        <v>-</v>
      </c>
    </row>
    <row r="192" spans="3:24">
      <c r="C192" s="277"/>
      <c r="D192" s="270" t="s">
        <v>734</v>
      </c>
      <c r="E192" s="303" t="s">
        <v>909</v>
      </c>
      <c r="F192" s="303">
        <v>12</v>
      </c>
      <c r="G192" s="303">
        <v>1</v>
      </c>
      <c r="H192" s="303">
        <v>1</v>
      </c>
      <c r="I192" s="303">
        <v>1</v>
      </c>
      <c r="J192" s="303"/>
      <c r="K192" s="269">
        <v>3.6</v>
      </c>
      <c r="L192" s="303"/>
      <c r="M192" s="304"/>
      <c r="N192" s="304"/>
      <c r="O192" s="321">
        <f t="shared" si="18"/>
        <v>3.6</v>
      </c>
      <c r="P192" s="322">
        <f t="shared" si="19"/>
        <v>0</v>
      </c>
      <c r="Q192" s="322"/>
      <c r="R192" s="303">
        <f t="shared" si="20"/>
        <v>3.6</v>
      </c>
      <c r="S192" s="303" t="str">
        <f t="shared" si="21"/>
        <v>-</v>
      </c>
      <c r="T192" s="303" t="str">
        <f t="shared" si="22"/>
        <v>-</v>
      </c>
      <c r="U192" s="303">
        <f t="shared" si="23"/>
        <v>3.6</v>
      </c>
      <c r="V192" s="303" t="str">
        <f t="shared" si="24"/>
        <v>-</v>
      </c>
      <c r="W192" s="303" t="str">
        <f t="shared" si="25"/>
        <v>-</v>
      </c>
      <c r="X192" s="303" t="str">
        <f t="shared" si="26"/>
        <v>-</v>
      </c>
    </row>
    <row r="193" spans="3:24">
      <c r="C193" s="277"/>
      <c r="D193" s="270" t="s">
        <v>748</v>
      </c>
      <c r="E193" s="303" t="s">
        <v>909</v>
      </c>
      <c r="F193" s="303">
        <v>16</v>
      </c>
      <c r="G193" s="303">
        <v>1</v>
      </c>
      <c r="H193" s="303">
        <v>2</v>
      </c>
      <c r="I193" s="303">
        <v>1</v>
      </c>
      <c r="J193" s="303"/>
      <c r="K193" s="269">
        <v>2.5150000000000001</v>
      </c>
      <c r="L193" s="303"/>
      <c r="M193" s="304"/>
      <c r="N193" s="304"/>
      <c r="O193" s="321">
        <f t="shared" si="18"/>
        <v>2.5150000000000001</v>
      </c>
      <c r="P193" s="322">
        <f t="shared" si="19"/>
        <v>0</v>
      </c>
      <c r="Q193" s="322"/>
      <c r="R193" s="303">
        <f t="shared" si="20"/>
        <v>2.5150000000000001</v>
      </c>
      <c r="S193" s="303" t="str">
        <f t="shared" si="21"/>
        <v>-</v>
      </c>
      <c r="T193" s="303" t="str">
        <f t="shared" si="22"/>
        <v>-</v>
      </c>
      <c r="U193" s="303" t="str">
        <f t="shared" si="23"/>
        <v>-</v>
      </c>
      <c r="V193" s="303">
        <f t="shared" si="24"/>
        <v>5.03</v>
      </c>
      <c r="W193" s="303" t="str">
        <f t="shared" si="25"/>
        <v>-</v>
      </c>
      <c r="X193" s="303" t="str">
        <f t="shared" si="26"/>
        <v>-</v>
      </c>
    </row>
    <row r="194" spans="3:24">
      <c r="C194" s="277"/>
      <c r="D194" s="270" t="s">
        <v>748</v>
      </c>
      <c r="E194" s="303" t="s">
        <v>909</v>
      </c>
      <c r="F194" s="303">
        <v>16</v>
      </c>
      <c r="G194" s="303">
        <v>1</v>
      </c>
      <c r="H194" s="303">
        <v>1</v>
      </c>
      <c r="I194" s="303">
        <v>1</v>
      </c>
      <c r="J194" s="303"/>
      <c r="K194" s="269">
        <v>3.7149999999999999</v>
      </c>
      <c r="L194" s="303"/>
      <c r="M194" s="304"/>
      <c r="N194" s="304"/>
      <c r="O194" s="321">
        <f t="shared" si="18"/>
        <v>3.7149999999999999</v>
      </c>
      <c r="P194" s="322">
        <f t="shared" si="19"/>
        <v>0</v>
      </c>
      <c r="Q194" s="322"/>
      <c r="R194" s="303">
        <f t="shared" si="20"/>
        <v>3.7149999999999999</v>
      </c>
      <c r="S194" s="303" t="str">
        <f t="shared" si="21"/>
        <v>-</v>
      </c>
      <c r="T194" s="303" t="str">
        <f t="shared" si="22"/>
        <v>-</v>
      </c>
      <c r="U194" s="303" t="str">
        <f t="shared" si="23"/>
        <v>-</v>
      </c>
      <c r="V194" s="303">
        <f t="shared" si="24"/>
        <v>3.72</v>
      </c>
      <c r="W194" s="303" t="str">
        <f t="shared" si="25"/>
        <v>-</v>
      </c>
      <c r="X194" s="303" t="str">
        <f t="shared" si="26"/>
        <v>-</v>
      </c>
    </row>
    <row r="195" spans="3:24">
      <c r="C195" s="277"/>
      <c r="D195" s="270" t="s">
        <v>749</v>
      </c>
      <c r="E195" s="303" t="s">
        <v>909</v>
      </c>
      <c r="F195" s="303">
        <v>16</v>
      </c>
      <c r="G195" s="303">
        <v>1</v>
      </c>
      <c r="H195" s="303">
        <v>2</v>
      </c>
      <c r="I195" s="303">
        <v>1</v>
      </c>
      <c r="J195" s="303"/>
      <c r="K195" s="269">
        <v>2.8</v>
      </c>
      <c r="L195" s="303"/>
      <c r="M195" s="304"/>
      <c r="N195" s="304"/>
      <c r="O195" s="321">
        <f t="shared" si="18"/>
        <v>2.8</v>
      </c>
      <c r="P195" s="322">
        <f t="shared" si="19"/>
        <v>0</v>
      </c>
      <c r="Q195" s="322"/>
      <c r="R195" s="303">
        <f t="shared" si="20"/>
        <v>2.8</v>
      </c>
      <c r="S195" s="303" t="str">
        <f t="shared" si="21"/>
        <v>-</v>
      </c>
      <c r="T195" s="303" t="str">
        <f t="shared" si="22"/>
        <v>-</v>
      </c>
      <c r="U195" s="303" t="str">
        <f t="shared" si="23"/>
        <v>-</v>
      </c>
      <c r="V195" s="303">
        <f t="shared" si="24"/>
        <v>5.6</v>
      </c>
      <c r="W195" s="303" t="str">
        <f t="shared" si="25"/>
        <v>-</v>
      </c>
      <c r="X195" s="303" t="str">
        <f t="shared" si="26"/>
        <v>-</v>
      </c>
    </row>
    <row r="196" spans="3:24">
      <c r="C196" s="277"/>
      <c r="D196" s="270" t="s">
        <v>749</v>
      </c>
      <c r="E196" s="303" t="s">
        <v>909</v>
      </c>
      <c r="F196" s="303">
        <v>16</v>
      </c>
      <c r="G196" s="303">
        <v>1</v>
      </c>
      <c r="H196" s="303">
        <v>1</v>
      </c>
      <c r="I196" s="303">
        <v>1</v>
      </c>
      <c r="J196" s="303"/>
      <c r="K196" s="269">
        <v>3.9</v>
      </c>
      <c r="L196" s="303"/>
      <c r="M196" s="304"/>
      <c r="N196" s="304"/>
      <c r="O196" s="321">
        <f t="shared" si="18"/>
        <v>3.9</v>
      </c>
      <c r="P196" s="322">
        <f t="shared" si="19"/>
        <v>0</v>
      </c>
      <c r="Q196" s="322"/>
      <c r="R196" s="303">
        <f t="shared" si="20"/>
        <v>3.9</v>
      </c>
      <c r="S196" s="303" t="str">
        <f t="shared" si="21"/>
        <v>-</v>
      </c>
      <c r="T196" s="303" t="str">
        <f t="shared" si="22"/>
        <v>-</v>
      </c>
      <c r="U196" s="303" t="str">
        <f t="shared" si="23"/>
        <v>-</v>
      </c>
      <c r="V196" s="303">
        <f t="shared" si="24"/>
        <v>3.9</v>
      </c>
      <c r="W196" s="303" t="str">
        <f t="shared" si="25"/>
        <v>-</v>
      </c>
      <c r="X196" s="303" t="str">
        <f t="shared" si="26"/>
        <v>-</v>
      </c>
    </row>
    <row r="197" spans="3:24">
      <c r="C197" s="277"/>
      <c r="D197" s="270" t="s">
        <v>711</v>
      </c>
      <c r="E197" s="303" t="s">
        <v>909</v>
      </c>
      <c r="F197" s="303">
        <v>12</v>
      </c>
      <c r="G197" s="303">
        <v>1</v>
      </c>
      <c r="H197" s="303">
        <v>2</v>
      </c>
      <c r="I197" s="303">
        <v>1</v>
      </c>
      <c r="J197" s="303"/>
      <c r="K197" s="269">
        <v>2.8</v>
      </c>
      <c r="L197" s="303"/>
      <c r="M197" s="304"/>
      <c r="N197" s="304"/>
      <c r="O197" s="321">
        <f t="shared" si="18"/>
        <v>2.8</v>
      </c>
      <c r="P197" s="322">
        <f t="shared" si="19"/>
        <v>0</v>
      </c>
      <c r="Q197" s="322"/>
      <c r="R197" s="303">
        <f t="shared" si="20"/>
        <v>2.8</v>
      </c>
      <c r="S197" s="303" t="str">
        <f t="shared" si="21"/>
        <v>-</v>
      </c>
      <c r="T197" s="303" t="str">
        <f t="shared" si="22"/>
        <v>-</v>
      </c>
      <c r="U197" s="303">
        <f t="shared" si="23"/>
        <v>5.6</v>
      </c>
      <c r="V197" s="303" t="str">
        <f t="shared" si="24"/>
        <v>-</v>
      </c>
      <c r="W197" s="303" t="str">
        <f t="shared" si="25"/>
        <v>-</v>
      </c>
      <c r="X197" s="303" t="str">
        <f t="shared" si="26"/>
        <v>-</v>
      </c>
    </row>
    <row r="198" spans="3:24" s="331" customFormat="1">
      <c r="C198" s="277"/>
      <c r="D198" s="270" t="s">
        <v>750</v>
      </c>
      <c r="E198" s="329" t="s">
        <v>909</v>
      </c>
      <c r="F198" s="329">
        <v>12</v>
      </c>
      <c r="G198" s="329">
        <v>1</v>
      </c>
      <c r="H198" s="329">
        <v>1</v>
      </c>
      <c r="I198" s="329">
        <v>1</v>
      </c>
      <c r="J198" s="329"/>
      <c r="K198" s="269">
        <v>3.3</v>
      </c>
      <c r="L198" s="329"/>
      <c r="M198" s="330"/>
      <c r="N198" s="330"/>
      <c r="O198" s="321">
        <f t="shared" ref="O198:O261" si="27">J198+K198+L198+M198+N198</f>
        <v>3.3</v>
      </c>
      <c r="P198" s="322">
        <f t="shared" ref="P198:P261" si="28">IF(E198="Ring",F198*2*5,IF(E198="U Shape",F198*2*2,IF(E198="L Shape",F198*2*1,IF(E198="Streight",F198*2*0,IF(E198="Trianguler",F198*2*4,IF(E198="Z Shape",F198*2*2))))))/1000</f>
        <v>0</v>
      </c>
      <c r="Q198" s="322"/>
      <c r="R198" s="303">
        <f t="shared" ref="R198:R261" si="29">O198-P198</f>
        <v>3.3</v>
      </c>
      <c r="S198" s="303" t="str">
        <f t="shared" ref="S198:S261" si="30">IF(F198=8,ROUND(PRODUCT(G198:I198,R198),2),"-")</f>
        <v>-</v>
      </c>
      <c r="T198" s="303" t="str">
        <f t="shared" ref="T198:T261" si="31">IF(F198=10,ROUND(PRODUCT(G198:I198,R198),2),"-")</f>
        <v>-</v>
      </c>
      <c r="U198" s="303">
        <f t="shared" ref="U198:U261" si="32">IF(F198=12,ROUND(PRODUCT(G198:I198,R198),2),"-")</f>
        <v>3.3</v>
      </c>
      <c r="V198" s="303" t="str">
        <f t="shared" ref="V198:V261" si="33">IF(F198=16,ROUND(PRODUCT(G198:I198,R198),2),"-")</f>
        <v>-</v>
      </c>
      <c r="W198" s="303" t="str">
        <f t="shared" ref="W198:W261" si="34">IF(F198=20,ROUND(PRODUCT(G198:I198,R198),2),"-")</f>
        <v>-</v>
      </c>
      <c r="X198" s="303" t="str">
        <f t="shared" ref="X198:X261" si="35">IF(F198=25,ROUND(PRODUCT(G198:I198,R198),2),"-")</f>
        <v>-</v>
      </c>
    </row>
    <row r="199" spans="3:24">
      <c r="C199" s="277"/>
      <c r="D199" s="270" t="s">
        <v>751</v>
      </c>
      <c r="E199" s="303" t="s">
        <v>910</v>
      </c>
      <c r="F199" s="303">
        <v>12</v>
      </c>
      <c r="G199" s="303">
        <v>1</v>
      </c>
      <c r="H199" s="303">
        <v>2</v>
      </c>
      <c r="I199" s="303">
        <v>1</v>
      </c>
      <c r="J199" s="303">
        <v>0.12</v>
      </c>
      <c r="K199" s="269">
        <v>1.4750000000000001</v>
      </c>
      <c r="L199" s="303"/>
      <c r="M199" s="304"/>
      <c r="N199" s="304"/>
      <c r="O199" s="321">
        <f t="shared" si="27"/>
        <v>1.5950000000000002</v>
      </c>
      <c r="P199" s="322">
        <f t="shared" si="28"/>
        <v>2.4E-2</v>
      </c>
      <c r="Q199" s="322"/>
      <c r="R199" s="303">
        <f t="shared" si="29"/>
        <v>1.5710000000000002</v>
      </c>
      <c r="S199" s="303" t="str">
        <f t="shared" si="30"/>
        <v>-</v>
      </c>
      <c r="T199" s="303" t="str">
        <f t="shared" si="31"/>
        <v>-</v>
      </c>
      <c r="U199" s="303">
        <f t="shared" si="32"/>
        <v>3.14</v>
      </c>
      <c r="V199" s="303" t="str">
        <f t="shared" si="33"/>
        <v>-</v>
      </c>
      <c r="W199" s="303" t="str">
        <f t="shared" si="34"/>
        <v>-</v>
      </c>
      <c r="X199" s="303" t="str">
        <f t="shared" si="35"/>
        <v>-</v>
      </c>
    </row>
    <row r="200" spans="3:24">
      <c r="C200" s="277"/>
      <c r="D200" s="270" t="s">
        <v>752</v>
      </c>
      <c r="E200" s="303" t="s">
        <v>909</v>
      </c>
      <c r="F200" s="303">
        <v>12</v>
      </c>
      <c r="G200" s="303">
        <v>1</v>
      </c>
      <c r="H200" s="303">
        <v>2</v>
      </c>
      <c r="I200" s="303">
        <v>1</v>
      </c>
      <c r="J200" s="303"/>
      <c r="K200" s="269">
        <v>3.1749999999999998</v>
      </c>
      <c r="L200" s="303"/>
      <c r="M200" s="304"/>
      <c r="N200" s="304"/>
      <c r="O200" s="321">
        <f t="shared" si="27"/>
        <v>3.1749999999999998</v>
      </c>
      <c r="P200" s="322">
        <f t="shared" si="28"/>
        <v>0</v>
      </c>
      <c r="Q200" s="322"/>
      <c r="R200" s="303">
        <f t="shared" si="29"/>
        <v>3.1749999999999998</v>
      </c>
      <c r="S200" s="303" t="str">
        <f t="shared" si="30"/>
        <v>-</v>
      </c>
      <c r="T200" s="303" t="str">
        <f t="shared" si="31"/>
        <v>-</v>
      </c>
      <c r="U200" s="303">
        <f t="shared" si="32"/>
        <v>6.35</v>
      </c>
      <c r="V200" s="303" t="str">
        <f t="shared" si="33"/>
        <v>-</v>
      </c>
      <c r="W200" s="303" t="str">
        <f t="shared" si="34"/>
        <v>-</v>
      </c>
      <c r="X200" s="303" t="str">
        <f t="shared" si="35"/>
        <v>-</v>
      </c>
    </row>
    <row r="201" spans="3:24">
      <c r="C201" s="277"/>
      <c r="D201" s="270" t="s">
        <v>753</v>
      </c>
      <c r="E201" s="303" t="s">
        <v>909</v>
      </c>
      <c r="F201" s="303">
        <v>12</v>
      </c>
      <c r="G201" s="303">
        <v>1</v>
      </c>
      <c r="H201" s="303">
        <v>3</v>
      </c>
      <c r="I201" s="303">
        <v>1</v>
      </c>
      <c r="J201" s="303"/>
      <c r="K201" s="269">
        <v>4.2649999999999997</v>
      </c>
      <c r="L201" s="303"/>
      <c r="M201" s="304"/>
      <c r="N201" s="304"/>
      <c r="O201" s="321">
        <f t="shared" si="27"/>
        <v>4.2649999999999997</v>
      </c>
      <c r="P201" s="322">
        <f t="shared" si="28"/>
        <v>0</v>
      </c>
      <c r="Q201" s="322"/>
      <c r="R201" s="303">
        <f t="shared" si="29"/>
        <v>4.2649999999999997</v>
      </c>
      <c r="S201" s="303" t="str">
        <f t="shared" si="30"/>
        <v>-</v>
      </c>
      <c r="T201" s="303" t="str">
        <f t="shared" si="31"/>
        <v>-</v>
      </c>
      <c r="U201" s="303">
        <f t="shared" si="32"/>
        <v>12.8</v>
      </c>
      <c r="V201" s="303" t="str">
        <f t="shared" si="33"/>
        <v>-</v>
      </c>
      <c r="W201" s="303" t="str">
        <f t="shared" si="34"/>
        <v>-</v>
      </c>
      <c r="X201" s="303" t="str">
        <f t="shared" si="35"/>
        <v>-</v>
      </c>
    </row>
    <row r="202" spans="3:24">
      <c r="C202" s="277"/>
      <c r="D202" s="270" t="s">
        <v>754</v>
      </c>
      <c r="E202" s="303" t="s">
        <v>909</v>
      </c>
      <c r="F202" s="303">
        <v>12</v>
      </c>
      <c r="G202" s="303">
        <v>1</v>
      </c>
      <c r="H202" s="303">
        <v>3</v>
      </c>
      <c r="I202" s="303">
        <v>1</v>
      </c>
      <c r="J202" s="303"/>
      <c r="K202" s="269">
        <v>4.25</v>
      </c>
      <c r="L202" s="303"/>
      <c r="M202" s="304"/>
      <c r="N202" s="304"/>
      <c r="O202" s="321">
        <f t="shared" si="27"/>
        <v>4.25</v>
      </c>
      <c r="P202" s="322">
        <f t="shared" si="28"/>
        <v>0</v>
      </c>
      <c r="Q202" s="322"/>
      <c r="R202" s="303">
        <f t="shared" si="29"/>
        <v>4.25</v>
      </c>
      <c r="S202" s="303" t="str">
        <f t="shared" si="30"/>
        <v>-</v>
      </c>
      <c r="T202" s="303" t="str">
        <f t="shared" si="31"/>
        <v>-</v>
      </c>
      <c r="U202" s="303">
        <f t="shared" si="32"/>
        <v>12.75</v>
      </c>
      <c r="V202" s="303" t="str">
        <f t="shared" si="33"/>
        <v>-</v>
      </c>
      <c r="W202" s="303" t="str">
        <f t="shared" si="34"/>
        <v>-</v>
      </c>
      <c r="X202" s="303" t="str">
        <f t="shared" si="35"/>
        <v>-</v>
      </c>
    </row>
    <row r="203" spans="3:24">
      <c r="C203" s="277"/>
      <c r="D203" s="270" t="s">
        <v>755</v>
      </c>
      <c r="E203" s="303" t="s">
        <v>909</v>
      </c>
      <c r="F203" s="303">
        <v>12</v>
      </c>
      <c r="G203" s="303">
        <v>1</v>
      </c>
      <c r="H203" s="303">
        <v>2</v>
      </c>
      <c r="I203" s="303">
        <v>1</v>
      </c>
      <c r="J203" s="303"/>
      <c r="K203" s="269">
        <v>4.3</v>
      </c>
      <c r="L203" s="303"/>
      <c r="M203" s="304"/>
      <c r="N203" s="304"/>
      <c r="O203" s="321">
        <f t="shared" si="27"/>
        <v>4.3</v>
      </c>
      <c r="P203" s="322">
        <f t="shared" si="28"/>
        <v>0</v>
      </c>
      <c r="Q203" s="322"/>
      <c r="R203" s="303">
        <f t="shared" si="29"/>
        <v>4.3</v>
      </c>
      <c r="S203" s="303" t="str">
        <f t="shared" si="30"/>
        <v>-</v>
      </c>
      <c r="T203" s="303" t="str">
        <f t="shared" si="31"/>
        <v>-</v>
      </c>
      <c r="U203" s="303">
        <f t="shared" si="32"/>
        <v>8.6</v>
      </c>
      <c r="V203" s="303" t="str">
        <f t="shared" si="33"/>
        <v>-</v>
      </c>
      <c r="W203" s="303" t="str">
        <f t="shared" si="34"/>
        <v>-</v>
      </c>
      <c r="X203" s="303" t="str">
        <f t="shared" si="35"/>
        <v>-</v>
      </c>
    </row>
    <row r="204" spans="3:24">
      <c r="C204" s="277"/>
      <c r="D204" s="270" t="s">
        <v>756</v>
      </c>
      <c r="E204" s="303" t="s">
        <v>909</v>
      </c>
      <c r="F204" s="303">
        <v>16</v>
      </c>
      <c r="G204" s="303">
        <v>1</v>
      </c>
      <c r="H204" s="303">
        <v>3</v>
      </c>
      <c r="I204" s="303">
        <v>1</v>
      </c>
      <c r="J204" s="303"/>
      <c r="K204" s="269">
        <v>5.45</v>
      </c>
      <c r="L204" s="303"/>
      <c r="M204" s="304"/>
      <c r="N204" s="304"/>
      <c r="O204" s="321">
        <f t="shared" si="27"/>
        <v>5.45</v>
      </c>
      <c r="P204" s="322">
        <f t="shared" si="28"/>
        <v>0</v>
      </c>
      <c r="Q204" s="322"/>
      <c r="R204" s="303">
        <f t="shared" si="29"/>
        <v>5.45</v>
      </c>
      <c r="S204" s="303" t="str">
        <f t="shared" si="30"/>
        <v>-</v>
      </c>
      <c r="T204" s="303" t="str">
        <f t="shared" si="31"/>
        <v>-</v>
      </c>
      <c r="U204" s="303" t="str">
        <f t="shared" si="32"/>
        <v>-</v>
      </c>
      <c r="V204" s="303">
        <f t="shared" si="33"/>
        <v>16.350000000000001</v>
      </c>
      <c r="W204" s="303" t="str">
        <f t="shared" si="34"/>
        <v>-</v>
      </c>
      <c r="X204" s="303" t="str">
        <f t="shared" si="35"/>
        <v>-</v>
      </c>
    </row>
    <row r="205" spans="3:24">
      <c r="C205" s="277"/>
      <c r="D205" s="270" t="s">
        <v>757</v>
      </c>
      <c r="E205" s="303" t="s">
        <v>909</v>
      </c>
      <c r="F205" s="303">
        <v>16</v>
      </c>
      <c r="G205" s="303">
        <v>1</v>
      </c>
      <c r="H205" s="303">
        <v>3</v>
      </c>
      <c r="I205" s="303">
        <v>1</v>
      </c>
      <c r="J205" s="303"/>
      <c r="K205" s="269">
        <v>5.45</v>
      </c>
      <c r="L205" s="303"/>
      <c r="M205" s="304"/>
      <c r="N205" s="304"/>
      <c r="O205" s="321">
        <f t="shared" si="27"/>
        <v>5.45</v>
      </c>
      <c r="P205" s="322">
        <f t="shared" si="28"/>
        <v>0</v>
      </c>
      <c r="Q205" s="322"/>
      <c r="R205" s="303">
        <f t="shared" si="29"/>
        <v>5.45</v>
      </c>
      <c r="S205" s="303" t="str">
        <f t="shared" si="30"/>
        <v>-</v>
      </c>
      <c r="T205" s="303" t="str">
        <f t="shared" si="31"/>
        <v>-</v>
      </c>
      <c r="U205" s="303" t="str">
        <f t="shared" si="32"/>
        <v>-</v>
      </c>
      <c r="V205" s="303">
        <f t="shared" si="33"/>
        <v>16.350000000000001</v>
      </c>
      <c r="W205" s="303" t="str">
        <f t="shared" si="34"/>
        <v>-</v>
      </c>
      <c r="X205" s="303" t="str">
        <f t="shared" si="35"/>
        <v>-</v>
      </c>
    </row>
    <row r="206" spans="3:24">
      <c r="C206" s="277"/>
      <c r="D206" s="270" t="s">
        <v>758</v>
      </c>
      <c r="E206" s="303" t="s">
        <v>909</v>
      </c>
      <c r="F206" s="303">
        <v>12</v>
      </c>
      <c r="G206" s="303">
        <v>1</v>
      </c>
      <c r="H206" s="303">
        <v>2</v>
      </c>
      <c r="I206" s="303">
        <v>1</v>
      </c>
      <c r="J206" s="303"/>
      <c r="K206" s="269">
        <v>3.1749999999999998</v>
      </c>
      <c r="L206" s="303"/>
      <c r="M206" s="304"/>
      <c r="N206" s="304"/>
      <c r="O206" s="321">
        <f t="shared" si="27"/>
        <v>3.1749999999999998</v>
      </c>
      <c r="P206" s="322">
        <f t="shared" si="28"/>
        <v>0</v>
      </c>
      <c r="Q206" s="322"/>
      <c r="R206" s="303">
        <f t="shared" si="29"/>
        <v>3.1749999999999998</v>
      </c>
      <c r="S206" s="303" t="str">
        <f t="shared" si="30"/>
        <v>-</v>
      </c>
      <c r="T206" s="303" t="str">
        <f t="shared" si="31"/>
        <v>-</v>
      </c>
      <c r="U206" s="303">
        <f t="shared" si="32"/>
        <v>6.35</v>
      </c>
      <c r="V206" s="303" t="str">
        <f t="shared" si="33"/>
        <v>-</v>
      </c>
      <c r="W206" s="303" t="str">
        <f t="shared" si="34"/>
        <v>-</v>
      </c>
      <c r="X206" s="303" t="str">
        <f t="shared" si="35"/>
        <v>-</v>
      </c>
    </row>
    <row r="207" spans="3:24">
      <c r="C207" s="277"/>
      <c r="D207" s="270" t="s">
        <v>759</v>
      </c>
      <c r="E207" s="303" t="s">
        <v>909</v>
      </c>
      <c r="F207" s="303">
        <v>12</v>
      </c>
      <c r="G207" s="303">
        <v>1</v>
      </c>
      <c r="H207" s="303">
        <v>84</v>
      </c>
      <c r="I207" s="303">
        <v>1</v>
      </c>
      <c r="J207" s="303"/>
      <c r="K207" s="269">
        <v>0.59</v>
      </c>
      <c r="L207" s="303"/>
      <c r="M207" s="304"/>
      <c r="N207" s="304"/>
      <c r="O207" s="321">
        <f t="shared" si="27"/>
        <v>0.59</v>
      </c>
      <c r="P207" s="322">
        <f t="shared" si="28"/>
        <v>0</v>
      </c>
      <c r="Q207" s="322"/>
      <c r="R207" s="303">
        <f t="shared" si="29"/>
        <v>0.59</v>
      </c>
      <c r="S207" s="303" t="str">
        <f t="shared" si="30"/>
        <v>-</v>
      </c>
      <c r="T207" s="303" t="str">
        <f t="shared" si="31"/>
        <v>-</v>
      </c>
      <c r="U207" s="303">
        <f t="shared" si="32"/>
        <v>49.56</v>
      </c>
      <c r="V207" s="303" t="str">
        <f t="shared" si="33"/>
        <v>-</v>
      </c>
      <c r="W207" s="303" t="str">
        <f t="shared" si="34"/>
        <v>-</v>
      </c>
      <c r="X207" s="303" t="str">
        <f t="shared" si="35"/>
        <v>-</v>
      </c>
    </row>
    <row r="208" spans="3:24">
      <c r="C208" s="277"/>
      <c r="D208" s="270" t="s">
        <v>632</v>
      </c>
      <c r="E208" s="303" t="s">
        <v>907</v>
      </c>
      <c r="F208" s="303">
        <v>8</v>
      </c>
      <c r="G208" s="303">
        <v>1</v>
      </c>
      <c r="H208" s="303">
        <v>218</v>
      </c>
      <c r="I208" s="303">
        <v>1</v>
      </c>
      <c r="J208" s="303">
        <v>0.18</v>
      </c>
      <c r="K208" s="269">
        <v>0.4</v>
      </c>
      <c r="L208" s="303">
        <v>0.18</v>
      </c>
      <c r="M208" s="303">
        <v>0.4</v>
      </c>
      <c r="N208" s="303">
        <v>0.16</v>
      </c>
      <c r="O208" s="321">
        <f t="shared" si="27"/>
        <v>1.32</v>
      </c>
      <c r="P208" s="322">
        <f t="shared" si="28"/>
        <v>0.08</v>
      </c>
      <c r="Q208" s="322"/>
      <c r="R208" s="303">
        <f t="shared" si="29"/>
        <v>1.24</v>
      </c>
      <c r="S208" s="303">
        <f t="shared" si="30"/>
        <v>270.32</v>
      </c>
      <c r="T208" s="303" t="str">
        <f t="shared" si="31"/>
        <v>-</v>
      </c>
      <c r="U208" s="303" t="str">
        <f t="shared" si="32"/>
        <v>-</v>
      </c>
      <c r="V208" s="303" t="str">
        <f t="shared" si="33"/>
        <v>-</v>
      </c>
      <c r="W208" s="303" t="str">
        <f t="shared" si="34"/>
        <v>-</v>
      </c>
      <c r="X208" s="303" t="str">
        <f t="shared" si="35"/>
        <v>-</v>
      </c>
    </row>
    <row r="209" spans="3:24">
      <c r="C209" s="277"/>
      <c r="D209" s="270" t="s">
        <v>632</v>
      </c>
      <c r="E209" s="303" t="s">
        <v>907</v>
      </c>
      <c r="F209" s="303">
        <v>10</v>
      </c>
      <c r="G209" s="303">
        <v>1</v>
      </c>
      <c r="H209" s="303">
        <v>104</v>
      </c>
      <c r="I209" s="303">
        <v>1</v>
      </c>
      <c r="J209" s="303">
        <v>0.18</v>
      </c>
      <c r="K209" s="269">
        <v>0.4</v>
      </c>
      <c r="L209" s="303">
        <v>0.18</v>
      </c>
      <c r="M209" s="303">
        <v>0.4</v>
      </c>
      <c r="N209" s="303">
        <v>0.16</v>
      </c>
      <c r="O209" s="321">
        <f t="shared" si="27"/>
        <v>1.32</v>
      </c>
      <c r="P209" s="322">
        <f t="shared" si="28"/>
        <v>0.1</v>
      </c>
      <c r="Q209" s="322"/>
      <c r="R209" s="303">
        <f t="shared" si="29"/>
        <v>1.22</v>
      </c>
      <c r="S209" s="303" t="str">
        <f t="shared" si="30"/>
        <v>-</v>
      </c>
      <c r="T209" s="303">
        <f t="shared" si="31"/>
        <v>126.88</v>
      </c>
      <c r="U209" s="303" t="str">
        <f t="shared" si="32"/>
        <v>-</v>
      </c>
      <c r="V209" s="303" t="str">
        <f t="shared" si="33"/>
        <v>-</v>
      </c>
      <c r="W209" s="303" t="str">
        <f t="shared" si="34"/>
        <v>-</v>
      </c>
      <c r="X209" s="303" t="str">
        <f t="shared" si="35"/>
        <v>-</v>
      </c>
    </row>
    <row r="210" spans="3:24">
      <c r="C210" s="277"/>
      <c r="D210" s="270"/>
      <c r="E210" s="303"/>
      <c r="F210" s="303"/>
      <c r="G210" s="303"/>
      <c r="H210" s="303"/>
      <c r="I210" s="303"/>
      <c r="J210" s="303"/>
      <c r="K210" s="269"/>
      <c r="L210" s="303"/>
      <c r="M210" s="304"/>
      <c r="N210" s="304"/>
      <c r="O210" s="321">
        <f t="shared" si="27"/>
        <v>0</v>
      </c>
      <c r="P210" s="322">
        <f t="shared" si="28"/>
        <v>0</v>
      </c>
      <c r="Q210" s="322"/>
      <c r="R210" s="303">
        <f t="shared" si="29"/>
        <v>0</v>
      </c>
      <c r="S210" s="303" t="str">
        <f t="shared" si="30"/>
        <v>-</v>
      </c>
      <c r="T210" s="303" t="str">
        <f t="shared" si="31"/>
        <v>-</v>
      </c>
      <c r="U210" s="303" t="str">
        <f t="shared" si="32"/>
        <v>-</v>
      </c>
      <c r="V210" s="303" t="str">
        <f t="shared" si="33"/>
        <v>-</v>
      </c>
      <c r="W210" s="303" t="str">
        <f t="shared" si="34"/>
        <v>-</v>
      </c>
      <c r="X210" s="303" t="str">
        <f t="shared" si="35"/>
        <v>-</v>
      </c>
    </row>
    <row r="211" spans="3:24" s="324" customFormat="1">
      <c r="C211" s="278">
        <v>22</v>
      </c>
      <c r="D211" s="284" t="s">
        <v>760</v>
      </c>
      <c r="E211" s="323" t="s">
        <v>908</v>
      </c>
      <c r="F211" s="323">
        <v>12</v>
      </c>
      <c r="G211" s="323">
        <v>1</v>
      </c>
      <c r="H211" s="323">
        <v>6</v>
      </c>
      <c r="I211" s="323">
        <v>1</v>
      </c>
      <c r="J211" s="323">
        <v>0.12</v>
      </c>
      <c r="K211" s="275">
        <v>0.87</v>
      </c>
      <c r="L211" s="323">
        <v>0.12</v>
      </c>
      <c r="M211" s="328"/>
      <c r="N211" s="328"/>
      <c r="O211" s="325">
        <f t="shared" si="27"/>
        <v>1.1099999999999999</v>
      </c>
      <c r="P211" s="326">
        <f t="shared" si="28"/>
        <v>4.8000000000000001E-2</v>
      </c>
      <c r="Q211" s="326"/>
      <c r="R211" s="323">
        <f t="shared" si="29"/>
        <v>1.0619999999999998</v>
      </c>
      <c r="S211" s="323" t="str">
        <f t="shared" si="30"/>
        <v>-</v>
      </c>
      <c r="T211" s="323" t="str">
        <f t="shared" si="31"/>
        <v>-</v>
      </c>
      <c r="U211" s="323">
        <f t="shared" si="32"/>
        <v>6.37</v>
      </c>
      <c r="V211" s="323" t="str">
        <f t="shared" si="33"/>
        <v>-</v>
      </c>
      <c r="W211" s="323" t="str">
        <f t="shared" si="34"/>
        <v>-</v>
      </c>
      <c r="X211" s="323" t="str">
        <f t="shared" si="35"/>
        <v>-</v>
      </c>
    </row>
    <row r="212" spans="3:24">
      <c r="C212" s="277"/>
      <c r="D212" s="270" t="s">
        <v>632</v>
      </c>
      <c r="E212" s="303" t="s">
        <v>907</v>
      </c>
      <c r="F212" s="303">
        <v>8</v>
      </c>
      <c r="G212" s="303">
        <v>1</v>
      </c>
      <c r="H212" s="303">
        <v>6</v>
      </c>
      <c r="I212" s="303">
        <v>1</v>
      </c>
      <c r="J212" s="303">
        <v>0.18</v>
      </c>
      <c r="K212" s="269">
        <v>0.4</v>
      </c>
      <c r="L212" s="303">
        <v>0.18</v>
      </c>
      <c r="M212" s="303">
        <v>0.4</v>
      </c>
      <c r="N212" s="303">
        <v>0.16</v>
      </c>
      <c r="O212" s="321">
        <f t="shared" si="27"/>
        <v>1.32</v>
      </c>
      <c r="P212" s="322">
        <f t="shared" si="28"/>
        <v>0.08</v>
      </c>
      <c r="Q212" s="322"/>
      <c r="R212" s="303">
        <f t="shared" si="29"/>
        <v>1.24</v>
      </c>
      <c r="S212" s="303">
        <f t="shared" si="30"/>
        <v>7.44</v>
      </c>
      <c r="T212" s="303" t="str">
        <f t="shared" si="31"/>
        <v>-</v>
      </c>
      <c r="U212" s="303" t="str">
        <f t="shared" si="32"/>
        <v>-</v>
      </c>
      <c r="V212" s="303" t="str">
        <f t="shared" si="33"/>
        <v>-</v>
      </c>
      <c r="W212" s="303" t="str">
        <f t="shared" si="34"/>
        <v>-</v>
      </c>
      <c r="X212" s="303" t="str">
        <f t="shared" si="35"/>
        <v>-</v>
      </c>
    </row>
    <row r="213" spans="3:24">
      <c r="C213" s="277">
        <v>23</v>
      </c>
      <c r="D213" s="283" t="s">
        <v>761</v>
      </c>
      <c r="E213" s="303" t="s">
        <v>908</v>
      </c>
      <c r="F213" s="303">
        <v>12</v>
      </c>
      <c r="G213" s="303">
        <v>1</v>
      </c>
      <c r="H213" s="303">
        <v>4</v>
      </c>
      <c r="I213" s="303">
        <v>1</v>
      </c>
      <c r="J213" s="303">
        <v>0.12</v>
      </c>
      <c r="K213" s="269">
        <v>3.395</v>
      </c>
      <c r="L213" s="303">
        <v>0.12</v>
      </c>
      <c r="M213" s="304"/>
      <c r="N213" s="304"/>
      <c r="O213" s="321">
        <f t="shared" si="27"/>
        <v>3.6350000000000002</v>
      </c>
      <c r="P213" s="322">
        <f t="shared" si="28"/>
        <v>4.8000000000000001E-2</v>
      </c>
      <c r="Q213" s="322"/>
      <c r="R213" s="303">
        <f t="shared" si="29"/>
        <v>3.5870000000000002</v>
      </c>
      <c r="S213" s="303" t="str">
        <f t="shared" si="30"/>
        <v>-</v>
      </c>
      <c r="T213" s="303" t="str">
        <f t="shared" si="31"/>
        <v>-</v>
      </c>
      <c r="U213" s="303">
        <f t="shared" si="32"/>
        <v>14.35</v>
      </c>
      <c r="V213" s="303" t="str">
        <f t="shared" si="33"/>
        <v>-</v>
      </c>
      <c r="W213" s="303" t="str">
        <f t="shared" si="34"/>
        <v>-</v>
      </c>
      <c r="X213" s="303" t="str">
        <f t="shared" si="35"/>
        <v>-</v>
      </c>
    </row>
    <row r="214" spans="3:24">
      <c r="C214" s="277"/>
      <c r="D214" s="270" t="s">
        <v>632</v>
      </c>
      <c r="E214" s="303" t="s">
        <v>907</v>
      </c>
      <c r="F214" s="303">
        <v>8</v>
      </c>
      <c r="G214" s="303">
        <v>1</v>
      </c>
      <c r="H214" s="303">
        <v>18</v>
      </c>
      <c r="I214" s="303">
        <v>1</v>
      </c>
      <c r="J214" s="303">
        <v>0.18</v>
      </c>
      <c r="K214" s="269">
        <v>0.4</v>
      </c>
      <c r="L214" s="303">
        <v>0.18</v>
      </c>
      <c r="M214" s="303">
        <v>0.4</v>
      </c>
      <c r="N214" s="303">
        <v>0.16</v>
      </c>
      <c r="O214" s="321">
        <f t="shared" si="27"/>
        <v>1.32</v>
      </c>
      <c r="P214" s="322">
        <f t="shared" si="28"/>
        <v>0.08</v>
      </c>
      <c r="Q214" s="322"/>
      <c r="R214" s="303">
        <f t="shared" si="29"/>
        <v>1.24</v>
      </c>
      <c r="S214" s="303">
        <f t="shared" si="30"/>
        <v>22.32</v>
      </c>
      <c r="T214" s="303" t="str">
        <f t="shared" si="31"/>
        <v>-</v>
      </c>
      <c r="U214" s="303" t="str">
        <f t="shared" si="32"/>
        <v>-</v>
      </c>
      <c r="V214" s="303" t="str">
        <f t="shared" si="33"/>
        <v>-</v>
      </c>
      <c r="W214" s="303" t="str">
        <f t="shared" si="34"/>
        <v>-</v>
      </c>
      <c r="X214" s="303" t="str">
        <f t="shared" si="35"/>
        <v>-</v>
      </c>
    </row>
    <row r="215" spans="3:24">
      <c r="C215" s="277"/>
      <c r="D215" s="270"/>
      <c r="E215" s="303"/>
      <c r="F215" s="303"/>
      <c r="G215" s="303"/>
      <c r="H215" s="303"/>
      <c r="I215" s="303"/>
      <c r="J215" s="303"/>
      <c r="K215" s="269"/>
      <c r="L215" s="303"/>
      <c r="M215" s="303"/>
      <c r="N215" s="303"/>
      <c r="O215" s="321">
        <f t="shared" si="27"/>
        <v>0</v>
      </c>
      <c r="P215" s="322">
        <f t="shared" si="28"/>
        <v>0</v>
      </c>
      <c r="Q215" s="322"/>
      <c r="R215" s="303">
        <f t="shared" si="29"/>
        <v>0</v>
      </c>
      <c r="S215" s="303" t="str">
        <f t="shared" si="30"/>
        <v>-</v>
      </c>
      <c r="T215" s="303" t="str">
        <f t="shared" si="31"/>
        <v>-</v>
      </c>
      <c r="U215" s="303" t="str">
        <f t="shared" si="32"/>
        <v>-</v>
      </c>
      <c r="V215" s="303" t="str">
        <f t="shared" si="33"/>
        <v>-</v>
      </c>
      <c r="W215" s="303" t="str">
        <f t="shared" si="34"/>
        <v>-</v>
      </c>
      <c r="X215" s="303" t="str">
        <f t="shared" si="35"/>
        <v>-</v>
      </c>
    </row>
    <row r="216" spans="3:24">
      <c r="C216" s="277">
        <v>24</v>
      </c>
      <c r="D216" s="283" t="s">
        <v>762</v>
      </c>
      <c r="E216" s="303" t="s">
        <v>908</v>
      </c>
      <c r="F216" s="303">
        <v>12</v>
      </c>
      <c r="G216" s="303">
        <v>1</v>
      </c>
      <c r="H216" s="303">
        <v>6</v>
      </c>
      <c r="I216" s="303">
        <v>1</v>
      </c>
      <c r="J216" s="303">
        <v>0.12</v>
      </c>
      <c r="K216" s="269">
        <v>2.08</v>
      </c>
      <c r="L216" s="303">
        <v>0.12</v>
      </c>
      <c r="M216" s="304"/>
      <c r="N216" s="304"/>
      <c r="O216" s="321">
        <f t="shared" si="27"/>
        <v>2.3200000000000003</v>
      </c>
      <c r="P216" s="322">
        <f t="shared" si="28"/>
        <v>4.8000000000000001E-2</v>
      </c>
      <c r="Q216" s="322"/>
      <c r="R216" s="303">
        <f t="shared" si="29"/>
        <v>2.2720000000000002</v>
      </c>
      <c r="S216" s="303" t="str">
        <f t="shared" si="30"/>
        <v>-</v>
      </c>
      <c r="T216" s="303" t="str">
        <f t="shared" si="31"/>
        <v>-</v>
      </c>
      <c r="U216" s="303">
        <f t="shared" si="32"/>
        <v>13.63</v>
      </c>
      <c r="V216" s="303" t="str">
        <f t="shared" si="33"/>
        <v>-</v>
      </c>
      <c r="W216" s="303" t="str">
        <f t="shared" si="34"/>
        <v>-</v>
      </c>
      <c r="X216" s="303" t="str">
        <f t="shared" si="35"/>
        <v>-</v>
      </c>
    </row>
    <row r="217" spans="3:24">
      <c r="C217" s="277"/>
      <c r="D217" s="270" t="s">
        <v>632</v>
      </c>
      <c r="E217" s="303" t="s">
        <v>907</v>
      </c>
      <c r="F217" s="303">
        <v>8</v>
      </c>
      <c r="G217" s="303">
        <v>1</v>
      </c>
      <c r="H217" s="303">
        <v>12</v>
      </c>
      <c r="I217" s="303">
        <v>1</v>
      </c>
      <c r="J217" s="303">
        <v>0.18</v>
      </c>
      <c r="K217" s="269">
        <v>0.4</v>
      </c>
      <c r="L217" s="303">
        <v>0.18</v>
      </c>
      <c r="M217" s="303">
        <v>0.4</v>
      </c>
      <c r="N217" s="303">
        <v>0.16</v>
      </c>
      <c r="O217" s="321">
        <f t="shared" si="27"/>
        <v>1.32</v>
      </c>
      <c r="P217" s="322">
        <f t="shared" si="28"/>
        <v>0.08</v>
      </c>
      <c r="Q217" s="322"/>
      <c r="R217" s="303">
        <f t="shared" si="29"/>
        <v>1.24</v>
      </c>
      <c r="S217" s="303">
        <f t="shared" si="30"/>
        <v>14.88</v>
      </c>
      <c r="T217" s="303" t="str">
        <f t="shared" si="31"/>
        <v>-</v>
      </c>
      <c r="U217" s="303" t="str">
        <f t="shared" si="32"/>
        <v>-</v>
      </c>
      <c r="V217" s="303" t="str">
        <f t="shared" si="33"/>
        <v>-</v>
      </c>
      <c r="W217" s="303" t="str">
        <f t="shared" si="34"/>
        <v>-</v>
      </c>
      <c r="X217" s="303" t="str">
        <f t="shared" si="35"/>
        <v>-</v>
      </c>
    </row>
    <row r="218" spans="3:24">
      <c r="C218" s="277">
        <v>25</v>
      </c>
      <c r="D218" s="283" t="s">
        <v>763</v>
      </c>
      <c r="E218" s="303" t="s">
        <v>908</v>
      </c>
      <c r="F218" s="303">
        <v>12</v>
      </c>
      <c r="G218" s="303">
        <v>1</v>
      </c>
      <c r="H218" s="303">
        <v>6</v>
      </c>
      <c r="I218" s="303">
        <v>1</v>
      </c>
      <c r="J218" s="303">
        <v>0.12</v>
      </c>
      <c r="K218" s="282">
        <v>46.65</v>
      </c>
      <c r="L218" s="303">
        <v>0.12</v>
      </c>
      <c r="M218" s="304"/>
      <c r="N218" s="304"/>
      <c r="O218" s="321">
        <f t="shared" si="27"/>
        <v>46.889999999999993</v>
      </c>
      <c r="P218" s="322">
        <f t="shared" si="28"/>
        <v>4.8000000000000001E-2</v>
      </c>
      <c r="Q218" s="322"/>
      <c r="R218" s="303">
        <f t="shared" si="29"/>
        <v>46.841999999999992</v>
      </c>
      <c r="S218" s="303" t="str">
        <f t="shared" si="30"/>
        <v>-</v>
      </c>
      <c r="T218" s="303" t="str">
        <f t="shared" si="31"/>
        <v>-</v>
      </c>
      <c r="U218" s="303">
        <f t="shared" si="32"/>
        <v>281.05</v>
      </c>
      <c r="V218" s="303" t="str">
        <f t="shared" si="33"/>
        <v>-</v>
      </c>
      <c r="W218" s="303" t="str">
        <f t="shared" si="34"/>
        <v>-</v>
      </c>
      <c r="X218" s="303" t="str">
        <f t="shared" si="35"/>
        <v>-</v>
      </c>
    </row>
    <row r="219" spans="3:24">
      <c r="C219" s="277"/>
      <c r="D219" s="270" t="s">
        <v>764</v>
      </c>
      <c r="E219" s="303" t="s">
        <v>910</v>
      </c>
      <c r="F219" s="303">
        <v>12</v>
      </c>
      <c r="G219" s="303">
        <v>1</v>
      </c>
      <c r="H219" s="303">
        <v>2</v>
      </c>
      <c r="I219" s="303">
        <v>1</v>
      </c>
      <c r="J219" s="303">
        <v>0.12</v>
      </c>
      <c r="K219" s="282">
        <v>1.5249999999999999</v>
      </c>
      <c r="L219" s="303"/>
      <c r="M219" s="304"/>
      <c r="N219" s="304"/>
      <c r="O219" s="321">
        <f t="shared" si="27"/>
        <v>1.645</v>
      </c>
      <c r="P219" s="322">
        <f t="shared" si="28"/>
        <v>2.4E-2</v>
      </c>
      <c r="Q219" s="322"/>
      <c r="R219" s="303">
        <f t="shared" si="29"/>
        <v>1.621</v>
      </c>
      <c r="S219" s="303" t="str">
        <f t="shared" si="30"/>
        <v>-</v>
      </c>
      <c r="T219" s="303" t="str">
        <f t="shared" si="31"/>
        <v>-</v>
      </c>
      <c r="U219" s="303">
        <f t="shared" si="32"/>
        <v>3.24</v>
      </c>
      <c r="V219" s="303" t="str">
        <f t="shared" si="33"/>
        <v>-</v>
      </c>
      <c r="W219" s="303" t="str">
        <f t="shared" si="34"/>
        <v>-</v>
      </c>
      <c r="X219" s="303" t="str">
        <f t="shared" si="35"/>
        <v>-</v>
      </c>
    </row>
    <row r="220" spans="3:24">
      <c r="C220" s="277"/>
      <c r="D220" s="270" t="s">
        <v>765</v>
      </c>
      <c r="E220" s="303" t="s">
        <v>909</v>
      </c>
      <c r="F220" s="303">
        <v>12</v>
      </c>
      <c r="G220" s="303">
        <v>1</v>
      </c>
      <c r="H220" s="303">
        <v>2</v>
      </c>
      <c r="I220" s="303">
        <v>1</v>
      </c>
      <c r="J220" s="303"/>
      <c r="K220" s="282">
        <v>5.6749999999999998</v>
      </c>
      <c r="L220" s="303"/>
      <c r="M220" s="304"/>
      <c r="N220" s="304"/>
      <c r="O220" s="321">
        <f t="shared" si="27"/>
        <v>5.6749999999999998</v>
      </c>
      <c r="P220" s="322">
        <f t="shared" si="28"/>
        <v>0</v>
      </c>
      <c r="Q220" s="322"/>
      <c r="R220" s="303">
        <f t="shared" si="29"/>
        <v>5.6749999999999998</v>
      </c>
      <c r="S220" s="303" t="str">
        <f t="shared" si="30"/>
        <v>-</v>
      </c>
      <c r="T220" s="303" t="str">
        <f t="shared" si="31"/>
        <v>-</v>
      </c>
      <c r="U220" s="303">
        <f t="shared" si="32"/>
        <v>11.35</v>
      </c>
      <c r="V220" s="303" t="str">
        <f t="shared" si="33"/>
        <v>-</v>
      </c>
      <c r="W220" s="303" t="str">
        <f t="shared" si="34"/>
        <v>-</v>
      </c>
      <c r="X220" s="303" t="str">
        <f t="shared" si="35"/>
        <v>-</v>
      </c>
    </row>
    <row r="221" spans="3:24">
      <c r="C221" s="277"/>
      <c r="D221" s="270" t="s">
        <v>766</v>
      </c>
      <c r="E221" s="303" t="s">
        <v>909</v>
      </c>
      <c r="F221" s="303">
        <v>12</v>
      </c>
      <c r="G221" s="303">
        <v>1</v>
      </c>
      <c r="H221" s="303">
        <v>1</v>
      </c>
      <c r="I221" s="303">
        <v>1</v>
      </c>
      <c r="J221" s="303"/>
      <c r="K221" s="282">
        <v>6.1749999999999998</v>
      </c>
      <c r="L221" s="303"/>
      <c r="M221" s="304"/>
      <c r="N221" s="304"/>
      <c r="O221" s="321">
        <f t="shared" si="27"/>
        <v>6.1749999999999998</v>
      </c>
      <c r="P221" s="322">
        <f t="shared" si="28"/>
        <v>0</v>
      </c>
      <c r="Q221" s="322"/>
      <c r="R221" s="303">
        <f t="shared" si="29"/>
        <v>6.1749999999999998</v>
      </c>
      <c r="S221" s="303" t="str">
        <f t="shared" si="30"/>
        <v>-</v>
      </c>
      <c r="T221" s="303" t="str">
        <f t="shared" si="31"/>
        <v>-</v>
      </c>
      <c r="U221" s="303">
        <f t="shared" si="32"/>
        <v>6.18</v>
      </c>
      <c r="V221" s="303" t="str">
        <f t="shared" si="33"/>
        <v>-</v>
      </c>
      <c r="W221" s="303" t="str">
        <f t="shared" si="34"/>
        <v>-</v>
      </c>
      <c r="X221" s="303" t="str">
        <f t="shared" si="35"/>
        <v>-</v>
      </c>
    </row>
    <row r="222" spans="3:24">
      <c r="C222" s="277"/>
      <c r="D222" s="270" t="s">
        <v>732</v>
      </c>
      <c r="E222" s="303" t="s">
        <v>909</v>
      </c>
      <c r="F222" s="303">
        <v>12</v>
      </c>
      <c r="G222" s="303">
        <v>1</v>
      </c>
      <c r="H222" s="303">
        <v>2</v>
      </c>
      <c r="I222" s="303">
        <v>1</v>
      </c>
      <c r="J222" s="303"/>
      <c r="K222" s="282">
        <v>2.4</v>
      </c>
      <c r="L222" s="303"/>
      <c r="M222" s="304"/>
      <c r="N222" s="304"/>
      <c r="O222" s="321">
        <f t="shared" si="27"/>
        <v>2.4</v>
      </c>
      <c r="P222" s="322">
        <f t="shared" si="28"/>
        <v>0</v>
      </c>
      <c r="Q222" s="322"/>
      <c r="R222" s="303">
        <f t="shared" si="29"/>
        <v>2.4</v>
      </c>
      <c r="S222" s="303" t="str">
        <f t="shared" si="30"/>
        <v>-</v>
      </c>
      <c r="T222" s="303" t="str">
        <f t="shared" si="31"/>
        <v>-</v>
      </c>
      <c r="U222" s="303">
        <f t="shared" si="32"/>
        <v>4.8</v>
      </c>
      <c r="V222" s="303" t="str">
        <f t="shared" si="33"/>
        <v>-</v>
      </c>
      <c r="W222" s="303" t="str">
        <f t="shared" si="34"/>
        <v>-</v>
      </c>
      <c r="X222" s="303" t="str">
        <f t="shared" si="35"/>
        <v>-</v>
      </c>
    </row>
    <row r="223" spans="3:24">
      <c r="C223" s="277"/>
      <c r="D223" s="270" t="s">
        <v>767</v>
      </c>
      <c r="E223" s="303" t="s">
        <v>909</v>
      </c>
      <c r="F223" s="303">
        <v>12</v>
      </c>
      <c r="G223" s="303">
        <v>1</v>
      </c>
      <c r="H223" s="303">
        <v>1</v>
      </c>
      <c r="I223" s="303">
        <v>1</v>
      </c>
      <c r="J223" s="303"/>
      <c r="K223" s="282">
        <v>3.5</v>
      </c>
      <c r="L223" s="303"/>
      <c r="M223" s="304"/>
      <c r="N223" s="304"/>
      <c r="O223" s="321">
        <f t="shared" si="27"/>
        <v>3.5</v>
      </c>
      <c r="P223" s="322">
        <f t="shared" si="28"/>
        <v>0</v>
      </c>
      <c r="Q223" s="322"/>
      <c r="R223" s="303">
        <f t="shared" si="29"/>
        <v>3.5</v>
      </c>
      <c r="S223" s="303" t="str">
        <f t="shared" si="30"/>
        <v>-</v>
      </c>
      <c r="T223" s="303" t="str">
        <f t="shared" si="31"/>
        <v>-</v>
      </c>
      <c r="U223" s="303">
        <f t="shared" si="32"/>
        <v>3.5</v>
      </c>
      <c r="V223" s="303" t="str">
        <f t="shared" si="33"/>
        <v>-</v>
      </c>
      <c r="W223" s="303" t="str">
        <f t="shared" si="34"/>
        <v>-</v>
      </c>
      <c r="X223" s="303" t="str">
        <f t="shared" si="35"/>
        <v>-</v>
      </c>
    </row>
    <row r="224" spans="3:24">
      <c r="C224" s="277"/>
      <c r="D224" s="270" t="s">
        <v>734</v>
      </c>
      <c r="E224" s="303" t="s">
        <v>909</v>
      </c>
      <c r="F224" s="303">
        <v>12</v>
      </c>
      <c r="G224" s="303">
        <v>1</v>
      </c>
      <c r="H224" s="303">
        <v>2</v>
      </c>
      <c r="I224" s="303">
        <v>1</v>
      </c>
      <c r="J224" s="303"/>
      <c r="K224" s="282">
        <v>2.4</v>
      </c>
      <c r="L224" s="303"/>
      <c r="M224" s="304"/>
      <c r="N224" s="304"/>
      <c r="O224" s="321">
        <f t="shared" si="27"/>
        <v>2.4</v>
      </c>
      <c r="P224" s="322">
        <f t="shared" si="28"/>
        <v>0</v>
      </c>
      <c r="Q224" s="322"/>
      <c r="R224" s="303">
        <f t="shared" si="29"/>
        <v>2.4</v>
      </c>
      <c r="S224" s="303" t="str">
        <f t="shared" si="30"/>
        <v>-</v>
      </c>
      <c r="T224" s="303" t="str">
        <f t="shared" si="31"/>
        <v>-</v>
      </c>
      <c r="U224" s="303">
        <f t="shared" si="32"/>
        <v>4.8</v>
      </c>
      <c r="V224" s="303" t="str">
        <f t="shared" si="33"/>
        <v>-</v>
      </c>
      <c r="W224" s="303" t="str">
        <f t="shared" si="34"/>
        <v>-</v>
      </c>
      <c r="X224" s="303" t="str">
        <f t="shared" si="35"/>
        <v>-</v>
      </c>
    </row>
    <row r="225" spans="3:24">
      <c r="C225" s="277"/>
      <c r="D225" s="270" t="s">
        <v>734</v>
      </c>
      <c r="E225" s="303" t="s">
        <v>909</v>
      </c>
      <c r="F225" s="303">
        <v>12</v>
      </c>
      <c r="G225" s="303">
        <v>1</v>
      </c>
      <c r="H225" s="303">
        <v>1</v>
      </c>
      <c r="I225" s="303">
        <v>1</v>
      </c>
      <c r="J225" s="303"/>
      <c r="K225" s="282">
        <v>3.6</v>
      </c>
      <c r="L225" s="303"/>
      <c r="M225" s="304"/>
      <c r="N225" s="304"/>
      <c r="O225" s="321">
        <f t="shared" si="27"/>
        <v>3.6</v>
      </c>
      <c r="P225" s="322">
        <f t="shared" si="28"/>
        <v>0</v>
      </c>
      <c r="Q225" s="322"/>
      <c r="R225" s="303">
        <f t="shared" si="29"/>
        <v>3.6</v>
      </c>
      <c r="S225" s="303" t="str">
        <f t="shared" si="30"/>
        <v>-</v>
      </c>
      <c r="T225" s="303" t="str">
        <f t="shared" si="31"/>
        <v>-</v>
      </c>
      <c r="U225" s="303">
        <f t="shared" si="32"/>
        <v>3.6</v>
      </c>
      <c r="V225" s="303" t="str">
        <f t="shared" si="33"/>
        <v>-</v>
      </c>
      <c r="W225" s="303" t="str">
        <f t="shared" si="34"/>
        <v>-</v>
      </c>
      <c r="X225" s="303" t="str">
        <f t="shared" si="35"/>
        <v>-</v>
      </c>
    </row>
    <row r="226" spans="3:24">
      <c r="C226" s="277"/>
      <c r="D226" s="270" t="s">
        <v>748</v>
      </c>
      <c r="E226" s="303" t="s">
        <v>909</v>
      </c>
      <c r="F226" s="303">
        <v>12</v>
      </c>
      <c r="G226" s="303">
        <v>1</v>
      </c>
      <c r="H226" s="303">
        <v>2</v>
      </c>
      <c r="I226" s="303">
        <v>1</v>
      </c>
      <c r="J226" s="303"/>
      <c r="K226" s="282">
        <v>2.4</v>
      </c>
      <c r="L226" s="303"/>
      <c r="M226" s="304"/>
      <c r="N226" s="304"/>
      <c r="O226" s="321">
        <f t="shared" si="27"/>
        <v>2.4</v>
      </c>
      <c r="P226" s="322">
        <f t="shared" si="28"/>
        <v>0</v>
      </c>
      <c r="Q226" s="322"/>
      <c r="R226" s="303">
        <f t="shared" si="29"/>
        <v>2.4</v>
      </c>
      <c r="S226" s="303" t="str">
        <f t="shared" si="30"/>
        <v>-</v>
      </c>
      <c r="T226" s="303" t="str">
        <f t="shared" si="31"/>
        <v>-</v>
      </c>
      <c r="U226" s="303">
        <f t="shared" si="32"/>
        <v>4.8</v>
      </c>
      <c r="V226" s="303" t="str">
        <f t="shared" si="33"/>
        <v>-</v>
      </c>
      <c r="W226" s="303" t="str">
        <f t="shared" si="34"/>
        <v>-</v>
      </c>
      <c r="X226" s="303" t="str">
        <f t="shared" si="35"/>
        <v>-</v>
      </c>
    </row>
    <row r="227" spans="3:24">
      <c r="C227" s="277"/>
      <c r="D227" s="270" t="s">
        <v>768</v>
      </c>
      <c r="E227" s="303" t="s">
        <v>909</v>
      </c>
      <c r="F227" s="303">
        <v>12</v>
      </c>
      <c r="G227" s="303">
        <v>1</v>
      </c>
      <c r="H227" s="303">
        <v>1</v>
      </c>
      <c r="I227" s="303">
        <v>1</v>
      </c>
      <c r="J227" s="303"/>
      <c r="K227" s="282">
        <v>3.6</v>
      </c>
      <c r="L227" s="303"/>
      <c r="M227" s="304"/>
      <c r="N227" s="304"/>
      <c r="O227" s="321">
        <f t="shared" si="27"/>
        <v>3.6</v>
      </c>
      <c r="P227" s="322">
        <f t="shared" si="28"/>
        <v>0</v>
      </c>
      <c r="Q227" s="322"/>
      <c r="R227" s="303">
        <f t="shared" si="29"/>
        <v>3.6</v>
      </c>
      <c r="S227" s="303" t="str">
        <f t="shared" si="30"/>
        <v>-</v>
      </c>
      <c r="T227" s="303" t="str">
        <f t="shared" si="31"/>
        <v>-</v>
      </c>
      <c r="U227" s="303">
        <f t="shared" si="32"/>
        <v>3.6</v>
      </c>
      <c r="V227" s="303" t="str">
        <f t="shared" si="33"/>
        <v>-</v>
      </c>
      <c r="W227" s="303" t="str">
        <f t="shared" si="34"/>
        <v>-</v>
      </c>
      <c r="X227" s="303" t="str">
        <f t="shared" si="35"/>
        <v>-</v>
      </c>
    </row>
    <row r="228" spans="3:24">
      <c r="C228" s="277"/>
      <c r="D228" s="270" t="s">
        <v>769</v>
      </c>
      <c r="E228" s="303" t="s">
        <v>909</v>
      </c>
      <c r="F228" s="303">
        <v>12</v>
      </c>
      <c r="G228" s="303">
        <v>1</v>
      </c>
      <c r="H228" s="303">
        <v>2</v>
      </c>
      <c r="I228" s="303">
        <v>1</v>
      </c>
      <c r="J228" s="303"/>
      <c r="K228" s="282">
        <v>2.4</v>
      </c>
      <c r="L228" s="303"/>
      <c r="M228" s="304"/>
      <c r="N228" s="304"/>
      <c r="O228" s="321">
        <f t="shared" si="27"/>
        <v>2.4</v>
      </c>
      <c r="P228" s="322">
        <f t="shared" si="28"/>
        <v>0</v>
      </c>
      <c r="Q228" s="322"/>
      <c r="R228" s="303">
        <f t="shared" si="29"/>
        <v>2.4</v>
      </c>
      <c r="S228" s="303" t="str">
        <f t="shared" si="30"/>
        <v>-</v>
      </c>
      <c r="T228" s="303" t="str">
        <f t="shared" si="31"/>
        <v>-</v>
      </c>
      <c r="U228" s="303">
        <f t="shared" si="32"/>
        <v>4.8</v>
      </c>
      <c r="V228" s="303" t="str">
        <f t="shared" si="33"/>
        <v>-</v>
      </c>
      <c r="W228" s="303" t="str">
        <f t="shared" si="34"/>
        <v>-</v>
      </c>
      <c r="X228" s="303" t="str">
        <f t="shared" si="35"/>
        <v>-</v>
      </c>
    </row>
    <row r="229" spans="3:24">
      <c r="C229" s="277"/>
      <c r="D229" s="270" t="s">
        <v>749</v>
      </c>
      <c r="E229" s="303" t="s">
        <v>909</v>
      </c>
      <c r="F229" s="303">
        <v>12</v>
      </c>
      <c r="G229" s="303">
        <v>1</v>
      </c>
      <c r="H229" s="303">
        <v>1</v>
      </c>
      <c r="I229" s="303">
        <v>1</v>
      </c>
      <c r="J229" s="303"/>
      <c r="K229" s="282">
        <v>3.5</v>
      </c>
      <c r="L229" s="303"/>
      <c r="M229" s="304"/>
      <c r="N229" s="304"/>
      <c r="O229" s="321">
        <f t="shared" si="27"/>
        <v>3.5</v>
      </c>
      <c r="P229" s="322">
        <f t="shared" si="28"/>
        <v>0</v>
      </c>
      <c r="Q229" s="322"/>
      <c r="R229" s="303">
        <f t="shared" si="29"/>
        <v>3.5</v>
      </c>
      <c r="S229" s="303" t="str">
        <f t="shared" si="30"/>
        <v>-</v>
      </c>
      <c r="T229" s="303" t="str">
        <f t="shared" si="31"/>
        <v>-</v>
      </c>
      <c r="U229" s="303">
        <f t="shared" si="32"/>
        <v>3.5</v>
      </c>
      <c r="V229" s="303" t="str">
        <f t="shared" si="33"/>
        <v>-</v>
      </c>
      <c r="W229" s="303" t="str">
        <f t="shared" si="34"/>
        <v>-</v>
      </c>
      <c r="X229" s="303" t="str">
        <f t="shared" si="35"/>
        <v>-</v>
      </c>
    </row>
    <row r="230" spans="3:24" s="324" customFormat="1">
      <c r="C230" s="278"/>
      <c r="D230" s="274" t="s">
        <v>770</v>
      </c>
      <c r="E230" s="323" t="s">
        <v>909</v>
      </c>
      <c r="F230" s="323">
        <v>12</v>
      </c>
      <c r="G230" s="323">
        <v>1</v>
      </c>
      <c r="H230" s="323">
        <v>2</v>
      </c>
      <c r="I230" s="323">
        <v>1</v>
      </c>
      <c r="J230" s="323"/>
      <c r="K230" s="285">
        <v>5.6449999999999996</v>
      </c>
      <c r="L230" s="323"/>
      <c r="M230" s="328"/>
      <c r="N230" s="328"/>
      <c r="O230" s="325">
        <f t="shared" si="27"/>
        <v>5.6449999999999996</v>
      </c>
      <c r="P230" s="326">
        <f t="shared" si="28"/>
        <v>0</v>
      </c>
      <c r="Q230" s="326"/>
      <c r="R230" s="323">
        <f t="shared" si="29"/>
        <v>5.6449999999999996</v>
      </c>
      <c r="S230" s="323" t="str">
        <f t="shared" si="30"/>
        <v>-</v>
      </c>
      <c r="T230" s="323" t="str">
        <f t="shared" si="31"/>
        <v>-</v>
      </c>
      <c r="U230" s="323">
        <f t="shared" si="32"/>
        <v>11.29</v>
      </c>
      <c r="V230" s="323" t="str">
        <f t="shared" si="33"/>
        <v>-</v>
      </c>
      <c r="W230" s="323" t="str">
        <f t="shared" si="34"/>
        <v>-</v>
      </c>
      <c r="X230" s="323" t="str">
        <f t="shared" si="35"/>
        <v>-</v>
      </c>
    </row>
    <row r="231" spans="3:24">
      <c r="C231" s="277"/>
      <c r="D231" s="270" t="s">
        <v>771</v>
      </c>
      <c r="E231" s="303" t="s">
        <v>909</v>
      </c>
      <c r="F231" s="303">
        <v>12</v>
      </c>
      <c r="G231" s="303">
        <v>1</v>
      </c>
      <c r="H231" s="303">
        <v>1</v>
      </c>
      <c r="I231" s="303">
        <v>1</v>
      </c>
      <c r="J231" s="303"/>
      <c r="K231" s="282">
        <v>6.1449999999999996</v>
      </c>
      <c r="L231" s="303"/>
      <c r="M231" s="304"/>
      <c r="N231" s="304"/>
      <c r="O231" s="321">
        <f t="shared" si="27"/>
        <v>6.1449999999999996</v>
      </c>
      <c r="P231" s="322">
        <f t="shared" si="28"/>
        <v>0</v>
      </c>
      <c r="Q231" s="322"/>
      <c r="R231" s="303">
        <f t="shared" si="29"/>
        <v>6.1449999999999996</v>
      </c>
      <c r="S231" s="303" t="str">
        <f t="shared" si="30"/>
        <v>-</v>
      </c>
      <c r="T231" s="303" t="str">
        <f t="shared" si="31"/>
        <v>-</v>
      </c>
      <c r="U231" s="303">
        <f t="shared" si="32"/>
        <v>6.15</v>
      </c>
      <c r="V231" s="303" t="str">
        <f t="shared" si="33"/>
        <v>-</v>
      </c>
      <c r="W231" s="303" t="str">
        <f t="shared" si="34"/>
        <v>-</v>
      </c>
      <c r="X231" s="303" t="str">
        <f t="shared" si="35"/>
        <v>-</v>
      </c>
    </row>
    <row r="232" spans="3:24">
      <c r="C232" s="277"/>
      <c r="D232" s="270" t="s">
        <v>772</v>
      </c>
      <c r="E232" s="303" t="s">
        <v>910</v>
      </c>
      <c r="F232" s="303">
        <v>12</v>
      </c>
      <c r="G232" s="303">
        <v>1</v>
      </c>
      <c r="H232" s="303">
        <v>2</v>
      </c>
      <c r="I232" s="303">
        <v>1</v>
      </c>
      <c r="J232" s="303">
        <v>0.12</v>
      </c>
      <c r="K232" s="282">
        <v>1.5249999999999999</v>
      </c>
      <c r="L232" s="303"/>
      <c r="M232" s="304"/>
      <c r="N232" s="304"/>
      <c r="O232" s="321">
        <f t="shared" si="27"/>
        <v>1.645</v>
      </c>
      <c r="P232" s="322">
        <f t="shared" si="28"/>
        <v>2.4E-2</v>
      </c>
      <c r="Q232" s="322"/>
      <c r="R232" s="303">
        <f t="shared" si="29"/>
        <v>1.621</v>
      </c>
      <c r="S232" s="303" t="str">
        <f t="shared" si="30"/>
        <v>-</v>
      </c>
      <c r="T232" s="303" t="str">
        <f t="shared" si="31"/>
        <v>-</v>
      </c>
      <c r="U232" s="303">
        <f t="shared" si="32"/>
        <v>3.24</v>
      </c>
      <c r="V232" s="303" t="str">
        <f t="shared" si="33"/>
        <v>-</v>
      </c>
      <c r="W232" s="303" t="str">
        <f t="shared" si="34"/>
        <v>-</v>
      </c>
      <c r="X232" s="303" t="str">
        <f t="shared" si="35"/>
        <v>-</v>
      </c>
    </row>
    <row r="233" spans="3:24">
      <c r="C233" s="277"/>
      <c r="D233" s="270" t="s">
        <v>773</v>
      </c>
      <c r="E233" s="303" t="s">
        <v>909</v>
      </c>
      <c r="F233" s="303">
        <v>12</v>
      </c>
      <c r="G233" s="303">
        <v>1</v>
      </c>
      <c r="H233" s="303">
        <v>2</v>
      </c>
      <c r="I233" s="303">
        <v>1</v>
      </c>
      <c r="J233" s="303"/>
      <c r="K233" s="282">
        <v>4.25</v>
      </c>
      <c r="L233" s="303"/>
      <c r="M233" s="304"/>
      <c r="N233" s="304"/>
      <c r="O233" s="321">
        <f t="shared" si="27"/>
        <v>4.25</v>
      </c>
      <c r="P233" s="322">
        <f t="shared" si="28"/>
        <v>0</v>
      </c>
      <c r="Q233" s="322"/>
      <c r="R233" s="303">
        <f t="shared" si="29"/>
        <v>4.25</v>
      </c>
      <c r="S233" s="303" t="str">
        <f t="shared" si="30"/>
        <v>-</v>
      </c>
      <c r="T233" s="303" t="str">
        <f t="shared" si="31"/>
        <v>-</v>
      </c>
      <c r="U233" s="303">
        <f t="shared" si="32"/>
        <v>8.5</v>
      </c>
      <c r="V233" s="303" t="str">
        <f t="shared" si="33"/>
        <v>-</v>
      </c>
      <c r="W233" s="303" t="str">
        <f t="shared" si="34"/>
        <v>-</v>
      </c>
      <c r="X233" s="303" t="str">
        <f t="shared" si="35"/>
        <v>-</v>
      </c>
    </row>
    <row r="234" spans="3:24">
      <c r="C234" s="277"/>
      <c r="D234" s="270" t="s">
        <v>774</v>
      </c>
      <c r="E234" s="303" t="s">
        <v>909</v>
      </c>
      <c r="F234" s="303">
        <v>12</v>
      </c>
      <c r="G234" s="303">
        <v>1</v>
      </c>
      <c r="H234" s="303">
        <v>2</v>
      </c>
      <c r="I234" s="303">
        <v>1</v>
      </c>
      <c r="J234" s="303"/>
      <c r="K234" s="282">
        <v>4.25</v>
      </c>
      <c r="L234" s="303"/>
      <c r="M234" s="304"/>
      <c r="N234" s="304"/>
      <c r="O234" s="321">
        <f t="shared" si="27"/>
        <v>4.25</v>
      </c>
      <c r="P234" s="322">
        <f t="shared" si="28"/>
        <v>0</v>
      </c>
      <c r="Q234" s="322"/>
      <c r="R234" s="303">
        <f t="shared" si="29"/>
        <v>4.25</v>
      </c>
      <c r="S234" s="303" t="str">
        <f t="shared" si="30"/>
        <v>-</v>
      </c>
      <c r="T234" s="303" t="str">
        <f t="shared" si="31"/>
        <v>-</v>
      </c>
      <c r="U234" s="303">
        <f t="shared" si="32"/>
        <v>8.5</v>
      </c>
      <c r="V234" s="303" t="str">
        <f t="shared" si="33"/>
        <v>-</v>
      </c>
      <c r="W234" s="303" t="str">
        <f t="shared" si="34"/>
        <v>-</v>
      </c>
      <c r="X234" s="303" t="str">
        <f t="shared" si="35"/>
        <v>-</v>
      </c>
    </row>
    <row r="235" spans="3:24">
      <c r="C235" s="277"/>
      <c r="D235" s="270" t="s">
        <v>775</v>
      </c>
      <c r="E235" s="303" t="s">
        <v>909</v>
      </c>
      <c r="F235" s="303">
        <v>12</v>
      </c>
      <c r="G235" s="303">
        <v>1</v>
      </c>
      <c r="H235" s="303">
        <v>2</v>
      </c>
      <c r="I235" s="303">
        <v>1</v>
      </c>
      <c r="J235" s="303"/>
      <c r="K235" s="282">
        <v>4.3</v>
      </c>
      <c r="L235" s="303"/>
      <c r="M235" s="304"/>
      <c r="N235" s="304"/>
      <c r="O235" s="321">
        <f t="shared" si="27"/>
        <v>4.3</v>
      </c>
      <c r="P235" s="322">
        <f t="shared" si="28"/>
        <v>0</v>
      </c>
      <c r="Q235" s="322"/>
      <c r="R235" s="303">
        <f t="shared" si="29"/>
        <v>4.3</v>
      </c>
      <c r="S235" s="303" t="str">
        <f t="shared" si="30"/>
        <v>-</v>
      </c>
      <c r="T235" s="303" t="str">
        <f t="shared" si="31"/>
        <v>-</v>
      </c>
      <c r="U235" s="303">
        <f t="shared" si="32"/>
        <v>8.6</v>
      </c>
      <c r="V235" s="303" t="str">
        <f t="shared" si="33"/>
        <v>-</v>
      </c>
      <c r="W235" s="303" t="str">
        <f t="shared" si="34"/>
        <v>-</v>
      </c>
      <c r="X235" s="303" t="str">
        <f t="shared" si="35"/>
        <v>-</v>
      </c>
    </row>
    <row r="236" spans="3:24">
      <c r="C236" s="277"/>
      <c r="D236" s="270" t="s">
        <v>776</v>
      </c>
      <c r="E236" s="303" t="s">
        <v>909</v>
      </c>
      <c r="F236" s="303">
        <v>12</v>
      </c>
      <c r="G236" s="303">
        <v>1</v>
      </c>
      <c r="H236" s="303">
        <v>2</v>
      </c>
      <c r="I236" s="303">
        <v>1</v>
      </c>
      <c r="J236" s="303"/>
      <c r="K236" s="282">
        <v>4.3499999999999996</v>
      </c>
      <c r="L236" s="303"/>
      <c r="M236" s="304"/>
      <c r="N236" s="304"/>
      <c r="O236" s="321">
        <f t="shared" si="27"/>
        <v>4.3499999999999996</v>
      </c>
      <c r="P236" s="322">
        <f t="shared" si="28"/>
        <v>0</v>
      </c>
      <c r="Q236" s="322"/>
      <c r="R236" s="303">
        <f t="shared" si="29"/>
        <v>4.3499999999999996</v>
      </c>
      <c r="S236" s="303" t="str">
        <f t="shared" si="30"/>
        <v>-</v>
      </c>
      <c r="T236" s="303" t="str">
        <f t="shared" si="31"/>
        <v>-</v>
      </c>
      <c r="U236" s="303">
        <f t="shared" si="32"/>
        <v>8.6999999999999993</v>
      </c>
      <c r="V236" s="303" t="str">
        <f t="shared" si="33"/>
        <v>-</v>
      </c>
      <c r="W236" s="303" t="str">
        <f t="shared" si="34"/>
        <v>-</v>
      </c>
      <c r="X236" s="303" t="str">
        <f t="shared" si="35"/>
        <v>-</v>
      </c>
    </row>
    <row r="237" spans="3:24">
      <c r="C237" s="277"/>
      <c r="D237" s="270" t="s">
        <v>777</v>
      </c>
      <c r="E237" s="303" t="s">
        <v>909</v>
      </c>
      <c r="F237" s="303">
        <v>12</v>
      </c>
      <c r="G237" s="303">
        <v>1</v>
      </c>
      <c r="H237" s="303">
        <v>2</v>
      </c>
      <c r="I237" s="303">
        <v>1</v>
      </c>
      <c r="J237" s="303"/>
      <c r="K237" s="282">
        <v>4.25</v>
      </c>
      <c r="L237" s="303"/>
      <c r="M237" s="304"/>
      <c r="N237" s="304"/>
      <c r="O237" s="321">
        <f t="shared" si="27"/>
        <v>4.25</v>
      </c>
      <c r="P237" s="322">
        <f t="shared" si="28"/>
        <v>0</v>
      </c>
      <c r="Q237" s="322"/>
      <c r="R237" s="303">
        <f t="shared" si="29"/>
        <v>4.25</v>
      </c>
      <c r="S237" s="303" t="str">
        <f t="shared" si="30"/>
        <v>-</v>
      </c>
      <c r="T237" s="303" t="str">
        <f t="shared" si="31"/>
        <v>-</v>
      </c>
      <c r="U237" s="303">
        <f t="shared" si="32"/>
        <v>8.5</v>
      </c>
      <c r="V237" s="303" t="str">
        <f t="shared" si="33"/>
        <v>-</v>
      </c>
      <c r="W237" s="303" t="str">
        <f t="shared" si="34"/>
        <v>-</v>
      </c>
      <c r="X237" s="303" t="str">
        <f t="shared" si="35"/>
        <v>-</v>
      </c>
    </row>
    <row r="238" spans="3:24">
      <c r="C238" s="277"/>
      <c r="D238" s="270" t="s">
        <v>650</v>
      </c>
      <c r="E238" s="303" t="s">
        <v>909</v>
      </c>
      <c r="F238" s="303">
        <v>12</v>
      </c>
      <c r="G238" s="303">
        <v>1</v>
      </c>
      <c r="H238" s="303">
        <v>108</v>
      </c>
      <c r="I238" s="303">
        <v>1</v>
      </c>
      <c r="J238" s="303"/>
      <c r="K238" s="282">
        <v>0.59</v>
      </c>
      <c r="L238" s="303"/>
      <c r="M238" s="304"/>
      <c r="N238" s="304"/>
      <c r="O238" s="321">
        <f t="shared" si="27"/>
        <v>0.59</v>
      </c>
      <c r="P238" s="322">
        <f t="shared" si="28"/>
        <v>0</v>
      </c>
      <c r="Q238" s="322"/>
      <c r="R238" s="303">
        <f t="shared" si="29"/>
        <v>0.59</v>
      </c>
      <c r="S238" s="303" t="str">
        <f t="shared" si="30"/>
        <v>-</v>
      </c>
      <c r="T238" s="303" t="str">
        <f t="shared" si="31"/>
        <v>-</v>
      </c>
      <c r="U238" s="303">
        <f t="shared" si="32"/>
        <v>63.72</v>
      </c>
      <c r="V238" s="303" t="str">
        <f t="shared" si="33"/>
        <v>-</v>
      </c>
      <c r="W238" s="303" t="str">
        <f t="shared" si="34"/>
        <v>-</v>
      </c>
      <c r="X238" s="303" t="str">
        <f t="shared" si="35"/>
        <v>-</v>
      </c>
    </row>
    <row r="239" spans="3:24">
      <c r="C239" s="277"/>
      <c r="D239" s="270" t="s">
        <v>632</v>
      </c>
      <c r="E239" s="303" t="s">
        <v>907</v>
      </c>
      <c r="F239" s="303">
        <v>8</v>
      </c>
      <c r="G239" s="303">
        <v>1</v>
      </c>
      <c r="H239" s="303">
        <v>393</v>
      </c>
      <c r="I239" s="303">
        <v>1</v>
      </c>
      <c r="J239" s="303">
        <v>0.18</v>
      </c>
      <c r="K239" s="269">
        <v>0.4</v>
      </c>
      <c r="L239" s="303">
        <v>0.18</v>
      </c>
      <c r="M239" s="303">
        <v>0.4</v>
      </c>
      <c r="N239" s="303">
        <v>0.16</v>
      </c>
      <c r="O239" s="321">
        <f t="shared" si="27"/>
        <v>1.32</v>
      </c>
      <c r="P239" s="322">
        <f t="shared" si="28"/>
        <v>0.08</v>
      </c>
      <c r="Q239" s="322"/>
      <c r="R239" s="303">
        <f t="shared" si="29"/>
        <v>1.24</v>
      </c>
      <c r="S239" s="303">
        <f t="shared" si="30"/>
        <v>487.32</v>
      </c>
      <c r="T239" s="303" t="str">
        <f t="shared" si="31"/>
        <v>-</v>
      </c>
      <c r="U239" s="303" t="str">
        <f t="shared" si="32"/>
        <v>-</v>
      </c>
      <c r="V239" s="303" t="str">
        <f t="shared" si="33"/>
        <v>-</v>
      </c>
      <c r="W239" s="303" t="str">
        <f t="shared" si="34"/>
        <v>-</v>
      </c>
      <c r="X239" s="303" t="str">
        <f t="shared" si="35"/>
        <v>-</v>
      </c>
    </row>
    <row r="240" spans="3:24">
      <c r="C240" s="277"/>
      <c r="D240" s="270"/>
      <c r="E240" s="303"/>
      <c r="F240" s="303"/>
      <c r="G240" s="303"/>
      <c r="H240" s="303"/>
      <c r="I240" s="303"/>
      <c r="J240" s="303"/>
      <c r="K240" s="269"/>
      <c r="L240" s="303"/>
      <c r="M240" s="303"/>
      <c r="N240" s="303"/>
      <c r="O240" s="321">
        <f t="shared" si="27"/>
        <v>0</v>
      </c>
      <c r="P240" s="322">
        <f t="shared" si="28"/>
        <v>0</v>
      </c>
      <c r="Q240" s="322"/>
      <c r="R240" s="303">
        <f t="shared" si="29"/>
        <v>0</v>
      </c>
      <c r="S240" s="303" t="str">
        <f t="shared" si="30"/>
        <v>-</v>
      </c>
      <c r="T240" s="303" t="str">
        <f t="shared" si="31"/>
        <v>-</v>
      </c>
      <c r="U240" s="303" t="str">
        <f t="shared" si="32"/>
        <v>-</v>
      </c>
      <c r="V240" s="303" t="str">
        <f t="shared" si="33"/>
        <v>-</v>
      </c>
      <c r="W240" s="303" t="str">
        <f t="shared" si="34"/>
        <v>-</v>
      </c>
      <c r="X240" s="303" t="str">
        <f t="shared" si="35"/>
        <v>-</v>
      </c>
    </row>
    <row r="241" spans="3:24">
      <c r="C241" s="277">
        <v>26</v>
      </c>
      <c r="D241" s="268" t="s">
        <v>931</v>
      </c>
      <c r="E241" s="303" t="s">
        <v>908</v>
      </c>
      <c r="F241" s="303">
        <v>12</v>
      </c>
      <c r="G241" s="303">
        <v>1</v>
      </c>
      <c r="H241" s="303">
        <v>6</v>
      </c>
      <c r="I241" s="303">
        <v>1</v>
      </c>
      <c r="J241" s="303">
        <v>0.12</v>
      </c>
      <c r="K241" s="269">
        <v>38.85</v>
      </c>
      <c r="L241" s="303">
        <v>0.12</v>
      </c>
      <c r="M241" s="304"/>
      <c r="N241" s="304"/>
      <c r="O241" s="321">
        <f t="shared" si="27"/>
        <v>39.089999999999996</v>
      </c>
      <c r="P241" s="322">
        <f t="shared" si="28"/>
        <v>4.8000000000000001E-2</v>
      </c>
      <c r="Q241" s="322"/>
      <c r="R241" s="303">
        <f t="shared" si="29"/>
        <v>39.041999999999994</v>
      </c>
      <c r="S241" s="303" t="str">
        <f t="shared" si="30"/>
        <v>-</v>
      </c>
      <c r="T241" s="303" t="str">
        <f t="shared" si="31"/>
        <v>-</v>
      </c>
      <c r="U241" s="303">
        <f t="shared" si="32"/>
        <v>234.25</v>
      </c>
      <c r="V241" s="303" t="str">
        <f t="shared" si="33"/>
        <v>-</v>
      </c>
      <c r="W241" s="303" t="str">
        <f t="shared" si="34"/>
        <v>-</v>
      </c>
      <c r="X241" s="303" t="str">
        <f t="shared" si="35"/>
        <v>-</v>
      </c>
    </row>
    <row r="242" spans="3:24">
      <c r="C242" s="277"/>
      <c r="D242" s="270" t="s">
        <v>718</v>
      </c>
      <c r="E242" s="303" t="s">
        <v>909</v>
      </c>
      <c r="F242" s="303">
        <v>12</v>
      </c>
      <c r="G242" s="303">
        <v>1</v>
      </c>
      <c r="H242" s="303">
        <v>2</v>
      </c>
      <c r="I242" s="303">
        <v>1</v>
      </c>
      <c r="J242" s="303"/>
      <c r="K242" s="269">
        <v>2.4</v>
      </c>
      <c r="L242" s="303"/>
      <c r="M242" s="304"/>
      <c r="N242" s="304"/>
      <c r="O242" s="321">
        <f t="shared" si="27"/>
        <v>2.4</v>
      </c>
      <c r="P242" s="322">
        <f t="shared" si="28"/>
        <v>0</v>
      </c>
      <c r="Q242" s="322"/>
      <c r="R242" s="303">
        <f t="shared" si="29"/>
        <v>2.4</v>
      </c>
      <c r="S242" s="303" t="str">
        <f t="shared" si="30"/>
        <v>-</v>
      </c>
      <c r="T242" s="303" t="str">
        <f t="shared" si="31"/>
        <v>-</v>
      </c>
      <c r="U242" s="303">
        <f t="shared" si="32"/>
        <v>4.8</v>
      </c>
      <c r="V242" s="303" t="str">
        <f t="shared" si="33"/>
        <v>-</v>
      </c>
      <c r="W242" s="303" t="str">
        <f t="shared" si="34"/>
        <v>-</v>
      </c>
      <c r="X242" s="303" t="str">
        <f t="shared" si="35"/>
        <v>-</v>
      </c>
    </row>
    <row r="243" spans="3:24">
      <c r="C243" s="277"/>
      <c r="D243" s="270" t="s">
        <v>778</v>
      </c>
      <c r="E243" s="303" t="s">
        <v>909</v>
      </c>
      <c r="F243" s="303">
        <v>12</v>
      </c>
      <c r="G243" s="303">
        <v>1</v>
      </c>
      <c r="H243" s="303">
        <v>1</v>
      </c>
      <c r="I243" s="303">
        <v>1</v>
      </c>
      <c r="J243" s="303"/>
      <c r="K243" s="269">
        <v>2.9</v>
      </c>
      <c r="L243" s="303"/>
      <c r="M243" s="304"/>
      <c r="N243" s="304"/>
      <c r="O243" s="321">
        <f t="shared" si="27"/>
        <v>2.9</v>
      </c>
      <c r="P243" s="322">
        <f t="shared" si="28"/>
        <v>0</v>
      </c>
      <c r="Q243" s="322"/>
      <c r="R243" s="303">
        <f t="shared" si="29"/>
        <v>2.9</v>
      </c>
      <c r="S243" s="303" t="str">
        <f t="shared" si="30"/>
        <v>-</v>
      </c>
      <c r="T243" s="303" t="str">
        <f t="shared" si="31"/>
        <v>-</v>
      </c>
      <c r="U243" s="303">
        <f t="shared" si="32"/>
        <v>2.9</v>
      </c>
      <c r="V243" s="303" t="str">
        <f t="shared" si="33"/>
        <v>-</v>
      </c>
      <c r="W243" s="303" t="str">
        <f t="shared" si="34"/>
        <v>-</v>
      </c>
      <c r="X243" s="303" t="str">
        <f t="shared" si="35"/>
        <v>-</v>
      </c>
    </row>
    <row r="244" spans="3:24">
      <c r="C244" s="277"/>
      <c r="D244" s="270" t="s">
        <v>732</v>
      </c>
      <c r="E244" s="303" t="s">
        <v>909</v>
      </c>
      <c r="F244" s="303">
        <v>12</v>
      </c>
      <c r="G244" s="303">
        <v>1</v>
      </c>
      <c r="H244" s="303">
        <v>2</v>
      </c>
      <c r="I244" s="303">
        <v>1</v>
      </c>
      <c r="J244" s="303"/>
      <c r="K244" s="269">
        <v>2.4</v>
      </c>
      <c r="L244" s="303"/>
      <c r="M244" s="304"/>
      <c r="N244" s="304"/>
      <c r="O244" s="321">
        <f t="shared" si="27"/>
        <v>2.4</v>
      </c>
      <c r="P244" s="322">
        <f t="shared" si="28"/>
        <v>0</v>
      </c>
      <c r="Q244" s="322"/>
      <c r="R244" s="303">
        <f t="shared" si="29"/>
        <v>2.4</v>
      </c>
      <c r="S244" s="303" t="str">
        <f t="shared" si="30"/>
        <v>-</v>
      </c>
      <c r="T244" s="303" t="str">
        <f t="shared" si="31"/>
        <v>-</v>
      </c>
      <c r="U244" s="303">
        <f t="shared" si="32"/>
        <v>4.8</v>
      </c>
      <c r="V244" s="303" t="str">
        <f t="shared" si="33"/>
        <v>-</v>
      </c>
      <c r="W244" s="303" t="str">
        <f t="shared" si="34"/>
        <v>-</v>
      </c>
      <c r="X244" s="303" t="str">
        <f t="shared" si="35"/>
        <v>-</v>
      </c>
    </row>
    <row r="245" spans="3:24">
      <c r="C245" s="277"/>
      <c r="D245" s="270" t="s">
        <v>732</v>
      </c>
      <c r="E245" s="303" t="s">
        <v>909</v>
      </c>
      <c r="F245" s="303">
        <v>12</v>
      </c>
      <c r="G245" s="303">
        <v>1</v>
      </c>
      <c r="H245" s="303">
        <v>1</v>
      </c>
      <c r="I245" s="303">
        <v>1</v>
      </c>
      <c r="J245" s="303"/>
      <c r="K245" s="269">
        <v>3.5</v>
      </c>
      <c r="L245" s="303"/>
      <c r="M245" s="304"/>
      <c r="N245" s="304"/>
      <c r="O245" s="321">
        <f t="shared" si="27"/>
        <v>3.5</v>
      </c>
      <c r="P245" s="322">
        <f t="shared" si="28"/>
        <v>0</v>
      </c>
      <c r="Q245" s="322"/>
      <c r="R245" s="303">
        <f t="shared" si="29"/>
        <v>3.5</v>
      </c>
      <c r="S245" s="303" t="str">
        <f t="shared" si="30"/>
        <v>-</v>
      </c>
      <c r="T245" s="303" t="str">
        <f t="shared" si="31"/>
        <v>-</v>
      </c>
      <c r="U245" s="303">
        <f t="shared" si="32"/>
        <v>3.5</v>
      </c>
      <c r="V245" s="303" t="str">
        <f t="shared" si="33"/>
        <v>-</v>
      </c>
      <c r="W245" s="303" t="str">
        <f t="shared" si="34"/>
        <v>-</v>
      </c>
      <c r="X245" s="303" t="str">
        <f t="shared" si="35"/>
        <v>-</v>
      </c>
    </row>
    <row r="246" spans="3:24">
      <c r="C246" s="277"/>
      <c r="D246" s="270" t="s">
        <v>779</v>
      </c>
      <c r="E246" s="303" t="s">
        <v>909</v>
      </c>
      <c r="F246" s="303">
        <v>12</v>
      </c>
      <c r="G246" s="303">
        <v>1</v>
      </c>
      <c r="H246" s="303">
        <v>2</v>
      </c>
      <c r="I246" s="303">
        <v>1</v>
      </c>
      <c r="J246" s="303"/>
      <c r="K246" s="269">
        <v>2.9</v>
      </c>
      <c r="L246" s="303"/>
      <c r="M246" s="304"/>
      <c r="N246" s="304"/>
      <c r="O246" s="321">
        <f t="shared" si="27"/>
        <v>2.9</v>
      </c>
      <c r="P246" s="322">
        <f t="shared" si="28"/>
        <v>0</v>
      </c>
      <c r="Q246" s="322"/>
      <c r="R246" s="303">
        <f t="shared" si="29"/>
        <v>2.9</v>
      </c>
      <c r="S246" s="303" t="str">
        <f t="shared" si="30"/>
        <v>-</v>
      </c>
      <c r="T246" s="303" t="str">
        <f t="shared" si="31"/>
        <v>-</v>
      </c>
      <c r="U246" s="303">
        <f t="shared" si="32"/>
        <v>5.8</v>
      </c>
      <c r="V246" s="303" t="str">
        <f t="shared" si="33"/>
        <v>-</v>
      </c>
      <c r="W246" s="303" t="str">
        <f t="shared" si="34"/>
        <v>-</v>
      </c>
      <c r="X246" s="303" t="str">
        <f t="shared" si="35"/>
        <v>-</v>
      </c>
    </row>
    <row r="247" spans="3:24">
      <c r="C247" s="277"/>
      <c r="D247" s="270" t="s">
        <v>780</v>
      </c>
      <c r="E247" s="303" t="s">
        <v>909</v>
      </c>
      <c r="F247" s="303">
        <v>12</v>
      </c>
      <c r="G247" s="303">
        <v>1</v>
      </c>
      <c r="H247" s="303">
        <v>1</v>
      </c>
      <c r="I247" s="303">
        <v>1</v>
      </c>
      <c r="J247" s="303"/>
      <c r="K247" s="269">
        <v>3.5</v>
      </c>
      <c r="L247" s="303"/>
      <c r="M247" s="304"/>
      <c r="N247" s="304"/>
      <c r="O247" s="321">
        <f t="shared" si="27"/>
        <v>3.5</v>
      </c>
      <c r="P247" s="322">
        <f t="shared" si="28"/>
        <v>0</v>
      </c>
      <c r="Q247" s="322"/>
      <c r="R247" s="303">
        <f t="shared" si="29"/>
        <v>3.5</v>
      </c>
      <c r="S247" s="303" t="str">
        <f t="shared" si="30"/>
        <v>-</v>
      </c>
      <c r="T247" s="303" t="str">
        <f t="shared" si="31"/>
        <v>-</v>
      </c>
      <c r="U247" s="303">
        <f t="shared" si="32"/>
        <v>3.5</v>
      </c>
      <c r="V247" s="303" t="str">
        <f t="shared" si="33"/>
        <v>-</v>
      </c>
      <c r="W247" s="303" t="str">
        <f t="shared" si="34"/>
        <v>-</v>
      </c>
      <c r="X247" s="303" t="str">
        <f t="shared" si="35"/>
        <v>-</v>
      </c>
    </row>
    <row r="248" spans="3:24">
      <c r="C248" s="277"/>
      <c r="D248" s="270" t="s">
        <v>781</v>
      </c>
      <c r="E248" s="303" t="s">
        <v>909</v>
      </c>
      <c r="F248" s="303">
        <v>12</v>
      </c>
      <c r="G248" s="303">
        <v>1</v>
      </c>
      <c r="H248" s="303">
        <v>2</v>
      </c>
      <c r="I248" s="303">
        <v>1</v>
      </c>
      <c r="J248" s="303"/>
      <c r="K248" s="269">
        <v>2.9</v>
      </c>
      <c r="L248" s="303"/>
      <c r="M248" s="304"/>
      <c r="N248" s="304"/>
      <c r="O248" s="321">
        <f t="shared" si="27"/>
        <v>2.9</v>
      </c>
      <c r="P248" s="322">
        <f t="shared" si="28"/>
        <v>0</v>
      </c>
      <c r="Q248" s="322"/>
      <c r="R248" s="303">
        <f t="shared" si="29"/>
        <v>2.9</v>
      </c>
      <c r="S248" s="303" t="str">
        <f t="shared" si="30"/>
        <v>-</v>
      </c>
      <c r="T248" s="303" t="str">
        <f t="shared" si="31"/>
        <v>-</v>
      </c>
      <c r="U248" s="303">
        <f t="shared" si="32"/>
        <v>5.8</v>
      </c>
      <c r="V248" s="303" t="str">
        <f t="shared" si="33"/>
        <v>-</v>
      </c>
      <c r="W248" s="303" t="str">
        <f t="shared" si="34"/>
        <v>-</v>
      </c>
      <c r="X248" s="303" t="str">
        <f t="shared" si="35"/>
        <v>-</v>
      </c>
    </row>
    <row r="249" spans="3:24">
      <c r="C249" s="277"/>
      <c r="D249" s="270" t="s">
        <v>781</v>
      </c>
      <c r="E249" s="303" t="s">
        <v>909</v>
      </c>
      <c r="F249" s="303">
        <v>12</v>
      </c>
      <c r="G249" s="303">
        <v>1</v>
      </c>
      <c r="H249" s="303">
        <v>1</v>
      </c>
      <c r="I249" s="303">
        <v>1</v>
      </c>
      <c r="J249" s="303"/>
      <c r="K249" s="269">
        <v>3.5</v>
      </c>
      <c r="L249" s="303"/>
      <c r="M249" s="304"/>
      <c r="N249" s="304"/>
      <c r="O249" s="321">
        <f t="shared" si="27"/>
        <v>3.5</v>
      </c>
      <c r="P249" s="322">
        <f t="shared" si="28"/>
        <v>0</v>
      </c>
      <c r="Q249" s="322"/>
      <c r="R249" s="303">
        <f t="shared" si="29"/>
        <v>3.5</v>
      </c>
      <c r="S249" s="303" t="str">
        <f t="shared" si="30"/>
        <v>-</v>
      </c>
      <c r="T249" s="303" t="str">
        <f t="shared" si="31"/>
        <v>-</v>
      </c>
      <c r="U249" s="303">
        <f t="shared" si="32"/>
        <v>3.5</v>
      </c>
      <c r="V249" s="303" t="str">
        <f t="shared" si="33"/>
        <v>-</v>
      </c>
      <c r="W249" s="303" t="str">
        <f t="shared" si="34"/>
        <v>-</v>
      </c>
      <c r="X249" s="303" t="str">
        <f t="shared" si="35"/>
        <v>-</v>
      </c>
    </row>
    <row r="250" spans="3:24">
      <c r="C250" s="277"/>
      <c r="D250" s="270" t="s">
        <v>782</v>
      </c>
      <c r="E250" s="303" t="s">
        <v>909</v>
      </c>
      <c r="F250" s="303">
        <v>12</v>
      </c>
      <c r="G250" s="303">
        <v>1</v>
      </c>
      <c r="H250" s="303">
        <v>2</v>
      </c>
      <c r="I250" s="303">
        <v>1</v>
      </c>
      <c r="J250" s="303"/>
      <c r="K250" s="269">
        <v>2.4</v>
      </c>
      <c r="L250" s="303"/>
      <c r="M250" s="304"/>
      <c r="N250" s="304"/>
      <c r="O250" s="321">
        <f t="shared" si="27"/>
        <v>2.4</v>
      </c>
      <c r="P250" s="322">
        <f t="shared" si="28"/>
        <v>0</v>
      </c>
      <c r="Q250" s="322"/>
      <c r="R250" s="303">
        <f t="shared" si="29"/>
        <v>2.4</v>
      </c>
      <c r="S250" s="303" t="str">
        <f t="shared" si="30"/>
        <v>-</v>
      </c>
      <c r="T250" s="303" t="str">
        <f t="shared" si="31"/>
        <v>-</v>
      </c>
      <c r="U250" s="303">
        <f t="shared" si="32"/>
        <v>4.8</v>
      </c>
      <c r="V250" s="303" t="str">
        <f t="shared" si="33"/>
        <v>-</v>
      </c>
      <c r="W250" s="303" t="str">
        <f t="shared" si="34"/>
        <v>-</v>
      </c>
      <c r="X250" s="303" t="str">
        <f t="shared" si="35"/>
        <v>-</v>
      </c>
    </row>
    <row r="251" spans="3:24">
      <c r="C251" s="277"/>
      <c r="D251" s="270" t="s">
        <v>782</v>
      </c>
      <c r="E251" s="303" t="s">
        <v>909</v>
      </c>
      <c r="F251" s="303">
        <v>12</v>
      </c>
      <c r="G251" s="303">
        <v>1</v>
      </c>
      <c r="H251" s="303">
        <v>1</v>
      </c>
      <c r="I251" s="303">
        <v>1</v>
      </c>
      <c r="J251" s="303"/>
      <c r="K251" s="269">
        <v>3.5</v>
      </c>
      <c r="L251" s="303"/>
      <c r="M251" s="304"/>
      <c r="N251" s="304"/>
      <c r="O251" s="321">
        <f t="shared" si="27"/>
        <v>3.5</v>
      </c>
      <c r="P251" s="322">
        <f t="shared" si="28"/>
        <v>0</v>
      </c>
      <c r="Q251" s="322"/>
      <c r="R251" s="303">
        <f t="shared" si="29"/>
        <v>3.5</v>
      </c>
      <c r="S251" s="303" t="str">
        <f t="shared" si="30"/>
        <v>-</v>
      </c>
      <c r="T251" s="303" t="str">
        <f t="shared" si="31"/>
        <v>-</v>
      </c>
      <c r="U251" s="303">
        <f t="shared" si="32"/>
        <v>3.5</v>
      </c>
      <c r="V251" s="303" t="str">
        <f t="shared" si="33"/>
        <v>-</v>
      </c>
      <c r="W251" s="303" t="str">
        <f t="shared" si="34"/>
        <v>-</v>
      </c>
      <c r="X251" s="303" t="str">
        <f t="shared" si="35"/>
        <v>-</v>
      </c>
    </row>
    <row r="252" spans="3:24">
      <c r="C252" s="277"/>
      <c r="D252" s="270" t="s">
        <v>783</v>
      </c>
      <c r="E252" s="303" t="s">
        <v>909</v>
      </c>
      <c r="F252" s="303">
        <v>12</v>
      </c>
      <c r="G252" s="303">
        <v>1</v>
      </c>
      <c r="H252" s="303">
        <v>2</v>
      </c>
      <c r="I252" s="303">
        <v>1</v>
      </c>
      <c r="J252" s="303"/>
      <c r="K252" s="269">
        <v>2.4</v>
      </c>
      <c r="L252" s="303"/>
      <c r="M252" s="304"/>
      <c r="N252" s="304"/>
      <c r="O252" s="321">
        <f t="shared" si="27"/>
        <v>2.4</v>
      </c>
      <c r="P252" s="322">
        <f t="shared" si="28"/>
        <v>0</v>
      </c>
      <c r="Q252" s="322"/>
      <c r="R252" s="303">
        <f t="shared" si="29"/>
        <v>2.4</v>
      </c>
      <c r="S252" s="303" t="str">
        <f t="shared" si="30"/>
        <v>-</v>
      </c>
      <c r="T252" s="303" t="str">
        <f t="shared" si="31"/>
        <v>-</v>
      </c>
      <c r="U252" s="303">
        <f t="shared" si="32"/>
        <v>4.8</v>
      </c>
      <c r="V252" s="303" t="str">
        <f t="shared" si="33"/>
        <v>-</v>
      </c>
      <c r="W252" s="303" t="str">
        <f t="shared" si="34"/>
        <v>-</v>
      </c>
      <c r="X252" s="303" t="str">
        <f t="shared" si="35"/>
        <v>-</v>
      </c>
    </row>
    <row r="253" spans="3:24">
      <c r="C253" s="277"/>
      <c r="D253" s="270" t="s">
        <v>783</v>
      </c>
      <c r="E253" s="303" t="s">
        <v>909</v>
      </c>
      <c r="F253" s="303">
        <v>12</v>
      </c>
      <c r="G253" s="303">
        <v>1</v>
      </c>
      <c r="H253" s="303">
        <v>1</v>
      </c>
      <c r="I253" s="303">
        <v>1</v>
      </c>
      <c r="J253" s="303"/>
      <c r="K253" s="269">
        <v>2.9</v>
      </c>
      <c r="L253" s="303"/>
      <c r="M253" s="304"/>
      <c r="N253" s="304"/>
      <c r="O253" s="321">
        <f t="shared" si="27"/>
        <v>2.9</v>
      </c>
      <c r="P253" s="322">
        <f t="shared" si="28"/>
        <v>0</v>
      </c>
      <c r="Q253" s="322"/>
      <c r="R253" s="303">
        <f t="shared" si="29"/>
        <v>2.9</v>
      </c>
      <c r="S253" s="303" t="str">
        <f t="shared" si="30"/>
        <v>-</v>
      </c>
      <c r="T253" s="303" t="str">
        <f t="shared" si="31"/>
        <v>-</v>
      </c>
      <c r="U253" s="303">
        <f t="shared" si="32"/>
        <v>2.9</v>
      </c>
      <c r="V253" s="303" t="str">
        <f t="shared" si="33"/>
        <v>-</v>
      </c>
      <c r="W253" s="303" t="str">
        <f t="shared" si="34"/>
        <v>-</v>
      </c>
      <c r="X253" s="303" t="str">
        <f t="shared" si="35"/>
        <v>-</v>
      </c>
    </row>
    <row r="254" spans="3:24">
      <c r="C254" s="277"/>
      <c r="D254" s="270" t="s">
        <v>784</v>
      </c>
      <c r="E254" s="303" t="s">
        <v>909</v>
      </c>
      <c r="F254" s="303">
        <v>12</v>
      </c>
      <c r="G254" s="303">
        <v>1</v>
      </c>
      <c r="H254" s="303">
        <v>2</v>
      </c>
      <c r="I254" s="303">
        <v>1</v>
      </c>
      <c r="J254" s="303"/>
      <c r="K254" s="269">
        <v>4.25</v>
      </c>
      <c r="L254" s="303"/>
      <c r="M254" s="304"/>
      <c r="N254" s="304"/>
      <c r="O254" s="321">
        <f t="shared" si="27"/>
        <v>4.25</v>
      </c>
      <c r="P254" s="322">
        <f t="shared" si="28"/>
        <v>0</v>
      </c>
      <c r="Q254" s="322"/>
      <c r="R254" s="303">
        <f t="shared" si="29"/>
        <v>4.25</v>
      </c>
      <c r="S254" s="303" t="str">
        <f t="shared" si="30"/>
        <v>-</v>
      </c>
      <c r="T254" s="303" t="str">
        <f t="shared" si="31"/>
        <v>-</v>
      </c>
      <c r="U254" s="303">
        <f t="shared" si="32"/>
        <v>8.5</v>
      </c>
      <c r="V254" s="303" t="str">
        <f t="shared" si="33"/>
        <v>-</v>
      </c>
      <c r="W254" s="303" t="str">
        <f t="shared" si="34"/>
        <v>-</v>
      </c>
      <c r="X254" s="303" t="str">
        <f t="shared" si="35"/>
        <v>-</v>
      </c>
    </row>
    <row r="255" spans="3:24">
      <c r="C255" s="277"/>
      <c r="D255" s="270" t="s">
        <v>785</v>
      </c>
      <c r="E255" s="303" t="s">
        <v>909</v>
      </c>
      <c r="F255" s="303">
        <v>12</v>
      </c>
      <c r="G255" s="303">
        <v>1</v>
      </c>
      <c r="H255" s="303">
        <v>2</v>
      </c>
      <c r="I255" s="303">
        <v>1</v>
      </c>
      <c r="J255" s="303"/>
      <c r="K255" s="269">
        <v>4.25</v>
      </c>
      <c r="L255" s="303"/>
      <c r="M255" s="304"/>
      <c r="N255" s="304"/>
      <c r="O255" s="321">
        <f t="shared" si="27"/>
        <v>4.25</v>
      </c>
      <c r="P255" s="322">
        <f t="shared" si="28"/>
        <v>0</v>
      </c>
      <c r="Q255" s="322"/>
      <c r="R255" s="303">
        <f t="shared" si="29"/>
        <v>4.25</v>
      </c>
      <c r="S255" s="303" t="str">
        <f t="shared" si="30"/>
        <v>-</v>
      </c>
      <c r="T255" s="303" t="str">
        <f t="shared" si="31"/>
        <v>-</v>
      </c>
      <c r="U255" s="303">
        <f t="shared" si="32"/>
        <v>8.5</v>
      </c>
      <c r="V255" s="303" t="str">
        <f t="shared" si="33"/>
        <v>-</v>
      </c>
      <c r="W255" s="303" t="str">
        <f t="shared" si="34"/>
        <v>-</v>
      </c>
      <c r="X255" s="303" t="str">
        <f t="shared" si="35"/>
        <v>-</v>
      </c>
    </row>
    <row r="256" spans="3:24">
      <c r="C256" s="277"/>
      <c r="D256" s="270" t="s">
        <v>786</v>
      </c>
      <c r="E256" s="303" t="s">
        <v>909</v>
      </c>
      <c r="F256" s="303">
        <v>12</v>
      </c>
      <c r="G256" s="303">
        <v>1</v>
      </c>
      <c r="H256" s="303">
        <v>2</v>
      </c>
      <c r="I256" s="303">
        <v>1</v>
      </c>
      <c r="J256" s="303"/>
      <c r="K256" s="269">
        <v>4.3</v>
      </c>
      <c r="L256" s="303"/>
      <c r="M256" s="304"/>
      <c r="N256" s="304"/>
      <c r="O256" s="321">
        <f t="shared" si="27"/>
        <v>4.3</v>
      </c>
      <c r="P256" s="322">
        <f t="shared" si="28"/>
        <v>0</v>
      </c>
      <c r="Q256" s="322"/>
      <c r="R256" s="303">
        <f t="shared" si="29"/>
        <v>4.3</v>
      </c>
      <c r="S256" s="303" t="str">
        <f t="shared" si="30"/>
        <v>-</v>
      </c>
      <c r="T256" s="303" t="str">
        <f t="shared" si="31"/>
        <v>-</v>
      </c>
      <c r="U256" s="303">
        <f t="shared" si="32"/>
        <v>8.6</v>
      </c>
      <c r="V256" s="303" t="str">
        <f t="shared" si="33"/>
        <v>-</v>
      </c>
      <c r="W256" s="303" t="str">
        <f t="shared" si="34"/>
        <v>-</v>
      </c>
      <c r="X256" s="303" t="str">
        <f t="shared" si="35"/>
        <v>-</v>
      </c>
    </row>
    <row r="257" spans="3:24">
      <c r="C257" s="277"/>
      <c r="D257" s="270" t="s">
        <v>787</v>
      </c>
      <c r="E257" s="303" t="s">
        <v>909</v>
      </c>
      <c r="F257" s="303">
        <v>12</v>
      </c>
      <c r="G257" s="303">
        <v>1</v>
      </c>
      <c r="H257" s="303">
        <v>2</v>
      </c>
      <c r="I257" s="303">
        <v>1</v>
      </c>
      <c r="J257" s="303"/>
      <c r="K257" s="269">
        <v>4.25</v>
      </c>
      <c r="L257" s="303"/>
      <c r="M257" s="304"/>
      <c r="N257" s="304"/>
      <c r="O257" s="321">
        <f t="shared" si="27"/>
        <v>4.25</v>
      </c>
      <c r="P257" s="322">
        <f t="shared" si="28"/>
        <v>0</v>
      </c>
      <c r="Q257" s="322"/>
      <c r="R257" s="303">
        <f t="shared" si="29"/>
        <v>4.25</v>
      </c>
      <c r="S257" s="303" t="str">
        <f t="shared" si="30"/>
        <v>-</v>
      </c>
      <c r="T257" s="303" t="str">
        <f t="shared" si="31"/>
        <v>-</v>
      </c>
      <c r="U257" s="303">
        <f t="shared" si="32"/>
        <v>8.5</v>
      </c>
      <c r="V257" s="303" t="str">
        <f t="shared" si="33"/>
        <v>-</v>
      </c>
      <c r="W257" s="303" t="str">
        <f t="shared" si="34"/>
        <v>-</v>
      </c>
      <c r="X257" s="303" t="str">
        <f t="shared" si="35"/>
        <v>-</v>
      </c>
    </row>
    <row r="258" spans="3:24">
      <c r="C258" s="277"/>
      <c r="D258" s="270" t="s">
        <v>788</v>
      </c>
      <c r="E258" s="303" t="s">
        <v>909</v>
      </c>
      <c r="F258" s="303">
        <v>12</v>
      </c>
      <c r="G258" s="303">
        <v>1</v>
      </c>
      <c r="H258" s="303">
        <v>2</v>
      </c>
      <c r="I258" s="303">
        <v>1</v>
      </c>
      <c r="J258" s="303"/>
      <c r="K258" s="269">
        <v>4.25</v>
      </c>
      <c r="L258" s="303"/>
      <c r="M258" s="304"/>
      <c r="N258" s="304"/>
      <c r="O258" s="321">
        <f t="shared" si="27"/>
        <v>4.25</v>
      </c>
      <c r="P258" s="322">
        <f t="shared" si="28"/>
        <v>0</v>
      </c>
      <c r="Q258" s="322"/>
      <c r="R258" s="303">
        <f t="shared" si="29"/>
        <v>4.25</v>
      </c>
      <c r="S258" s="303" t="str">
        <f t="shared" si="30"/>
        <v>-</v>
      </c>
      <c r="T258" s="303" t="str">
        <f t="shared" si="31"/>
        <v>-</v>
      </c>
      <c r="U258" s="303">
        <f t="shared" si="32"/>
        <v>8.5</v>
      </c>
      <c r="V258" s="303" t="str">
        <f t="shared" si="33"/>
        <v>-</v>
      </c>
      <c r="W258" s="303" t="str">
        <f t="shared" si="34"/>
        <v>-</v>
      </c>
      <c r="X258" s="303" t="str">
        <f t="shared" si="35"/>
        <v>-</v>
      </c>
    </row>
    <row r="259" spans="3:24">
      <c r="C259" s="277"/>
      <c r="D259" s="270" t="s">
        <v>650</v>
      </c>
      <c r="E259" s="303" t="s">
        <v>909</v>
      </c>
      <c r="F259" s="303">
        <v>12</v>
      </c>
      <c r="G259" s="303">
        <v>1</v>
      </c>
      <c r="H259" s="303">
        <v>84</v>
      </c>
      <c r="I259" s="303">
        <v>1</v>
      </c>
      <c r="J259" s="303"/>
      <c r="K259" s="269">
        <v>0.59</v>
      </c>
      <c r="L259" s="303"/>
      <c r="M259" s="304"/>
      <c r="N259" s="304"/>
      <c r="O259" s="321">
        <f t="shared" si="27"/>
        <v>0.59</v>
      </c>
      <c r="P259" s="322">
        <f t="shared" si="28"/>
        <v>0</v>
      </c>
      <c r="Q259" s="322"/>
      <c r="R259" s="303">
        <f t="shared" si="29"/>
        <v>0.59</v>
      </c>
      <c r="S259" s="303" t="str">
        <f t="shared" si="30"/>
        <v>-</v>
      </c>
      <c r="T259" s="303" t="str">
        <f t="shared" si="31"/>
        <v>-</v>
      </c>
      <c r="U259" s="303">
        <f t="shared" si="32"/>
        <v>49.56</v>
      </c>
      <c r="V259" s="303" t="str">
        <f t="shared" si="33"/>
        <v>-</v>
      </c>
      <c r="W259" s="303" t="str">
        <f t="shared" si="34"/>
        <v>-</v>
      </c>
      <c r="X259" s="303" t="str">
        <f t="shared" si="35"/>
        <v>-</v>
      </c>
    </row>
    <row r="260" spans="3:24">
      <c r="C260" s="277"/>
      <c r="D260" s="270" t="s">
        <v>632</v>
      </c>
      <c r="E260" s="303" t="s">
        <v>907</v>
      </c>
      <c r="F260" s="303">
        <v>8</v>
      </c>
      <c r="G260" s="303">
        <v>1</v>
      </c>
      <c r="H260" s="303">
        <v>274</v>
      </c>
      <c r="I260" s="303">
        <v>1</v>
      </c>
      <c r="J260" s="303">
        <v>0.18</v>
      </c>
      <c r="K260" s="269">
        <v>0.4</v>
      </c>
      <c r="L260" s="303">
        <v>0.18</v>
      </c>
      <c r="M260" s="303">
        <v>0.4</v>
      </c>
      <c r="N260" s="303">
        <v>0.16</v>
      </c>
      <c r="O260" s="321">
        <f t="shared" si="27"/>
        <v>1.32</v>
      </c>
      <c r="P260" s="322">
        <f t="shared" si="28"/>
        <v>0.08</v>
      </c>
      <c r="Q260" s="322"/>
      <c r="R260" s="303">
        <f t="shared" si="29"/>
        <v>1.24</v>
      </c>
      <c r="S260" s="303">
        <f t="shared" si="30"/>
        <v>339.76</v>
      </c>
      <c r="T260" s="303" t="str">
        <f t="shared" si="31"/>
        <v>-</v>
      </c>
      <c r="U260" s="303" t="str">
        <f t="shared" si="32"/>
        <v>-</v>
      </c>
      <c r="V260" s="303" t="str">
        <f t="shared" si="33"/>
        <v>-</v>
      </c>
      <c r="W260" s="303" t="str">
        <f t="shared" si="34"/>
        <v>-</v>
      </c>
      <c r="X260" s="303" t="str">
        <f t="shared" si="35"/>
        <v>-</v>
      </c>
    </row>
    <row r="261" spans="3:24">
      <c r="C261" s="277"/>
      <c r="D261" s="270"/>
      <c r="E261" s="303"/>
      <c r="F261" s="303"/>
      <c r="G261" s="303"/>
      <c r="H261" s="303"/>
      <c r="I261" s="303"/>
      <c r="J261" s="303"/>
      <c r="K261" s="269"/>
      <c r="L261" s="303"/>
      <c r="M261" s="304"/>
      <c r="N261" s="304"/>
      <c r="O261" s="321">
        <f t="shared" si="27"/>
        <v>0</v>
      </c>
      <c r="P261" s="322">
        <f t="shared" si="28"/>
        <v>0</v>
      </c>
      <c r="Q261" s="322"/>
      <c r="R261" s="303">
        <f t="shared" si="29"/>
        <v>0</v>
      </c>
      <c r="S261" s="303" t="str">
        <f t="shared" si="30"/>
        <v>-</v>
      </c>
      <c r="T261" s="303" t="str">
        <f t="shared" si="31"/>
        <v>-</v>
      </c>
      <c r="U261" s="303" t="str">
        <f t="shared" si="32"/>
        <v>-</v>
      </c>
      <c r="V261" s="303" t="str">
        <f t="shared" si="33"/>
        <v>-</v>
      </c>
      <c r="W261" s="303" t="str">
        <f t="shared" si="34"/>
        <v>-</v>
      </c>
      <c r="X261" s="303" t="str">
        <f t="shared" si="35"/>
        <v>-</v>
      </c>
    </row>
    <row r="262" spans="3:24">
      <c r="C262" s="277">
        <v>27</v>
      </c>
      <c r="D262" s="268" t="s">
        <v>789</v>
      </c>
      <c r="E262" s="332" t="s">
        <v>908</v>
      </c>
      <c r="F262" s="332">
        <v>12</v>
      </c>
      <c r="G262" s="332">
        <v>1</v>
      </c>
      <c r="H262" s="332">
        <v>6</v>
      </c>
      <c r="I262" s="332">
        <v>1</v>
      </c>
      <c r="J262" s="332">
        <v>0.12</v>
      </c>
      <c r="K262" s="286">
        <v>6.65</v>
      </c>
      <c r="L262" s="332">
        <v>0.12</v>
      </c>
      <c r="M262" s="333"/>
      <c r="N262" s="333"/>
      <c r="O262" s="321">
        <f t="shared" ref="O262:O324" si="36">J262+K262+L262+M262+N262</f>
        <v>6.8900000000000006</v>
      </c>
      <c r="P262" s="322">
        <f t="shared" ref="P262:P324" si="37">IF(E262="Ring",F262*2*5,IF(E262="U Shape",F262*2*2,IF(E262="L Shape",F262*2*1,IF(E262="Streight",F262*2*0,IF(E262="Trianguler",F262*2*4,IF(E262="Z Shape",F262*2*2))))))/1000</f>
        <v>4.8000000000000001E-2</v>
      </c>
      <c r="Q262" s="322"/>
      <c r="R262" s="303">
        <f t="shared" ref="R262:R324" si="38">O262-P262</f>
        <v>6.8420000000000005</v>
      </c>
      <c r="S262" s="303" t="str">
        <f t="shared" ref="S262:S324" si="39">IF(F262=8,ROUND(PRODUCT(G262:I262,R262),2),"-")</f>
        <v>-</v>
      </c>
      <c r="T262" s="303" t="str">
        <f t="shared" ref="T262:T324" si="40">IF(F262=10,ROUND(PRODUCT(G262:I262,R262),2),"-")</f>
        <v>-</v>
      </c>
      <c r="U262" s="303">
        <f t="shared" ref="U262:U324" si="41">IF(F262=12,ROUND(PRODUCT(G262:I262,R262),2),"-")</f>
        <v>41.05</v>
      </c>
      <c r="V262" s="303" t="str">
        <f t="shared" ref="V262:V324" si="42">IF(F262=16,ROUND(PRODUCT(G262:I262,R262),2),"-")</f>
        <v>-</v>
      </c>
      <c r="W262" s="303" t="str">
        <f t="shared" ref="W262:W324" si="43">IF(F262=20,ROUND(PRODUCT(G262:I262,R262),2),"-")</f>
        <v>-</v>
      </c>
      <c r="X262" s="303" t="str">
        <f t="shared" ref="X262:X324" si="44">IF(F262=25,ROUND(PRODUCT(G262:I262,R262),2),"-")</f>
        <v>-</v>
      </c>
    </row>
    <row r="263" spans="3:24">
      <c r="C263" s="277"/>
      <c r="D263" s="270" t="s">
        <v>747</v>
      </c>
      <c r="E263" s="303" t="s">
        <v>910</v>
      </c>
      <c r="F263" s="303">
        <v>12</v>
      </c>
      <c r="G263" s="303">
        <v>1</v>
      </c>
      <c r="H263" s="303">
        <v>2</v>
      </c>
      <c r="I263" s="303">
        <v>1</v>
      </c>
      <c r="J263" s="303">
        <v>0.12</v>
      </c>
      <c r="K263" s="269">
        <v>1.875</v>
      </c>
      <c r="L263" s="303"/>
      <c r="M263" s="304"/>
      <c r="N263" s="304"/>
      <c r="O263" s="321">
        <f t="shared" si="36"/>
        <v>1.9950000000000001</v>
      </c>
      <c r="P263" s="322">
        <f t="shared" si="37"/>
        <v>2.4E-2</v>
      </c>
      <c r="Q263" s="322"/>
      <c r="R263" s="303">
        <f t="shared" si="38"/>
        <v>1.9710000000000001</v>
      </c>
      <c r="S263" s="303" t="str">
        <f t="shared" si="39"/>
        <v>-</v>
      </c>
      <c r="T263" s="303" t="str">
        <f t="shared" si="40"/>
        <v>-</v>
      </c>
      <c r="U263" s="303">
        <f t="shared" si="41"/>
        <v>3.94</v>
      </c>
      <c r="V263" s="303" t="str">
        <f t="shared" si="42"/>
        <v>-</v>
      </c>
      <c r="W263" s="303" t="str">
        <f t="shared" si="43"/>
        <v>-</v>
      </c>
      <c r="X263" s="303" t="str">
        <f t="shared" si="44"/>
        <v>-</v>
      </c>
    </row>
    <row r="264" spans="3:24">
      <c r="C264" s="277"/>
      <c r="D264" s="270" t="s">
        <v>768</v>
      </c>
      <c r="E264" s="303" t="s">
        <v>910</v>
      </c>
      <c r="F264" s="303">
        <v>12</v>
      </c>
      <c r="G264" s="303">
        <v>1</v>
      </c>
      <c r="H264" s="303">
        <v>2</v>
      </c>
      <c r="I264" s="303">
        <v>1</v>
      </c>
      <c r="J264" s="303">
        <v>0.12</v>
      </c>
      <c r="K264" s="269">
        <v>1.875</v>
      </c>
      <c r="L264" s="303"/>
      <c r="M264" s="304"/>
      <c r="N264" s="304"/>
      <c r="O264" s="321">
        <f t="shared" si="36"/>
        <v>1.9950000000000001</v>
      </c>
      <c r="P264" s="322">
        <f t="shared" si="37"/>
        <v>2.4E-2</v>
      </c>
      <c r="Q264" s="322"/>
      <c r="R264" s="303">
        <f t="shared" si="38"/>
        <v>1.9710000000000001</v>
      </c>
      <c r="S264" s="303" t="str">
        <f t="shared" si="39"/>
        <v>-</v>
      </c>
      <c r="T264" s="303" t="str">
        <f t="shared" si="40"/>
        <v>-</v>
      </c>
      <c r="U264" s="303">
        <f t="shared" si="41"/>
        <v>3.94</v>
      </c>
      <c r="V264" s="303" t="str">
        <f t="shared" si="42"/>
        <v>-</v>
      </c>
      <c r="W264" s="303" t="str">
        <f t="shared" si="43"/>
        <v>-</v>
      </c>
      <c r="X264" s="303" t="str">
        <f t="shared" si="44"/>
        <v>-</v>
      </c>
    </row>
    <row r="265" spans="3:24">
      <c r="C265" s="277"/>
      <c r="D265" s="270" t="s">
        <v>786</v>
      </c>
      <c r="E265" s="303" t="s">
        <v>909</v>
      </c>
      <c r="F265" s="303">
        <v>16</v>
      </c>
      <c r="G265" s="303">
        <v>1</v>
      </c>
      <c r="H265" s="303">
        <v>2</v>
      </c>
      <c r="I265" s="303">
        <v>1</v>
      </c>
      <c r="J265" s="303"/>
      <c r="K265" s="269">
        <v>4.3</v>
      </c>
      <c r="L265" s="303"/>
      <c r="M265" s="304"/>
      <c r="N265" s="304"/>
      <c r="O265" s="321">
        <f t="shared" si="36"/>
        <v>4.3</v>
      </c>
      <c r="P265" s="322">
        <f t="shared" si="37"/>
        <v>0</v>
      </c>
      <c r="Q265" s="322"/>
      <c r="R265" s="303">
        <f t="shared" si="38"/>
        <v>4.3</v>
      </c>
      <c r="S265" s="303" t="str">
        <f t="shared" si="39"/>
        <v>-</v>
      </c>
      <c r="T265" s="303" t="str">
        <f t="shared" si="40"/>
        <v>-</v>
      </c>
      <c r="U265" s="303" t="str">
        <f t="shared" si="41"/>
        <v>-</v>
      </c>
      <c r="V265" s="303">
        <f t="shared" si="42"/>
        <v>8.6</v>
      </c>
      <c r="W265" s="303" t="str">
        <f t="shared" si="43"/>
        <v>-</v>
      </c>
      <c r="X265" s="303" t="str">
        <f t="shared" si="44"/>
        <v>-</v>
      </c>
    </row>
    <row r="266" spans="3:24">
      <c r="C266" s="277"/>
      <c r="D266" s="270" t="s">
        <v>650</v>
      </c>
      <c r="E266" s="303" t="s">
        <v>909</v>
      </c>
      <c r="F266" s="303">
        <v>16</v>
      </c>
      <c r="G266" s="303">
        <v>1</v>
      </c>
      <c r="H266" s="303">
        <v>12</v>
      </c>
      <c r="I266" s="303">
        <v>1</v>
      </c>
      <c r="J266" s="303"/>
      <c r="K266" s="269">
        <v>0.78400000000000003</v>
      </c>
      <c r="L266" s="303"/>
      <c r="M266" s="304"/>
      <c r="N266" s="304"/>
      <c r="O266" s="321">
        <f t="shared" si="36"/>
        <v>0.78400000000000003</v>
      </c>
      <c r="P266" s="322">
        <f t="shared" si="37"/>
        <v>0</v>
      </c>
      <c r="Q266" s="322"/>
      <c r="R266" s="303">
        <f t="shared" si="38"/>
        <v>0.78400000000000003</v>
      </c>
      <c r="S266" s="303" t="str">
        <f t="shared" si="39"/>
        <v>-</v>
      </c>
      <c r="T266" s="303" t="str">
        <f t="shared" si="40"/>
        <v>-</v>
      </c>
      <c r="U266" s="303" t="str">
        <f t="shared" si="41"/>
        <v>-</v>
      </c>
      <c r="V266" s="303">
        <f t="shared" si="42"/>
        <v>9.41</v>
      </c>
      <c r="W266" s="303" t="str">
        <f t="shared" si="43"/>
        <v>-</v>
      </c>
      <c r="X266" s="303" t="str">
        <f t="shared" si="44"/>
        <v>-</v>
      </c>
    </row>
    <row r="267" spans="3:24">
      <c r="C267" s="277"/>
      <c r="D267" s="270" t="s">
        <v>632</v>
      </c>
      <c r="E267" s="303" t="s">
        <v>907</v>
      </c>
      <c r="F267" s="303">
        <v>10</v>
      </c>
      <c r="G267" s="303">
        <v>1</v>
      </c>
      <c r="H267" s="303">
        <v>43</v>
      </c>
      <c r="I267" s="303">
        <v>1</v>
      </c>
      <c r="J267" s="303">
        <v>0.18</v>
      </c>
      <c r="K267" s="269">
        <v>0.55000000000000004</v>
      </c>
      <c r="L267" s="303">
        <v>0.18</v>
      </c>
      <c r="M267" s="303">
        <v>0.55000000000000004</v>
      </c>
      <c r="N267" s="303">
        <v>0.2</v>
      </c>
      <c r="O267" s="321">
        <f t="shared" si="36"/>
        <v>1.66</v>
      </c>
      <c r="P267" s="322">
        <f t="shared" si="37"/>
        <v>0.1</v>
      </c>
      <c r="Q267" s="322"/>
      <c r="R267" s="303">
        <f t="shared" si="38"/>
        <v>1.5599999999999998</v>
      </c>
      <c r="S267" s="303" t="str">
        <f t="shared" si="39"/>
        <v>-</v>
      </c>
      <c r="T267" s="303">
        <f t="shared" si="40"/>
        <v>67.08</v>
      </c>
      <c r="U267" s="303" t="str">
        <f t="shared" si="41"/>
        <v>-</v>
      </c>
      <c r="V267" s="303" t="str">
        <f t="shared" si="42"/>
        <v>-</v>
      </c>
      <c r="W267" s="303" t="str">
        <f t="shared" si="43"/>
        <v>-</v>
      </c>
      <c r="X267" s="303" t="str">
        <f t="shared" si="44"/>
        <v>-</v>
      </c>
    </row>
    <row r="268" spans="3:24">
      <c r="C268" s="277"/>
      <c r="D268" s="287"/>
      <c r="E268" s="265"/>
      <c r="F268" s="265"/>
      <c r="G268" s="265"/>
      <c r="H268" s="265"/>
      <c r="I268" s="265"/>
      <c r="J268" s="265"/>
      <c r="K268" s="286"/>
      <c r="L268" s="265"/>
      <c r="M268" s="334"/>
      <c r="N268" s="334"/>
      <c r="O268" s="321">
        <f t="shared" si="36"/>
        <v>0</v>
      </c>
      <c r="P268" s="322">
        <f t="shared" si="37"/>
        <v>0</v>
      </c>
      <c r="Q268" s="322"/>
      <c r="R268" s="303">
        <f t="shared" si="38"/>
        <v>0</v>
      </c>
      <c r="S268" s="303" t="str">
        <f t="shared" si="39"/>
        <v>-</v>
      </c>
      <c r="T268" s="303" t="str">
        <f t="shared" si="40"/>
        <v>-</v>
      </c>
      <c r="U268" s="303" t="str">
        <f t="shared" si="41"/>
        <v>-</v>
      </c>
      <c r="V268" s="303" t="str">
        <f t="shared" si="42"/>
        <v>-</v>
      </c>
      <c r="W268" s="303" t="str">
        <f t="shared" si="43"/>
        <v>-</v>
      </c>
      <c r="X268" s="303" t="str">
        <f t="shared" si="44"/>
        <v>-</v>
      </c>
    </row>
    <row r="269" spans="3:24">
      <c r="C269" s="277">
        <v>28</v>
      </c>
      <c r="D269" s="268" t="s">
        <v>927</v>
      </c>
      <c r="E269" s="303" t="s">
        <v>908</v>
      </c>
      <c r="F269" s="303">
        <v>16</v>
      </c>
      <c r="G269" s="303">
        <v>1</v>
      </c>
      <c r="H269" s="303">
        <v>6</v>
      </c>
      <c r="I269" s="303">
        <v>1</v>
      </c>
      <c r="J269" s="303">
        <v>0.16</v>
      </c>
      <c r="K269" s="269">
        <v>6.65</v>
      </c>
      <c r="L269" s="303">
        <v>0.16</v>
      </c>
      <c r="M269" s="304"/>
      <c r="N269" s="304"/>
      <c r="O269" s="321">
        <f t="shared" si="36"/>
        <v>6.9700000000000006</v>
      </c>
      <c r="P269" s="322">
        <f t="shared" si="37"/>
        <v>6.4000000000000001E-2</v>
      </c>
      <c r="Q269" s="322"/>
      <c r="R269" s="303">
        <f t="shared" si="38"/>
        <v>6.9060000000000006</v>
      </c>
      <c r="S269" s="303" t="str">
        <f t="shared" si="39"/>
        <v>-</v>
      </c>
      <c r="T269" s="303" t="str">
        <f t="shared" si="40"/>
        <v>-</v>
      </c>
      <c r="U269" s="303" t="str">
        <f t="shared" si="41"/>
        <v>-</v>
      </c>
      <c r="V269" s="303">
        <f t="shared" si="42"/>
        <v>41.44</v>
      </c>
      <c r="W269" s="303" t="str">
        <f t="shared" si="43"/>
        <v>-</v>
      </c>
      <c r="X269" s="303" t="str">
        <f t="shared" si="44"/>
        <v>-</v>
      </c>
    </row>
    <row r="270" spans="3:24">
      <c r="C270" s="277"/>
      <c r="D270" s="270" t="s">
        <v>928</v>
      </c>
      <c r="E270" s="303" t="s">
        <v>910</v>
      </c>
      <c r="F270" s="303">
        <v>12</v>
      </c>
      <c r="G270" s="303">
        <v>1</v>
      </c>
      <c r="H270" s="303">
        <v>2</v>
      </c>
      <c r="I270" s="303">
        <v>1</v>
      </c>
      <c r="J270" s="303">
        <v>0.12</v>
      </c>
      <c r="K270" s="269">
        <v>1.875</v>
      </c>
      <c r="L270" s="303"/>
      <c r="M270" s="304"/>
      <c r="N270" s="304"/>
      <c r="O270" s="321">
        <f t="shared" si="36"/>
        <v>1.9950000000000001</v>
      </c>
      <c r="P270" s="322">
        <f t="shared" si="37"/>
        <v>2.4E-2</v>
      </c>
      <c r="Q270" s="322"/>
      <c r="R270" s="303">
        <f t="shared" si="38"/>
        <v>1.9710000000000001</v>
      </c>
      <c r="S270" s="303" t="str">
        <f t="shared" si="39"/>
        <v>-</v>
      </c>
      <c r="T270" s="303" t="str">
        <f t="shared" si="40"/>
        <v>-</v>
      </c>
      <c r="U270" s="303">
        <f t="shared" si="41"/>
        <v>3.94</v>
      </c>
      <c r="V270" s="303" t="str">
        <f t="shared" si="42"/>
        <v>-</v>
      </c>
      <c r="W270" s="303" t="str">
        <f t="shared" si="43"/>
        <v>-</v>
      </c>
      <c r="X270" s="303" t="str">
        <f t="shared" si="44"/>
        <v>-</v>
      </c>
    </row>
    <row r="271" spans="3:24">
      <c r="C271" s="277"/>
      <c r="D271" s="270" t="s">
        <v>929</v>
      </c>
      <c r="E271" s="303" t="s">
        <v>910</v>
      </c>
      <c r="F271" s="303">
        <v>12</v>
      </c>
      <c r="G271" s="303">
        <v>1</v>
      </c>
      <c r="H271" s="303">
        <v>2</v>
      </c>
      <c r="I271" s="303">
        <v>1</v>
      </c>
      <c r="J271" s="303">
        <v>0.12</v>
      </c>
      <c r="K271" s="269">
        <v>1.875</v>
      </c>
      <c r="L271" s="303"/>
      <c r="M271" s="304"/>
      <c r="N271" s="304"/>
      <c r="O271" s="321">
        <f t="shared" si="36"/>
        <v>1.9950000000000001</v>
      </c>
      <c r="P271" s="322">
        <f t="shared" si="37"/>
        <v>2.4E-2</v>
      </c>
      <c r="Q271" s="322"/>
      <c r="R271" s="303">
        <f t="shared" si="38"/>
        <v>1.9710000000000001</v>
      </c>
      <c r="S271" s="303" t="str">
        <f t="shared" si="39"/>
        <v>-</v>
      </c>
      <c r="T271" s="303" t="str">
        <f t="shared" si="40"/>
        <v>-</v>
      </c>
      <c r="U271" s="303">
        <f t="shared" si="41"/>
        <v>3.94</v>
      </c>
      <c r="V271" s="303" t="str">
        <f t="shared" si="42"/>
        <v>-</v>
      </c>
      <c r="W271" s="303" t="str">
        <f t="shared" si="43"/>
        <v>-</v>
      </c>
      <c r="X271" s="303" t="str">
        <f t="shared" si="44"/>
        <v>-</v>
      </c>
    </row>
    <row r="272" spans="3:24">
      <c r="C272" s="277"/>
      <c r="D272" s="270" t="s">
        <v>930</v>
      </c>
      <c r="E272" s="303" t="s">
        <v>909</v>
      </c>
      <c r="F272" s="303">
        <v>16</v>
      </c>
      <c r="G272" s="303">
        <v>1</v>
      </c>
      <c r="H272" s="303">
        <v>2</v>
      </c>
      <c r="I272" s="303">
        <v>1</v>
      </c>
      <c r="J272" s="303"/>
      <c r="K272" s="269">
        <v>4.3</v>
      </c>
      <c r="L272" s="303"/>
      <c r="M272" s="304"/>
      <c r="N272" s="304"/>
      <c r="O272" s="321">
        <f t="shared" si="36"/>
        <v>4.3</v>
      </c>
      <c r="P272" s="322">
        <f t="shared" si="37"/>
        <v>0</v>
      </c>
      <c r="Q272" s="322"/>
      <c r="R272" s="303">
        <f t="shared" si="38"/>
        <v>4.3</v>
      </c>
      <c r="S272" s="303" t="str">
        <f t="shared" si="39"/>
        <v>-</v>
      </c>
      <c r="T272" s="303" t="str">
        <f t="shared" si="40"/>
        <v>-</v>
      </c>
      <c r="U272" s="303" t="str">
        <f t="shared" si="41"/>
        <v>-</v>
      </c>
      <c r="V272" s="303">
        <f t="shared" si="42"/>
        <v>8.6</v>
      </c>
      <c r="W272" s="303" t="str">
        <f t="shared" si="43"/>
        <v>-</v>
      </c>
      <c r="X272" s="303" t="str">
        <f t="shared" si="44"/>
        <v>-</v>
      </c>
    </row>
    <row r="273" spans="3:24">
      <c r="C273" s="277"/>
      <c r="D273" s="270" t="s">
        <v>790</v>
      </c>
      <c r="E273" s="303" t="s">
        <v>909</v>
      </c>
      <c r="F273" s="303">
        <v>16</v>
      </c>
      <c r="G273" s="303">
        <v>1</v>
      </c>
      <c r="H273" s="303">
        <v>12</v>
      </c>
      <c r="I273" s="303">
        <v>1</v>
      </c>
      <c r="J273" s="303"/>
      <c r="K273" s="269">
        <v>0.78400000000000003</v>
      </c>
      <c r="L273" s="303"/>
      <c r="M273" s="304"/>
      <c r="N273" s="304"/>
      <c r="O273" s="321">
        <f t="shared" si="36"/>
        <v>0.78400000000000003</v>
      </c>
      <c r="P273" s="322">
        <f t="shared" si="37"/>
        <v>0</v>
      </c>
      <c r="Q273" s="322"/>
      <c r="R273" s="303">
        <f t="shared" si="38"/>
        <v>0.78400000000000003</v>
      </c>
      <c r="S273" s="303" t="str">
        <f t="shared" si="39"/>
        <v>-</v>
      </c>
      <c r="T273" s="303" t="str">
        <f t="shared" si="40"/>
        <v>-</v>
      </c>
      <c r="U273" s="303" t="str">
        <f t="shared" si="41"/>
        <v>-</v>
      </c>
      <c r="V273" s="303">
        <f t="shared" si="42"/>
        <v>9.41</v>
      </c>
      <c r="W273" s="303" t="str">
        <f t="shared" si="43"/>
        <v>-</v>
      </c>
      <c r="X273" s="303" t="str">
        <f t="shared" si="44"/>
        <v>-</v>
      </c>
    </row>
    <row r="274" spans="3:24">
      <c r="C274" s="277"/>
      <c r="D274" s="270" t="s">
        <v>632</v>
      </c>
      <c r="E274" s="303" t="s">
        <v>907</v>
      </c>
      <c r="F274" s="303">
        <v>10</v>
      </c>
      <c r="G274" s="303">
        <v>1</v>
      </c>
      <c r="H274" s="303">
        <v>43</v>
      </c>
      <c r="I274" s="303">
        <v>1</v>
      </c>
      <c r="J274" s="303">
        <v>0.18</v>
      </c>
      <c r="K274" s="269">
        <v>0.55000000000000004</v>
      </c>
      <c r="L274" s="303">
        <v>0.18</v>
      </c>
      <c r="M274" s="303">
        <v>0.55000000000000004</v>
      </c>
      <c r="N274" s="303">
        <v>0.2</v>
      </c>
      <c r="O274" s="321">
        <f t="shared" si="36"/>
        <v>1.66</v>
      </c>
      <c r="P274" s="322">
        <f t="shared" si="37"/>
        <v>0.1</v>
      </c>
      <c r="Q274" s="322"/>
      <c r="R274" s="303">
        <f t="shared" si="38"/>
        <v>1.5599999999999998</v>
      </c>
      <c r="S274" s="303" t="str">
        <f t="shared" si="39"/>
        <v>-</v>
      </c>
      <c r="T274" s="303">
        <f t="shared" si="40"/>
        <v>67.08</v>
      </c>
      <c r="U274" s="303" t="str">
        <f t="shared" si="41"/>
        <v>-</v>
      </c>
      <c r="V274" s="303" t="str">
        <f t="shared" si="42"/>
        <v>-</v>
      </c>
      <c r="W274" s="303" t="str">
        <f t="shared" si="43"/>
        <v>-</v>
      </c>
      <c r="X274" s="303" t="str">
        <f t="shared" si="44"/>
        <v>-</v>
      </c>
    </row>
    <row r="275" spans="3:24">
      <c r="C275" s="277"/>
      <c r="D275" s="287"/>
      <c r="E275" s="265"/>
      <c r="F275" s="265"/>
      <c r="G275" s="265"/>
      <c r="H275" s="265"/>
      <c r="I275" s="265"/>
      <c r="J275" s="265"/>
      <c r="K275" s="286"/>
      <c r="L275" s="265"/>
      <c r="M275" s="334"/>
      <c r="N275" s="334"/>
      <c r="O275" s="321">
        <f t="shared" si="36"/>
        <v>0</v>
      </c>
      <c r="P275" s="322">
        <f t="shared" si="37"/>
        <v>0</v>
      </c>
      <c r="Q275" s="322"/>
      <c r="R275" s="303">
        <f t="shared" si="38"/>
        <v>0</v>
      </c>
      <c r="S275" s="303" t="str">
        <f t="shared" si="39"/>
        <v>-</v>
      </c>
      <c r="T275" s="303" t="str">
        <f t="shared" si="40"/>
        <v>-</v>
      </c>
      <c r="U275" s="303" t="str">
        <f t="shared" si="41"/>
        <v>-</v>
      </c>
      <c r="V275" s="303" t="str">
        <f t="shared" si="42"/>
        <v>-</v>
      </c>
      <c r="W275" s="303" t="str">
        <f t="shared" si="43"/>
        <v>-</v>
      </c>
      <c r="X275" s="303" t="str">
        <f t="shared" si="44"/>
        <v>-</v>
      </c>
    </row>
    <row r="276" spans="3:24">
      <c r="C276" s="277">
        <v>29</v>
      </c>
      <c r="D276" s="288" t="s">
        <v>791</v>
      </c>
      <c r="E276" s="303" t="s">
        <v>908</v>
      </c>
      <c r="F276" s="303">
        <v>12</v>
      </c>
      <c r="G276" s="303">
        <v>1</v>
      </c>
      <c r="H276" s="303">
        <v>6</v>
      </c>
      <c r="I276" s="303">
        <v>2</v>
      </c>
      <c r="J276" s="303">
        <v>0.12</v>
      </c>
      <c r="K276" s="269">
        <v>12.913</v>
      </c>
      <c r="L276" s="303">
        <v>0.12</v>
      </c>
      <c r="M276" s="304"/>
      <c r="N276" s="304"/>
      <c r="O276" s="321">
        <f t="shared" si="36"/>
        <v>13.152999999999999</v>
      </c>
      <c r="P276" s="322">
        <f t="shared" si="37"/>
        <v>4.8000000000000001E-2</v>
      </c>
      <c r="Q276" s="322"/>
      <c r="R276" s="303">
        <f t="shared" si="38"/>
        <v>13.104999999999999</v>
      </c>
      <c r="S276" s="303" t="str">
        <f t="shared" si="39"/>
        <v>-</v>
      </c>
      <c r="T276" s="303" t="str">
        <f t="shared" si="40"/>
        <v>-</v>
      </c>
      <c r="U276" s="303">
        <f t="shared" si="41"/>
        <v>157.26</v>
      </c>
      <c r="V276" s="303" t="str">
        <f t="shared" si="42"/>
        <v>-</v>
      </c>
      <c r="W276" s="303" t="str">
        <f t="shared" si="43"/>
        <v>-</v>
      </c>
      <c r="X276" s="303" t="str">
        <f t="shared" si="44"/>
        <v>-</v>
      </c>
    </row>
    <row r="277" spans="3:24">
      <c r="C277" s="277"/>
      <c r="D277" s="289" t="s">
        <v>911</v>
      </c>
      <c r="E277" s="303" t="s">
        <v>909</v>
      </c>
      <c r="F277" s="303">
        <v>12</v>
      </c>
      <c r="G277" s="303">
        <v>1</v>
      </c>
      <c r="H277" s="303">
        <v>2</v>
      </c>
      <c r="I277" s="303">
        <v>2</v>
      </c>
      <c r="J277" s="303"/>
      <c r="K277" s="269">
        <v>2.5499999999999998</v>
      </c>
      <c r="L277" s="303"/>
      <c r="M277" s="304"/>
      <c r="N277" s="304"/>
      <c r="O277" s="321">
        <f t="shared" si="36"/>
        <v>2.5499999999999998</v>
      </c>
      <c r="P277" s="322">
        <f t="shared" si="37"/>
        <v>0</v>
      </c>
      <c r="Q277" s="322"/>
      <c r="R277" s="303">
        <f t="shared" si="38"/>
        <v>2.5499999999999998</v>
      </c>
      <c r="S277" s="303" t="str">
        <f t="shared" si="39"/>
        <v>-</v>
      </c>
      <c r="T277" s="303" t="str">
        <f t="shared" si="40"/>
        <v>-</v>
      </c>
      <c r="U277" s="303">
        <f t="shared" si="41"/>
        <v>10.199999999999999</v>
      </c>
      <c r="V277" s="303" t="str">
        <f t="shared" si="42"/>
        <v>-</v>
      </c>
      <c r="W277" s="303" t="str">
        <f t="shared" si="43"/>
        <v>-</v>
      </c>
      <c r="X277" s="303" t="str">
        <f t="shared" si="44"/>
        <v>-</v>
      </c>
    </row>
    <row r="278" spans="3:24">
      <c r="C278" s="277"/>
      <c r="D278" s="290" t="s">
        <v>792</v>
      </c>
      <c r="E278" s="303" t="s">
        <v>909</v>
      </c>
      <c r="F278" s="303">
        <v>12</v>
      </c>
      <c r="G278" s="303">
        <v>1</v>
      </c>
      <c r="H278" s="303">
        <v>2</v>
      </c>
      <c r="I278" s="303">
        <v>2</v>
      </c>
      <c r="J278" s="303"/>
      <c r="K278" s="269">
        <v>2.75</v>
      </c>
      <c r="L278" s="303"/>
      <c r="M278" s="304"/>
      <c r="N278" s="304"/>
      <c r="O278" s="321">
        <f t="shared" si="36"/>
        <v>2.75</v>
      </c>
      <c r="P278" s="322">
        <f t="shared" si="37"/>
        <v>0</v>
      </c>
      <c r="Q278" s="322"/>
      <c r="R278" s="303">
        <f t="shared" si="38"/>
        <v>2.75</v>
      </c>
      <c r="S278" s="303" t="str">
        <f t="shared" si="39"/>
        <v>-</v>
      </c>
      <c r="T278" s="303" t="str">
        <f t="shared" si="40"/>
        <v>-</v>
      </c>
      <c r="U278" s="303">
        <f t="shared" si="41"/>
        <v>11</v>
      </c>
      <c r="V278" s="303" t="str">
        <f t="shared" si="42"/>
        <v>-</v>
      </c>
      <c r="W278" s="303" t="str">
        <f t="shared" si="43"/>
        <v>-</v>
      </c>
      <c r="X278" s="303" t="str">
        <f t="shared" si="44"/>
        <v>-</v>
      </c>
    </row>
    <row r="279" spans="3:24">
      <c r="C279" s="277"/>
      <c r="D279" s="290" t="s">
        <v>793</v>
      </c>
      <c r="E279" s="303" t="s">
        <v>910</v>
      </c>
      <c r="F279" s="303">
        <v>12</v>
      </c>
      <c r="G279" s="303">
        <v>1</v>
      </c>
      <c r="H279" s="303">
        <v>2</v>
      </c>
      <c r="I279" s="303">
        <v>2</v>
      </c>
      <c r="J279" s="303">
        <v>0.12</v>
      </c>
      <c r="K279" s="269">
        <v>1.575</v>
      </c>
      <c r="L279" s="303"/>
      <c r="M279" s="304"/>
      <c r="N279" s="304"/>
      <c r="O279" s="321">
        <f t="shared" si="36"/>
        <v>1.6949999999999998</v>
      </c>
      <c r="P279" s="322">
        <f t="shared" si="37"/>
        <v>2.4E-2</v>
      </c>
      <c r="Q279" s="322"/>
      <c r="R279" s="303">
        <f t="shared" si="38"/>
        <v>1.6709999999999998</v>
      </c>
      <c r="S279" s="303" t="str">
        <f t="shared" si="39"/>
        <v>-</v>
      </c>
      <c r="T279" s="303" t="str">
        <f t="shared" si="40"/>
        <v>-</v>
      </c>
      <c r="U279" s="303">
        <f t="shared" si="41"/>
        <v>6.68</v>
      </c>
      <c r="V279" s="303" t="str">
        <f t="shared" si="42"/>
        <v>-</v>
      </c>
      <c r="W279" s="303" t="str">
        <f t="shared" si="43"/>
        <v>-</v>
      </c>
      <c r="X279" s="303" t="str">
        <f t="shared" si="44"/>
        <v>-</v>
      </c>
    </row>
    <row r="280" spans="3:24">
      <c r="C280" s="277"/>
      <c r="D280" s="290" t="s">
        <v>794</v>
      </c>
      <c r="E280" s="303" t="s">
        <v>909</v>
      </c>
      <c r="F280" s="303">
        <v>12</v>
      </c>
      <c r="G280" s="303">
        <v>1</v>
      </c>
      <c r="H280" s="303">
        <v>2</v>
      </c>
      <c r="I280" s="303">
        <v>2</v>
      </c>
      <c r="J280" s="303"/>
      <c r="K280" s="269">
        <v>3.3119999999999998</v>
      </c>
      <c r="L280" s="303"/>
      <c r="M280" s="304"/>
      <c r="N280" s="304"/>
      <c r="O280" s="321">
        <f t="shared" si="36"/>
        <v>3.3119999999999998</v>
      </c>
      <c r="P280" s="322">
        <f t="shared" si="37"/>
        <v>0</v>
      </c>
      <c r="Q280" s="322"/>
      <c r="R280" s="303">
        <f t="shared" si="38"/>
        <v>3.3119999999999998</v>
      </c>
      <c r="S280" s="303" t="str">
        <f t="shared" si="39"/>
        <v>-</v>
      </c>
      <c r="T280" s="303" t="str">
        <f t="shared" si="40"/>
        <v>-</v>
      </c>
      <c r="U280" s="303">
        <f t="shared" si="41"/>
        <v>13.25</v>
      </c>
      <c r="V280" s="303" t="str">
        <f t="shared" si="42"/>
        <v>-</v>
      </c>
      <c r="W280" s="303" t="str">
        <f t="shared" si="43"/>
        <v>-</v>
      </c>
      <c r="X280" s="303" t="str">
        <f t="shared" si="44"/>
        <v>-</v>
      </c>
    </row>
    <row r="281" spans="3:24">
      <c r="C281" s="277"/>
      <c r="D281" s="290" t="s">
        <v>790</v>
      </c>
      <c r="E281" s="303" t="s">
        <v>909</v>
      </c>
      <c r="F281" s="303">
        <v>12</v>
      </c>
      <c r="G281" s="303">
        <v>1</v>
      </c>
      <c r="H281" s="303">
        <v>36</v>
      </c>
      <c r="I281" s="303">
        <v>2</v>
      </c>
      <c r="J281" s="303"/>
      <c r="K281" s="269">
        <v>0.59</v>
      </c>
      <c r="L281" s="303"/>
      <c r="M281" s="304"/>
      <c r="N281" s="304"/>
      <c r="O281" s="321">
        <f t="shared" si="36"/>
        <v>0.59</v>
      </c>
      <c r="P281" s="322">
        <f t="shared" si="37"/>
        <v>0</v>
      </c>
      <c r="Q281" s="322"/>
      <c r="R281" s="303">
        <f t="shared" si="38"/>
        <v>0.59</v>
      </c>
      <c r="S281" s="303" t="str">
        <f t="shared" si="39"/>
        <v>-</v>
      </c>
      <c r="T281" s="303" t="str">
        <f t="shared" si="40"/>
        <v>-</v>
      </c>
      <c r="U281" s="303">
        <f t="shared" si="41"/>
        <v>42.48</v>
      </c>
      <c r="V281" s="303" t="str">
        <f t="shared" si="42"/>
        <v>-</v>
      </c>
      <c r="W281" s="303" t="str">
        <f t="shared" si="43"/>
        <v>-</v>
      </c>
      <c r="X281" s="303" t="str">
        <f t="shared" si="44"/>
        <v>-</v>
      </c>
    </row>
    <row r="282" spans="3:24">
      <c r="C282" s="277"/>
      <c r="D282" s="290" t="s">
        <v>632</v>
      </c>
      <c r="E282" s="303" t="s">
        <v>907</v>
      </c>
      <c r="F282" s="303">
        <v>8</v>
      </c>
      <c r="G282" s="303">
        <v>1</v>
      </c>
      <c r="H282" s="303">
        <v>84</v>
      </c>
      <c r="I282" s="303">
        <v>2</v>
      </c>
      <c r="J282" s="303">
        <v>0.18</v>
      </c>
      <c r="K282" s="269">
        <v>0.4</v>
      </c>
      <c r="L282" s="303">
        <v>0.18</v>
      </c>
      <c r="M282" s="303">
        <v>0.4</v>
      </c>
      <c r="N282" s="303">
        <v>0.16</v>
      </c>
      <c r="O282" s="321">
        <f t="shared" si="36"/>
        <v>1.32</v>
      </c>
      <c r="P282" s="322">
        <f t="shared" si="37"/>
        <v>0.08</v>
      </c>
      <c r="Q282" s="322"/>
      <c r="R282" s="303">
        <f t="shared" si="38"/>
        <v>1.24</v>
      </c>
      <c r="S282" s="303">
        <f t="shared" si="39"/>
        <v>208.32</v>
      </c>
      <c r="T282" s="303" t="str">
        <f t="shared" si="40"/>
        <v>-</v>
      </c>
      <c r="U282" s="303" t="str">
        <f t="shared" si="41"/>
        <v>-</v>
      </c>
      <c r="V282" s="303" t="str">
        <f t="shared" si="42"/>
        <v>-</v>
      </c>
      <c r="W282" s="303" t="str">
        <f t="shared" si="43"/>
        <v>-</v>
      </c>
      <c r="X282" s="303" t="str">
        <f t="shared" si="44"/>
        <v>-</v>
      </c>
    </row>
    <row r="283" spans="3:24">
      <c r="C283" s="277"/>
      <c r="D283" s="290"/>
      <c r="E283" s="303"/>
      <c r="F283" s="303"/>
      <c r="G283" s="303"/>
      <c r="H283" s="303"/>
      <c r="I283" s="303"/>
      <c r="J283" s="303"/>
      <c r="K283" s="269"/>
      <c r="L283" s="303"/>
      <c r="M283" s="304"/>
      <c r="N283" s="304"/>
      <c r="O283" s="321">
        <f t="shared" si="36"/>
        <v>0</v>
      </c>
      <c r="P283" s="322">
        <f t="shared" si="37"/>
        <v>0</v>
      </c>
      <c r="Q283" s="322"/>
      <c r="R283" s="303">
        <f t="shared" si="38"/>
        <v>0</v>
      </c>
      <c r="S283" s="303" t="str">
        <f t="shared" si="39"/>
        <v>-</v>
      </c>
      <c r="T283" s="303" t="str">
        <f t="shared" si="40"/>
        <v>-</v>
      </c>
      <c r="U283" s="303" t="str">
        <f t="shared" si="41"/>
        <v>-</v>
      </c>
      <c r="V283" s="303" t="str">
        <f t="shared" si="42"/>
        <v>-</v>
      </c>
      <c r="W283" s="303" t="str">
        <f t="shared" si="43"/>
        <v>-</v>
      </c>
      <c r="X283" s="303" t="str">
        <f t="shared" si="44"/>
        <v>-</v>
      </c>
    </row>
    <row r="284" spans="3:24">
      <c r="C284" s="277">
        <v>30</v>
      </c>
      <c r="D284" s="268" t="s">
        <v>795</v>
      </c>
      <c r="E284" s="303" t="s">
        <v>908</v>
      </c>
      <c r="F284" s="303">
        <v>12</v>
      </c>
      <c r="G284" s="303">
        <v>1</v>
      </c>
      <c r="H284" s="303">
        <v>6</v>
      </c>
      <c r="I284" s="303">
        <v>2</v>
      </c>
      <c r="J284" s="303">
        <v>0.12</v>
      </c>
      <c r="K284" s="269">
        <v>22.78</v>
      </c>
      <c r="L284" s="303">
        <v>0.12</v>
      </c>
      <c r="M284" s="304"/>
      <c r="N284" s="304"/>
      <c r="O284" s="321">
        <f t="shared" si="36"/>
        <v>23.020000000000003</v>
      </c>
      <c r="P284" s="322">
        <f t="shared" si="37"/>
        <v>4.8000000000000001E-2</v>
      </c>
      <c r="Q284" s="322"/>
      <c r="R284" s="303">
        <f t="shared" si="38"/>
        <v>22.972000000000005</v>
      </c>
      <c r="S284" s="303" t="str">
        <f t="shared" si="39"/>
        <v>-</v>
      </c>
      <c r="T284" s="303" t="str">
        <f t="shared" si="40"/>
        <v>-</v>
      </c>
      <c r="U284" s="303">
        <f t="shared" si="41"/>
        <v>275.66000000000003</v>
      </c>
      <c r="V284" s="303" t="str">
        <f t="shared" si="42"/>
        <v>-</v>
      </c>
      <c r="W284" s="303" t="str">
        <f t="shared" si="43"/>
        <v>-</v>
      </c>
      <c r="X284" s="303" t="str">
        <f t="shared" si="44"/>
        <v>-</v>
      </c>
    </row>
    <row r="285" spans="3:24">
      <c r="C285" s="277"/>
      <c r="D285" s="270" t="s">
        <v>796</v>
      </c>
      <c r="E285" s="303" t="s">
        <v>910</v>
      </c>
      <c r="F285" s="303">
        <v>12</v>
      </c>
      <c r="G285" s="303">
        <v>1</v>
      </c>
      <c r="H285" s="303">
        <v>2</v>
      </c>
      <c r="I285" s="303">
        <v>2</v>
      </c>
      <c r="J285" s="303">
        <v>0.12</v>
      </c>
      <c r="K285" s="269">
        <v>1.375</v>
      </c>
      <c r="L285" s="303"/>
      <c r="M285" s="304"/>
      <c r="N285" s="304"/>
      <c r="O285" s="321">
        <f t="shared" si="36"/>
        <v>1.4950000000000001</v>
      </c>
      <c r="P285" s="322">
        <f t="shared" si="37"/>
        <v>2.4E-2</v>
      </c>
      <c r="Q285" s="322"/>
      <c r="R285" s="303">
        <f t="shared" si="38"/>
        <v>1.4710000000000001</v>
      </c>
      <c r="S285" s="303" t="str">
        <f t="shared" si="39"/>
        <v>-</v>
      </c>
      <c r="T285" s="303" t="str">
        <f t="shared" si="40"/>
        <v>-</v>
      </c>
      <c r="U285" s="303">
        <f t="shared" si="41"/>
        <v>5.88</v>
      </c>
      <c r="V285" s="303" t="str">
        <f t="shared" si="42"/>
        <v>-</v>
      </c>
      <c r="W285" s="303" t="str">
        <f t="shared" si="43"/>
        <v>-</v>
      </c>
      <c r="X285" s="303" t="str">
        <f t="shared" si="44"/>
        <v>-</v>
      </c>
    </row>
    <row r="286" spans="3:24">
      <c r="C286" s="277"/>
      <c r="D286" s="270" t="s">
        <v>796</v>
      </c>
      <c r="E286" s="303" t="s">
        <v>910</v>
      </c>
      <c r="F286" s="303">
        <v>12</v>
      </c>
      <c r="G286" s="303">
        <v>1</v>
      </c>
      <c r="H286" s="303">
        <v>1</v>
      </c>
      <c r="I286" s="303">
        <v>2</v>
      </c>
      <c r="J286" s="303">
        <v>0.12</v>
      </c>
      <c r="K286" s="269">
        <v>1.875</v>
      </c>
      <c r="L286" s="303"/>
      <c r="M286" s="304"/>
      <c r="N286" s="304"/>
      <c r="O286" s="321">
        <f t="shared" si="36"/>
        <v>1.9950000000000001</v>
      </c>
      <c r="P286" s="322">
        <f t="shared" si="37"/>
        <v>2.4E-2</v>
      </c>
      <c r="Q286" s="322"/>
      <c r="R286" s="303">
        <f t="shared" si="38"/>
        <v>1.9710000000000001</v>
      </c>
      <c r="S286" s="303" t="str">
        <f t="shared" si="39"/>
        <v>-</v>
      </c>
      <c r="T286" s="303" t="str">
        <f t="shared" si="40"/>
        <v>-</v>
      </c>
      <c r="U286" s="303">
        <f t="shared" si="41"/>
        <v>3.94</v>
      </c>
      <c r="V286" s="303" t="str">
        <f t="shared" si="42"/>
        <v>-</v>
      </c>
      <c r="W286" s="303" t="str">
        <f t="shared" si="43"/>
        <v>-</v>
      </c>
      <c r="X286" s="303" t="str">
        <f t="shared" si="44"/>
        <v>-</v>
      </c>
    </row>
    <row r="287" spans="3:24">
      <c r="C287" s="277"/>
      <c r="D287" s="270" t="s">
        <v>797</v>
      </c>
      <c r="E287" s="303" t="s">
        <v>909</v>
      </c>
      <c r="F287" s="303">
        <v>12</v>
      </c>
      <c r="G287" s="303">
        <v>1</v>
      </c>
      <c r="H287" s="303">
        <v>4</v>
      </c>
      <c r="I287" s="303">
        <v>2</v>
      </c>
      <c r="J287" s="303"/>
      <c r="K287" s="269">
        <v>2.4</v>
      </c>
      <c r="L287" s="303"/>
      <c r="M287" s="304"/>
      <c r="N287" s="304"/>
      <c r="O287" s="321">
        <f t="shared" si="36"/>
        <v>2.4</v>
      </c>
      <c r="P287" s="322">
        <f t="shared" si="37"/>
        <v>0</v>
      </c>
      <c r="Q287" s="322"/>
      <c r="R287" s="303">
        <f t="shared" si="38"/>
        <v>2.4</v>
      </c>
      <c r="S287" s="303" t="str">
        <f t="shared" si="39"/>
        <v>-</v>
      </c>
      <c r="T287" s="303" t="str">
        <f t="shared" si="40"/>
        <v>-</v>
      </c>
      <c r="U287" s="303">
        <f t="shared" si="41"/>
        <v>19.2</v>
      </c>
      <c r="V287" s="303" t="str">
        <f t="shared" si="42"/>
        <v>-</v>
      </c>
      <c r="W287" s="303" t="str">
        <f t="shared" si="43"/>
        <v>-</v>
      </c>
      <c r="X287" s="303" t="str">
        <f t="shared" si="44"/>
        <v>-</v>
      </c>
    </row>
    <row r="288" spans="3:24">
      <c r="C288" s="277"/>
      <c r="D288" s="270" t="s">
        <v>797</v>
      </c>
      <c r="E288" s="303" t="s">
        <v>909</v>
      </c>
      <c r="F288" s="303">
        <v>12</v>
      </c>
      <c r="G288" s="303">
        <v>1</v>
      </c>
      <c r="H288" s="303">
        <v>2</v>
      </c>
      <c r="I288" s="303">
        <v>2</v>
      </c>
      <c r="J288" s="303"/>
      <c r="K288" s="269">
        <v>3.4</v>
      </c>
      <c r="L288" s="303"/>
      <c r="M288" s="304"/>
      <c r="N288" s="304"/>
      <c r="O288" s="321">
        <f t="shared" si="36"/>
        <v>3.4</v>
      </c>
      <c r="P288" s="322">
        <f t="shared" si="37"/>
        <v>0</v>
      </c>
      <c r="Q288" s="322"/>
      <c r="R288" s="303">
        <f t="shared" si="38"/>
        <v>3.4</v>
      </c>
      <c r="S288" s="303" t="str">
        <f t="shared" si="39"/>
        <v>-</v>
      </c>
      <c r="T288" s="303" t="str">
        <f t="shared" si="40"/>
        <v>-</v>
      </c>
      <c r="U288" s="303">
        <f t="shared" si="41"/>
        <v>13.6</v>
      </c>
      <c r="V288" s="303" t="str">
        <f t="shared" si="42"/>
        <v>-</v>
      </c>
      <c r="W288" s="303" t="str">
        <f t="shared" si="43"/>
        <v>-</v>
      </c>
      <c r="X288" s="303" t="str">
        <f t="shared" si="44"/>
        <v>-</v>
      </c>
    </row>
    <row r="289" spans="3:24">
      <c r="C289" s="277"/>
      <c r="D289" s="270" t="s">
        <v>912</v>
      </c>
      <c r="E289" s="303" t="s">
        <v>909</v>
      </c>
      <c r="F289" s="303">
        <v>12</v>
      </c>
      <c r="G289" s="303">
        <v>1</v>
      </c>
      <c r="H289" s="303">
        <v>1</v>
      </c>
      <c r="I289" s="303">
        <v>2</v>
      </c>
      <c r="J289" s="303"/>
      <c r="K289" s="269">
        <v>3.9</v>
      </c>
      <c r="L289" s="303"/>
      <c r="M289" s="304"/>
      <c r="N289" s="304"/>
      <c r="O289" s="321">
        <f t="shared" si="36"/>
        <v>3.9</v>
      </c>
      <c r="P289" s="322">
        <f t="shared" si="37"/>
        <v>0</v>
      </c>
      <c r="Q289" s="322"/>
      <c r="R289" s="303">
        <f t="shared" si="38"/>
        <v>3.9</v>
      </c>
      <c r="S289" s="303" t="str">
        <f t="shared" si="39"/>
        <v>-</v>
      </c>
      <c r="T289" s="303" t="str">
        <f t="shared" si="40"/>
        <v>-</v>
      </c>
      <c r="U289" s="303">
        <f t="shared" si="41"/>
        <v>7.8</v>
      </c>
      <c r="V289" s="303" t="str">
        <f t="shared" si="42"/>
        <v>-</v>
      </c>
      <c r="W289" s="303" t="str">
        <f t="shared" si="43"/>
        <v>-</v>
      </c>
      <c r="X289" s="303" t="str">
        <f t="shared" si="44"/>
        <v>-</v>
      </c>
    </row>
    <row r="290" spans="3:24">
      <c r="C290" s="277"/>
      <c r="D290" s="270" t="s">
        <v>913</v>
      </c>
      <c r="E290" s="303" t="s">
        <v>909</v>
      </c>
      <c r="F290" s="303">
        <v>12</v>
      </c>
      <c r="G290" s="303">
        <v>1</v>
      </c>
      <c r="H290" s="303">
        <v>2</v>
      </c>
      <c r="I290" s="303">
        <v>2</v>
      </c>
      <c r="J290" s="303"/>
      <c r="K290" s="269">
        <v>2.4</v>
      </c>
      <c r="L290" s="303"/>
      <c r="M290" s="304"/>
      <c r="N290" s="304"/>
      <c r="O290" s="321">
        <f t="shared" si="36"/>
        <v>2.4</v>
      </c>
      <c r="P290" s="322">
        <f t="shared" si="37"/>
        <v>0</v>
      </c>
      <c r="Q290" s="322"/>
      <c r="R290" s="303">
        <f t="shared" si="38"/>
        <v>2.4</v>
      </c>
      <c r="S290" s="303" t="str">
        <f t="shared" si="39"/>
        <v>-</v>
      </c>
      <c r="T290" s="303" t="str">
        <f t="shared" si="40"/>
        <v>-</v>
      </c>
      <c r="U290" s="303">
        <f t="shared" si="41"/>
        <v>9.6</v>
      </c>
      <c r="V290" s="303" t="str">
        <f t="shared" si="42"/>
        <v>-</v>
      </c>
      <c r="W290" s="303" t="str">
        <f t="shared" si="43"/>
        <v>-</v>
      </c>
      <c r="X290" s="303" t="str">
        <f t="shared" si="44"/>
        <v>-</v>
      </c>
    </row>
    <row r="291" spans="3:24">
      <c r="C291" s="277"/>
      <c r="D291" s="270" t="s">
        <v>798</v>
      </c>
      <c r="E291" s="303" t="s">
        <v>909</v>
      </c>
      <c r="F291" s="303">
        <v>12</v>
      </c>
      <c r="G291" s="303">
        <v>1</v>
      </c>
      <c r="H291" s="303">
        <v>2</v>
      </c>
      <c r="I291" s="303">
        <v>2</v>
      </c>
      <c r="J291" s="303"/>
      <c r="K291" s="269">
        <v>4.25</v>
      </c>
      <c r="L291" s="303"/>
      <c r="M291" s="304"/>
      <c r="N291" s="304"/>
      <c r="O291" s="321">
        <f t="shared" si="36"/>
        <v>4.25</v>
      </c>
      <c r="P291" s="322">
        <f t="shared" si="37"/>
        <v>0</v>
      </c>
      <c r="Q291" s="322"/>
      <c r="R291" s="303">
        <f t="shared" si="38"/>
        <v>4.25</v>
      </c>
      <c r="S291" s="303" t="str">
        <f t="shared" si="39"/>
        <v>-</v>
      </c>
      <c r="T291" s="303" t="str">
        <f t="shared" si="40"/>
        <v>-</v>
      </c>
      <c r="U291" s="303">
        <f t="shared" si="41"/>
        <v>17</v>
      </c>
      <c r="V291" s="303" t="str">
        <f t="shared" si="42"/>
        <v>-</v>
      </c>
      <c r="W291" s="303" t="str">
        <f t="shared" si="43"/>
        <v>-</v>
      </c>
      <c r="X291" s="303" t="str">
        <f t="shared" si="44"/>
        <v>-</v>
      </c>
    </row>
    <row r="292" spans="3:24">
      <c r="C292" s="277"/>
      <c r="D292" s="270" t="s">
        <v>799</v>
      </c>
      <c r="E292" s="303" t="s">
        <v>909</v>
      </c>
      <c r="F292" s="303">
        <v>12</v>
      </c>
      <c r="G292" s="303">
        <v>1</v>
      </c>
      <c r="H292" s="303">
        <v>6</v>
      </c>
      <c r="I292" s="303">
        <v>2</v>
      </c>
      <c r="J292" s="303"/>
      <c r="K292" s="269">
        <v>4.2</v>
      </c>
      <c r="L292" s="303"/>
      <c r="M292" s="304"/>
      <c r="N292" s="304"/>
      <c r="O292" s="321">
        <f t="shared" si="36"/>
        <v>4.2</v>
      </c>
      <c r="P292" s="322">
        <f t="shared" si="37"/>
        <v>0</v>
      </c>
      <c r="Q292" s="322"/>
      <c r="R292" s="303">
        <f t="shared" si="38"/>
        <v>4.2</v>
      </c>
      <c r="S292" s="303" t="str">
        <f t="shared" si="39"/>
        <v>-</v>
      </c>
      <c r="T292" s="303" t="str">
        <f t="shared" si="40"/>
        <v>-</v>
      </c>
      <c r="U292" s="303">
        <f t="shared" si="41"/>
        <v>50.4</v>
      </c>
      <c r="V292" s="303" t="str">
        <f t="shared" si="42"/>
        <v>-</v>
      </c>
      <c r="W292" s="303" t="str">
        <f t="shared" si="43"/>
        <v>-</v>
      </c>
      <c r="X292" s="303" t="str">
        <f t="shared" si="44"/>
        <v>-</v>
      </c>
    </row>
    <row r="293" spans="3:24">
      <c r="C293" s="277"/>
      <c r="D293" s="270" t="s">
        <v>790</v>
      </c>
      <c r="E293" s="303" t="s">
        <v>909</v>
      </c>
      <c r="F293" s="303">
        <v>12</v>
      </c>
      <c r="G293" s="303">
        <v>1</v>
      </c>
      <c r="H293" s="303">
        <v>42</v>
      </c>
      <c r="I293" s="303">
        <v>2</v>
      </c>
      <c r="J293" s="303"/>
      <c r="K293" s="269">
        <v>0.59</v>
      </c>
      <c r="L293" s="303"/>
      <c r="M293" s="304"/>
      <c r="N293" s="304"/>
      <c r="O293" s="321">
        <f t="shared" si="36"/>
        <v>0.59</v>
      </c>
      <c r="P293" s="322">
        <f t="shared" si="37"/>
        <v>0</v>
      </c>
      <c r="Q293" s="322"/>
      <c r="R293" s="303">
        <f t="shared" si="38"/>
        <v>0.59</v>
      </c>
      <c r="S293" s="303" t="str">
        <f t="shared" si="39"/>
        <v>-</v>
      </c>
      <c r="T293" s="303" t="str">
        <f t="shared" si="40"/>
        <v>-</v>
      </c>
      <c r="U293" s="303">
        <f t="shared" si="41"/>
        <v>49.56</v>
      </c>
      <c r="V293" s="303" t="str">
        <f t="shared" si="42"/>
        <v>-</v>
      </c>
      <c r="W293" s="303" t="str">
        <f t="shared" si="43"/>
        <v>-</v>
      </c>
      <c r="X293" s="303" t="str">
        <f t="shared" si="44"/>
        <v>-</v>
      </c>
    </row>
    <row r="294" spans="3:24">
      <c r="C294" s="277"/>
      <c r="D294" s="270" t="s">
        <v>632</v>
      </c>
      <c r="E294" s="303" t="s">
        <v>907</v>
      </c>
      <c r="F294" s="303">
        <v>8</v>
      </c>
      <c r="G294" s="303">
        <v>1</v>
      </c>
      <c r="H294" s="303">
        <v>168</v>
      </c>
      <c r="I294" s="303">
        <v>2</v>
      </c>
      <c r="J294" s="303">
        <v>0.18</v>
      </c>
      <c r="K294" s="269">
        <v>0.4</v>
      </c>
      <c r="L294" s="303">
        <v>0.18</v>
      </c>
      <c r="M294" s="303">
        <v>0.4</v>
      </c>
      <c r="N294" s="303">
        <v>0.16</v>
      </c>
      <c r="O294" s="321">
        <f t="shared" si="36"/>
        <v>1.32</v>
      </c>
      <c r="P294" s="322">
        <f t="shared" si="37"/>
        <v>0.08</v>
      </c>
      <c r="Q294" s="322"/>
      <c r="R294" s="303">
        <f t="shared" si="38"/>
        <v>1.24</v>
      </c>
      <c r="S294" s="303">
        <f t="shared" si="39"/>
        <v>416.64</v>
      </c>
      <c r="T294" s="303" t="str">
        <f t="shared" si="40"/>
        <v>-</v>
      </c>
      <c r="U294" s="303" t="str">
        <f t="shared" si="41"/>
        <v>-</v>
      </c>
      <c r="V294" s="303" t="str">
        <f t="shared" si="42"/>
        <v>-</v>
      </c>
      <c r="W294" s="303" t="str">
        <f t="shared" si="43"/>
        <v>-</v>
      </c>
      <c r="X294" s="303" t="str">
        <f t="shared" si="44"/>
        <v>-</v>
      </c>
    </row>
    <row r="295" spans="3:24">
      <c r="C295" s="277"/>
      <c r="D295" s="270"/>
      <c r="E295" s="303"/>
      <c r="F295" s="303"/>
      <c r="G295" s="303"/>
      <c r="H295" s="303"/>
      <c r="I295" s="303"/>
      <c r="J295" s="303"/>
      <c r="K295" s="269"/>
      <c r="L295" s="303"/>
      <c r="M295" s="304"/>
      <c r="N295" s="304"/>
      <c r="O295" s="321">
        <f t="shared" si="36"/>
        <v>0</v>
      </c>
      <c r="P295" s="322">
        <f t="shared" si="37"/>
        <v>0</v>
      </c>
      <c r="Q295" s="322"/>
      <c r="R295" s="303">
        <f t="shared" si="38"/>
        <v>0</v>
      </c>
      <c r="S295" s="303" t="str">
        <f t="shared" si="39"/>
        <v>-</v>
      </c>
      <c r="T295" s="303" t="str">
        <f t="shared" si="40"/>
        <v>-</v>
      </c>
      <c r="U295" s="303" t="str">
        <f t="shared" si="41"/>
        <v>-</v>
      </c>
      <c r="V295" s="303" t="str">
        <f t="shared" si="42"/>
        <v>-</v>
      </c>
      <c r="W295" s="303" t="str">
        <f t="shared" si="43"/>
        <v>-</v>
      </c>
      <c r="X295" s="303" t="str">
        <f t="shared" si="44"/>
        <v>-</v>
      </c>
    </row>
    <row r="296" spans="3:24">
      <c r="C296" s="277">
        <v>31</v>
      </c>
      <c r="D296" s="283" t="s">
        <v>800</v>
      </c>
      <c r="E296" s="303" t="s">
        <v>908</v>
      </c>
      <c r="F296" s="303">
        <v>12</v>
      </c>
      <c r="G296" s="303">
        <v>1</v>
      </c>
      <c r="H296" s="303">
        <v>6</v>
      </c>
      <c r="I296" s="303">
        <v>2</v>
      </c>
      <c r="J296" s="303">
        <v>0.12</v>
      </c>
      <c r="K296" s="291">
        <v>4.125</v>
      </c>
      <c r="L296" s="303">
        <v>0.12</v>
      </c>
      <c r="M296" s="304"/>
      <c r="N296" s="304"/>
      <c r="O296" s="321">
        <f t="shared" si="36"/>
        <v>4.3650000000000002</v>
      </c>
      <c r="P296" s="322">
        <f t="shared" si="37"/>
        <v>4.8000000000000001E-2</v>
      </c>
      <c r="Q296" s="322"/>
      <c r="R296" s="303">
        <f t="shared" si="38"/>
        <v>4.3170000000000002</v>
      </c>
      <c r="S296" s="303" t="str">
        <f t="shared" si="39"/>
        <v>-</v>
      </c>
      <c r="T296" s="303" t="str">
        <f t="shared" si="40"/>
        <v>-</v>
      </c>
      <c r="U296" s="303">
        <f t="shared" si="41"/>
        <v>51.8</v>
      </c>
      <c r="V296" s="303" t="str">
        <f t="shared" si="42"/>
        <v>-</v>
      </c>
      <c r="W296" s="303" t="str">
        <f t="shared" si="43"/>
        <v>-</v>
      </c>
      <c r="X296" s="303" t="str">
        <f t="shared" si="44"/>
        <v>-</v>
      </c>
    </row>
    <row r="297" spans="3:24">
      <c r="C297" s="277"/>
      <c r="D297" s="270" t="s">
        <v>790</v>
      </c>
      <c r="E297" s="303" t="s">
        <v>909</v>
      </c>
      <c r="F297" s="303">
        <v>12</v>
      </c>
      <c r="G297" s="303">
        <v>1</v>
      </c>
      <c r="H297" s="303">
        <v>12</v>
      </c>
      <c r="I297" s="303">
        <v>2</v>
      </c>
      <c r="J297" s="303"/>
      <c r="K297" s="269">
        <v>0.59</v>
      </c>
      <c r="L297" s="303"/>
      <c r="M297" s="304"/>
      <c r="N297" s="304"/>
      <c r="O297" s="321">
        <f t="shared" si="36"/>
        <v>0.59</v>
      </c>
      <c r="P297" s="322">
        <f t="shared" si="37"/>
        <v>0</v>
      </c>
      <c r="Q297" s="322"/>
      <c r="R297" s="303">
        <f t="shared" si="38"/>
        <v>0.59</v>
      </c>
      <c r="S297" s="303" t="str">
        <f t="shared" si="39"/>
        <v>-</v>
      </c>
      <c r="T297" s="303" t="str">
        <f t="shared" si="40"/>
        <v>-</v>
      </c>
      <c r="U297" s="303">
        <f t="shared" si="41"/>
        <v>14.16</v>
      </c>
      <c r="V297" s="303" t="str">
        <f t="shared" si="42"/>
        <v>-</v>
      </c>
      <c r="W297" s="303" t="str">
        <f t="shared" si="43"/>
        <v>-</v>
      </c>
      <c r="X297" s="303" t="str">
        <f t="shared" si="44"/>
        <v>-</v>
      </c>
    </row>
    <row r="298" spans="3:24">
      <c r="C298" s="277"/>
      <c r="D298" s="270" t="s">
        <v>632</v>
      </c>
      <c r="E298" s="303" t="s">
        <v>907</v>
      </c>
      <c r="F298" s="303">
        <v>8</v>
      </c>
      <c r="G298" s="303">
        <v>1</v>
      </c>
      <c r="H298" s="303">
        <v>31</v>
      </c>
      <c r="I298" s="303">
        <v>2</v>
      </c>
      <c r="J298" s="303">
        <v>0.18</v>
      </c>
      <c r="K298" s="269">
        <v>0.4</v>
      </c>
      <c r="L298" s="303">
        <v>0.18</v>
      </c>
      <c r="M298" s="303">
        <v>0.4</v>
      </c>
      <c r="N298" s="303">
        <v>0.16</v>
      </c>
      <c r="O298" s="321">
        <f t="shared" si="36"/>
        <v>1.32</v>
      </c>
      <c r="P298" s="322">
        <f t="shared" si="37"/>
        <v>0.08</v>
      </c>
      <c r="Q298" s="322"/>
      <c r="R298" s="303">
        <f t="shared" si="38"/>
        <v>1.24</v>
      </c>
      <c r="S298" s="303">
        <f t="shared" si="39"/>
        <v>76.88</v>
      </c>
      <c r="T298" s="303" t="str">
        <f t="shared" si="40"/>
        <v>-</v>
      </c>
      <c r="U298" s="303" t="str">
        <f t="shared" si="41"/>
        <v>-</v>
      </c>
      <c r="V298" s="303" t="str">
        <f t="shared" si="42"/>
        <v>-</v>
      </c>
      <c r="W298" s="303" t="str">
        <f t="shared" si="43"/>
        <v>-</v>
      </c>
      <c r="X298" s="303" t="str">
        <f t="shared" si="44"/>
        <v>-</v>
      </c>
    </row>
    <row r="299" spans="3:24">
      <c r="C299" s="277"/>
      <c r="D299" s="270"/>
      <c r="E299" s="303"/>
      <c r="F299" s="303"/>
      <c r="G299" s="303"/>
      <c r="H299" s="303"/>
      <c r="I299" s="303"/>
      <c r="J299" s="303"/>
      <c r="K299" s="269"/>
      <c r="L299" s="303"/>
      <c r="M299" s="304"/>
      <c r="N299" s="304"/>
      <c r="O299" s="321">
        <f t="shared" si="36"/>
        <v>0</v>
      </c>
      <c r="P299" s="322">
        <f t="shared" si="37"/>
        <v>0</v>
      </c>
      <c r="Q299" s="322"/>
      <c r="R299" s="303">
        <f t="shared" si="38"/>
        <v>0</v>
      </c>
      <c r="S299" s="303" t="str">
        <f t="shared" si="39"/>
        <v>-</v>
      </c>
      <c r="T299" s="303" t="str">
        <f t="shared" si="40"/>
        <v>-</v>
      </c>
      <c r="U299" s="303" t="str">
        <f t="shared" si="41"/>
        <v>-</v>
      </c>
      <c r="V299" s="303" t="str">
        <f t="shared" si="42"/>
        <v>-</v>
      </c>
      <c r="W299" s="303" t="str">
        <f t="shared" si="43"/>
        <v>-</v>
      </c>
      <c r="X299" s="303" t="str">
        <f t="shared" si="44"/>
        <v>-</v>
      </c>
    </row>
    <row r="300" spans="3:24">
      <c r="C300" s="277">
        <v>32</v>
      </c>
      <c r="D300" s="283" t="s">
        <v>801</v>
      </c>
      <c r="E300" s="303" t="s">
        <v>908</v>
      </c>
      <c r="F300" s="303">
        <v>12</v>
      </c>
      <c r="G300" s="303">
        <v>1</v>
      </c>
      <c r="H300" s="303">
        <v>6</v>
      </c>
      <c r="I300" s="303">
        <v>2</v>
      </c>
      <c r="J300" s="303">
        <v>0.12</v>
      </c>
      <c r="K300" s="269">
        <v>22.85</v>
      </c>
      <c r="L300" s="303">
        <v>0.12</v>
      </c>
      <c r="M300" s="304"/>
      <c r="N300" s="304"/>
      <c r="O300" s="321">
        <f t="shared" si="36"/>
        <v>23.090000000000003</v>
      </c>
      <c r="P300" s="322">
        <f t="shared" si="37"/>
        <v>4.8000000000000001E-2</v>
      </c>
      <c r="Q300" s="322"/>
      <c r="R300" s="303">
        <f t="shared" si="38"/>
        <v>23.042000000000005</v>
      </c>
      <c r="S300" s="303" t="str">
        <f t="shared" si="39"/>
        <v>-</v>
      </c>
      <c r="T300" s="303" t="str">
        <f t="shared" si="40"/>
        <v>-</v>
      </c>
      <c r="U300" s="303">
        <f t="shared" si="41"/>
        <v>276.5</v>
      </c>
      <c r="V300" s="303" t="str">
        <f t="shared" si="42"/>
        <v>-</v>
      </c>
      <c r="W300" s="303" t="str">
        <f t="shared" si="43"/>
        <v>-</v>
      </c>
      <c r="X300" s="303" t="str">
        <f t="shared" si="44"/>
        <v>-</v>
      </c>
    </row>
    <row r="301" spans="3:24">
      <c r="C301" s="277"/>
      <c r="D301" s="270" t="s">
        <v>802</v>
      </c>
      <c r="E301" s="303" t="s">
        <v>910</v>
      </c>
      <c r="F301" s="303">
        <v>12</v>
      </c>
      <c r="G301" s="303">
        <v>1</v>
      </c>
      <c r="H301" s="303">
        <v>2</v>
      </c>
      <c r="I301" s="303">
        <v>2</v>
      </c>
      <c r="J301" s="303">
        <v>0.12</v>
      </c>
      <c r="K301" s="269">
        <v>1.375</v>
      </c>
      <c r="L301" s="303"/>
      <c r="M301" s="304"/>
      <c r="N301" s="304"/>
      <c r="O301" s="321">
        <f t="shared" si="36"/>
        <v>1.4950000000000001</v>
      </c>
      <c r="P301" s="322">
        <f t="shared" si="37"/>
        <v>2.4E-2</v>
      </c>
      <c r="Q301" s="322"/>
      <c r="R301" s="303">
        <f t="shared" si="38"/>
        <v>1.4710000000000001</v>
      </c>
      <c r="S301" s="303" t="str">
        <f t="shared" si="39"/>
        <v>-</v>
      </c>
      <c r="T301" s="303" t="str">
        <f t="shared" si="40"/>
        <v>-</v>
      </c>
      <c r="U301" s="303">
        <f t="shared" si="41"/>
        <v>5.88</v>
      </c>
      <c r="V301" s="303" t="str">
        <f t="shared" si="42"/>
        <v>-</v>
      </c>
      <c r="W301" s="303" t="str">
        <f t="shared" si="43"/>
        <v>-</v>
      </c>
      <c r="X301" s="303" t="str">
        <f t="shared" si="44"/>
        <v>-</v>
      </c>
    </row>
    <row r="302" spans="3:24">
      <c r="C302" s="277"/>
      <c r="D302" s="270" t="s">
        <v>802</v>
      </c>
      <c r="E302" s="303" t="s">
        <v>910</v>
      </c>
      <c r="F302" s="303">
        <v>12</v>
      </c>
      <c r="G302" s="303">
        <v>1</v>
      </c>
      <c r="H302" s="303">
        <v>1</v>
      </c>
      <c r="I302" s="303">
        <v>2</v>
      </c>
      <c r="J302" s="303">
        <v>0.12</v>
      </c>
      <c r="K302" s="269">
        <v>1.875</v>
      </c>
      <c r="L302" s="303"/>
      <c r="M302" s="304"/>
      <c r="N302" s="304"/>
      <c r="O302" s="321">
        <f t="shared" si="36"/>
        <v>1.9950000000000001</v>
      </c>
      <c r="P302" s="322">
        <f t="shared" si="37"/>
        <v>2.4E-2</v>
      </c>
      <c r="Q302" s="322"/>
      <c r="R302" s="303">
        <f t="shared" si="38"/>
        <v>1.9710000000000001</v>
      </c>
      <c r="S302" s="303" t="str">
        <f t="shared" si="39"/>
        <v>-</v>
      </c>
      <c r="T302" s="303" t="str">
        <f t="shared" si="40"/>
        <v>-</v>
      </c>
      <c r="U302" s="303">
        <f t="shared" si="41"/>
        <v>3.94</v>
      </c>
      <c r="V302" s="303" t="str">
        <f t="shared" si="42"/>
        <v>-</v>
      </c>
      <c r="W302" s="303" t="str">
        <f t="shared" si="43"/>
        <v>-</v>
      </c>
      <c r="X302" s="303" t="str">
        <f t="shared" si="44"/>
        <v>-</v>
      </c>
    </row>
    <row r="303" spans="3:24">
      <c r="C303" s="277"/>
      <c r="D303" s="270" t="s">
        <v>803</v>
      </c>
      <c r="E303" s="303" t="s">
        <v>909</v>
      </c>
      <c r="F303" s="303">
        <v>12</v>
      </c>
      <c r="G303" s="303">
        <v>1</v>
      </c>
      <c r="H303" s="303">
        <v>4</v>
      </c>
      <c r="I303" s="303">
        <v>2</v>
      </c>
      <c r="J303" s="303"/>
      <c r="K303" s="269">
        <v>2.4</v>
      </c>
      <c r="L303" s="303"/>
      <c r="M303" s="304"/>
      <c r="N303" s="304"/>
      <c r="O303" s="321">
        <f t="shared" si="36"/>
        <v>2.4</v>
      </c>
      <c r="P303" s="322">
        <f t="shared" si="37"/>
        <v>0</v>
      </c>
      <c r="Q303" s="322"/>
      <c r="R303" s="303">
        <f t="shared" si="38"/>
        <v>2.4</v>
      </c>
      <c r="S303" s="303" t="str">
        <f t="shared" si="39"/>
        <v>-</v>
      </c>
      <c r="T303" s="303" t="str">
        <f t="shared" si="40"/>
        <v>-</v>
      </c>
      <c r="U303" s="303">
        <f t="shared" si="41"/>
        <v>19.2</v>
      </c>
      <c r="V303" s="303" t="str">
        <f t="shared" si="42"/>
        <v>-</v>
      </c>
      <c r="W303" s="303" t="str">
        <f t="shared" si="43"/>
        <v>-</v>
      </c>
      <c r="X303" s="303" t="str">
        <f t="shared" si="44"/>
        <v>-</v>
      </c>
    </row>
    <row r="304" spans="3:24">
      <c r="C304" s="277"/>
      <c r="D304" s="270" t="s">
        <v>803</v>
      </c>
      <c r="E304" s="303" t="s">
        <v>909</v>
      </c>
      <c r="F304" s="303">
        <v>12</v>
      </c>
      <c r="G304" s="303">
        <v>1</v>
      </c>
      <c r="H304" s="303">
        <v>2</v>
      </c>
      <c r="I304" s="303">
        <v>2</v>
      </c>
      <c r="J304" s="303"/>
      <c r="K304" s="269">
        <v>3.4</v>
      </c>
      <c r="L304" s="303"/>
      <c r="M304" s="304"/>
      <c r="N304" s="304"/>
      <c r="O304" s="321">
        <f t="shared" si="36"/>
        <v>3.4</v>
      </c>
      <c r="P304" s="322">
        <f t="shared" si="37"/>
        <v>0</v>
      </c>
      <c r="Q304" s="322"/>
      <c r="R304" s="303">
        <f t="shared" si="38"/>
        <v>3.4</v>
      </c>
      <c r="S304" s="303" t="str">
        <f t="shared" si="39"/>
        <v>-</v>
      </c>
      <c r="T304" s="303" t="str">
        <f t="shared" si="40"/>
        <v>-</v>
      </c>
      <c r="U304" s="303">
        <f t="shared" si="41"/>
        <v>13.6</v>
      </c>
      <c r="V304" s="303" t="str">
        <f t="shared" si="42"/>
        <v>-</v>
      </c>
      <c r="W304" s="303" t="str">
        <f t="shared" si="43"/>
        <v>-</v>
      </c>
      <c r="X304" s="303" t="str">
        <f t="shared" si="44"/>
        <v>-</v>
      </c>
    </row>
    <row r="305" spans="3:24">
      <c r="C305" s="277"/>
      <c r="D305" s="270" t="s">
        <v>804</v>
      </c>
      <c r="E305" s="303" t="s">
        <v>909</v>
      </c>
      <c r="F305" s="303">
        <v>12</v>
      </c>
      <c r="G305" s="303">
        <v>1</v>
      </c>
      <c r="H305" s="303">
        <v>2</v>
      </c>
      <c r="I305" s="303">
        <v>2</v>
      </c>
      <c r="J305" s="303"/>
      <c r="K305" s="269">
        <v>2.4</v>
      </c>
      <c r="L305" s="303"/>
      <c r="M305" s="304"/>
      <c r="N305" s="304"/>
      <c r="O305" s="321">
        <f t="shared" si="36"/>
        <v>2.4</v>
      </c>
      <c r="P305" s="322">
        <f t="shared" si="37"/>
        <v>0</v>
      </c>
      <c r="Q305" s="322"/>
      <c r="R305" s="303">
        <f t="shared" si="38"/>
        <v>2.4</v>
      </c>
      <c r="S305" s="303" t="str">
        <f t="shared" si="39"/>
        <v>-</v>
      </c>
      <c r="T305" s="303" t="str">
        <f t="shared" si="40"/>
        <v>-</v>
      </c>
      <c r="U305" s="303">
        <f t="shared" si="41"/>
        <v>9.6</v>
      </c>
      <c r="V305" s="303" t="str">
        <f t="shared" si="42"/>
        <v>-</v>
      </c>
      <c r="W305" s="303" t="str">
        <f t="shared" si="43"/>
        <v>-</v>
      </c>
      <c r="X305" s="303" t="str">
        <f t="shared" si="44"/>
        <v>-</v>
      </c>
    </row>
    <row r="306" spans="3:24">
      <c r="C306" s="277"/>
      <c r="D306" s="270" t="s">
        <v>804</v>
      </c>
      <c r="E306" s="303" t="s">
        <v>909</v>
      </c>
      <c r="F306" s="303">
        <v>12</v>
      </c>
      <c r="G306" s="303">
        <v>1</v>
      </c>
      <c r="H306" s="303">
        <v>1</v>
      </c>
      <c r="I306" s="303">
        <v>2</v>
      </c>
      <c r="J306" s="303"/>
      <c r="K306" s="269">
        <v>2.9</v>
      </c>
      <c r="L306" s="303"/>
      <c r="M306" s="304"/>
      <c r="N306" s="304"/>
      <c r="O306" s="321">
        <f t="shared" si="36"/>
        <v>2.9</v>
      </c>
      <c r="P306" s="322">
        <f t="shared" si="37"/>
        <v>0</v>
      </c>
      <c r="Q306" s="322"/>
      <c r="R306" s="303">
        <f t="shared" si="38"/>
        <v>2.9</v>
      </c>
      <c r="S306" s="303" t="str">
        <f t="shared" si="39"/>
        <v>-</v>
      </c>
      <c r="T306" s="303" t="str">
        <f t="shared" si="40"/>
        <v>-</v>
      </c>
      <c r="U306" s="303">
        <f t="shared" si="41"/>
        <v>5.8</v>
      </c>
      <c r="V306" s="303" t="str">
        <f t="shared" si="42"/>
        <v>-</v>
      </c>
      <c r="W306" s="303" t="str">
        <f t="shared" si="43"/>
        <v>-</v>
      </c>
      <c r="X306" s="303" t="str">
        <f t="shared" si="44"/>
        <v>-</v>
      </c>
    </row>
    <row r="307" spans="3:24">
      <c r="C307" s="277"/>
      <c r="D307" s="270" t="s">
        <v>805</v>
      </c>
      <c r="E307" s="303" t="s">
        <v>909</v>
      </c>
      <c r="F307" s="303">
        <v>12</v>
      </c>
      <c r="G307" s="303">
        <v>1</v>
      </c>
      <c r="H307" s="303">
        <v>2</v>
      </c>
      <c r="I307" s="303">
        <v>2</v>
      </c>
      <c r="J307" s="303"/>
      <c r="K307" s="269">
        <v>4.2</v>
      </c>
      <c r="L307" s="303"/>
      <c r="M307" s="304"/>
      <c r="N307" s="304"/>
      <c r="O307" s="321">
        <f t="shared" si="36"/>
        <v>4.2</v>
      </c>
      <c r="P307" s="322">
        <f t="shared" si="37"/>
        <v>0</v>
      </c>
      <c r="Q307" s="322"/>
      <c r="R307" s="303">
        <f t="shared" si="38"/>
        <v>4.2</v>
      </c>
      <c r="S307" s="303" t="str">
        <f t="shared" si="39"/>
        <v>-</v>
      </c>
      <c r="T307" s="303" t="str">
        <f t="shared" si="40"/>
        <v>-</v>
      </c>
      <c r="U307" s="303">
        <f t="shared" si="41"/>
        <v>16.8</v>
      </c>
      <c r="V307" s="303" t="str">
        <f t="shared" si="42"/>
        <v>-</v>
      </c>
      <c r="W307" s="303" t="str">
        <f t="shared" si="43"/>
        <v>-</v>
      </c>
      <c r="X307" s="303" t="str">
        <f t="shared" si="44"/>
        <v>-</v>
      </c>
    </row>
    <row r="308" spans="3:24">
      <c r="C308" s="277"/>
      <c r="D308" s="270" t="s">
        <v>806</v>
      </c>
      <c r="E308" s="303" t="s">
        <v>909</v>
      </c>
      <c r="F308" s="303">
        <v>12</v>
      </c>
      <c r="G308" s="303">
        <v>1</v>
      </c>
      <c r="H308" s="303">
        <v>4</v>
      </c>
      <c r="I308" s="303">
        <v>2</v>
      </c>
      <c r="J308" s="303"/>
      <c r="K308" s="269">
        <v>4.2</v>
      </c>
      <c r="L308" s="303"/>
      <c r="M308" s="304"/>
      <c r="N308" s="304"/>
      <c r="O308" s="321">
        <f t="shared" si="36"/>
        <v>4.2</v>
      </c>
      <c r="P308" s="322">
        <f t="shared" si="37"/>
        <v>0</v>
      </c>
      <c r="Q308" s="322"/>
      <c r="R308" s="303">
        <f t="shared" si="38"/>
        <v>4.2</v>
      </c>
      <c r="S308" s="303" t="str">
        <f t="shared" si="39"/>
        <v>-</v>
      </c>
      <c r="T308" s="303" t="str">
        <f t="shared" si="40"/>
        <v>-</v>
      </c>
      <c r="U308" s="303">
        <f t="shared" si="41"/>
        <v>33.6</v>
      </c>
      <c r="V308" s="303" t="str">
        <f t="shared" si="42"/>
        <v>-</v>
      </c>
      <c r="W308" s="303" t="str">
        <f t="shared" si="43"/>
        <v>-</v>
      </c>
      <c r="X308" s="303" t="str">
        <f t="shared" si="44"/>
        <v>-</v>
      </c>
    </row>
    <row r="309" spans="3:24">
      <c r="C309" s="277"/>
      <c r="D309" s="270" t="s">
        <v>807</v>
      </c>
      <c r="E309" s="303" t="s">
        <v>909</v>
      </c>
      <c r="F309" s="303">
        <v>12</v>
      </c>
      <c r="G309" s="303">
        <v>1</v>
      </c>
      <c r="H309" s="303">
        <v>48</v>
      </c>
      <c r="I309" s="303">
        <v>2</v>
      </c>
      <c r="J309" s="303"/>
      <c r="K309" s="269">
        <v>0.59</v>
      </c>
      <c r="L309" s="303"/>
      <c r="M309" s="304"/>
      <c r="N309" s="304"/>
      <c r="O309" s="321">
        <f t="shared" si="36"/>
        <v>0.59</v>
      </c>
      <c r="P309" s="322">
        <f t="shared" si="37"/>
        <v>0</v>
      </c>
      <c r="Q309" s="322"/>
      <c r="R309" s="303">
        <f t="shared" si="38"/>
        <v>0.59</v>
      </c>
      <c r="S309" s="303" t="str">
        <f t="shared" si="39"/>
        <v>-</v>
      </c>
      <c r="T309" s="303" t="str">
        <f t="shared" si="40"/>
        <v>-</v>
      </c>
      <c r="U309" s="303">
        <f t="shared" si="41"/>
        <v>56.64</v>
      </c>
      <c r="V309" s="303" t="str">
        <f t="shared" si="42"/>
        <v>-</v>
      </c>
      <c r="W309" s="303" t="str">
        <f t="shared" si="43"/>
        <v>-</v>
      </c>
      <c r="X309" s="303" t="str">
        <f t="shared" si="44"/>
        <v>-</v>
      </c>
    </row>
    <row r="310" spans="3:24">
      <c r="C310" s="277"/>
      <c r="D310" s="270" t="s">
        <v>632</v>
      </c>
      <c r="E310" s="303" t="s">
        <v>907</v>
      </c>
      <c r="F310" s="303">
        <v>8</v>
      </c>
      <c r="G310" s="303">
        <v>1</v>
      </c>
      <c r="H310" s="303">
        <v>171</v>
      </c>
      <c r="I310" s="303">
        <v>2</v>
      </c>
      <c r="J310" s="303">
        <v>0.18</v>
      </c>
      <c r="K310" s="269">
        <v>0.4</v>
      </c>
      <c r="L310" s="303">
        <v>0.18</v>
      </c>
      <c r="M310" s="303">
        <v>0.4</v>
      </c>
      <c r="N310" s="303">
        <v>0.16</v>
      </c>
      <c r="O310" s="321">
        <f t="shared" si="36"/>
        <v>1.32</v>
      </c>
      <c r="P310" s="322">
        <f t="shared" si="37"/>
        <v>0.08</v>
      </c>
      <c r="Q310" s="322"/>
      <c r="R310" s="303">
        <f t="shared" si="38"/>
        <v>1.24</v>
      </c>
      <c r="S310" s="303">
        <f t="shared" si="39"/>
        <v>424.08</v>
      </c>
      <c r="T310" s="303" t="str">
        <f t="shared" si="40"/>
        <v>-</v>
      </c>
      <c r="U310" s="303" t="str">
        <f t="shared" si="41"/>
        <v>-</v>
      </c>
      <c r="V310" s="303" t="str">
        <f t="shared" si="42"/>
        <v>-</v>
      </c>
      <c r="W310" s="303" t="str">
        <f t="shared" si="43"/>
        <v>-</v>
      </c>
      <c r="X310" s="303" t="str">
        <f t="shared" si="44"/>
        <v>-</v>
      </c>
    </row>
    <row r="311" spans="3:24">
      <c r="C311" s="277"/>
      <c r="D311" s="270"/>
      <c r="E311" s="303"/>
      <c r="F311" s="303"/>
      <c r="G311" s="303"/>
      <c r="H311" s="303"/>
      <c r="I311" s="303"/>
      <c r="J311" s="303"/>
      <c r="K311" s="269"/>
      <c r="L311" s="303"/>
      <c r="M311" s="304"/>
      <c r="N311" s="304"/>
      <c r="O311" s="321">
        <f t="shared" si="36"/>
        <v>0</v>
      </c>
      <c r="P311" s="322">
        <f t="shared" si="37"/>
        <v>0</v>
      </c>
      <c r="Q311" s="322"/>
      <c r="R311" s="303">
        <f t="shared" si="38"/>
        <v>0</v>
      </c>
      <c r="S311" s="303" t="str">
        <f t="shared" si="39"/>
        <v>-</v>
      </c>
      <c r="T311" s="303" t="str">
        <f t="shared" si="40"/>
        <v>-</v>
      </c>
      <c r="U311" s="303" t="str">
        <f t="shared" si="41"/>
        <v>-</v>
      </c>
      <c r="V311" s="303" t="str">
        <f t="shared" si="42"/>
        <v>-</v>
      </c>
      <c r="W311" s="303" t="str">
        <f t="shared" si="43"/>
        <v>-</v>
      </c>
      <c r="X311" s="303" t="str">
        <f t="shared" si="44"/>
        <v>-</v>
      </c>
    </row>
    <row r="312" spans="3:24">
      <c r="C312" s="277">
        <v>33</v>
      </c>
      <c r="D312" s="283" t="s">
        <v>808</v>
      </c>
      <c r="E312" s="303" t="s">
        <v>908</v>
      </c>
      <c r="F312" s="303">
        <v>12</v>
      </c>
      <c r="G312" s="303">
        <v>1</v>
      </c>
      <c r="H312" s="303">
        <v>5</v>
      </c>
      <c r="I312" s="303">
        <v>2</v>
      </c>
      <c r="J312" s="303">
        <v>0.12</v>
      </c>
      <c r="K312" s="269">
        <v>5.4020000000000001</v>
      </c>
      <c r="L312" s="303">
        <v>0.12</v>
      </c>
      <c r="M312" s="304"/>
      <c r="N312" s="304"/>
      <c r="O312" s="321">
        <f t="shared" si="36"/>
        <v>5.6420000000000003</v>
      </c>
      <c r="P312" s="322">
        <f t="shared" si="37"/>
        <v>4.8000000000000001E-2</v>
      </c>
      <c r="Q312" s="322"/>
      <c r="R312" s="303">
        <f t="shared" si="38"/>
        <v>5.5940000000000003</v>
      </c>
      <c r="S312" s="303" t="str">
        <f t="shared" si="39"/>
        <v>-</v>
      </c>
      <c r="T312" s="303" t="str">
        <f t="shared" si="40"/>
        <v>-</v>
      </c>
      <c r="U312" s="303">
        <f t="shared" si="41"/>
        <v>55.94</v>
      </c>
      <c r="V312" s="303" t="str">
        <f t="shared" si="42"/>
        <v>-</v>
      </c>
      <c r="W312" s="303" t="str">
        <f t="shared" si="43"/>
        <v>-</v>
      </c>
      <c r="X312" s="303" t="str">
        <f t="shared" si="44"/>
        <v>-</v>
      </c>
    </row>
    <row r="313" spans="3:24">
      <c r="C313" s="277"/>
      <c r="D313" s="270" t="s">
        <v>809</v>
      </c>
      <c r="E313" s="303" t="s">
        <v>909</v>
      </c>
      <c r="F313" s="303">
        <v>12</v>
      </c>
      <c r="G313" s="303">
        <v>1</v>
      </c>
      <c r="H313" s="303">
        <v>2</v>
      </c>
      <c r="I313" s="303">
        <v>2</v>
      </c>
      <c r="J313" s="303"/>
      <c r="K313" s="269">
        <v>4.1420000000000003</v>
      </c>
      <c r="L313" s="303"/>
      <c r="M313" s="304"/>
      <c r="N313" s="304"/>
      <c r="O313" s="321">
        <f t="shared" si="36"/>
        <v>4.1420000000000003</v>
      </c>
      <c r="P313" s="322">
        <f t="shared" si="37"/>
        <v>0</v>
      </c>
      <c r="Q313" s="322"/>
      <c r="R313" s="303">
        <f t="shared" si="38"/>
        <v>4.1420000000000003</v>
      </c>
      <c r="S313" s="303" t="str">
        <f t="shared" si="39"/>
        <v>-</v>
      </c>
      <c r="T313" s="303" t="str">
        <f t="shared" si="40"/>
        <v>-</v>
      </c>
      <c r="U313" s="303">
        <f t="shared" si="41"/>
        <v>16.57</v>
      </c>
      <c r="V313" s="303" t="str">
        <f t="shared" si="42"/>
        <v>-</v>
      </c>
      <c r="W313" s="303" t="str">
        <f t="shared" si="43"/>
        <v>-</v>
      </c>
      <c r="X313" s="303" t="str">
        <f t="shared" si="44"/>
        <v>-</v>
      </c>
    </row>
    <row r="314" spans="3:24">
      <c r="C314" s="277"/>
      <c r="D314" s="270" t="s">
        <v>632</v>
      </c>
      <c r="E314" s="303" t="s">
        <v>907</v>
      </c>
      <c r="F314" s="303">
        <v>8</v>
      </c>
      <c r="G314" s="303">
        <v>1</v>
      </c>
      <c r="H314" s="303">
        <v>29</v>
      </c>
      <c r="I314" s="303">
        <v>2</v>
      </c>
      <c r="J314" s="303">
        <v>0.18</v>
      </c>
      <c r="K314" s="269">
        <v>0.4</v>
      </c>
      <c r="L314" s="303">
        <v>0.18</v>
      </c>
      <c r="M314" s="303">
        <v>0.4</v>
      </c>
      <c r="N314" s="303">
        <v>0.16</v>
      </c>
      <c r="O314" s="321">
        <f t="shared" si="36"/>
        <v>1.32</v>
      </c>
      <c r="P314" s="322">
        <f t="shared" si="37"/>
        <v>0.08</v>
      </c>
      <c r="Q314" s="322"/>
      <c r="R314" s="303">
        <f t="shared" si="38"/>
        <v>1.24</v>
      </c>
      <c r="S314" s="303">
        <f t="shared" si="39"/>
        <v>71.92</v>
      </c>
      <c r="T314" s="303" t="str">
        <f t="shared" si="40"/>
        <v>-</v>
      </c>
      <c r="U314" s="303" t="str">
        <f t="shared" si="41"/>
        <v>-</v>
      </c>
      <c r="V314" s="303" t="str">
        <f t="shared" si="42"/>
        <v>-</v>
      </c>
      <c r="W314" s="303" t="str">
        <f t="shared" si="43"/>
        <v>-</v>
      </c>
      <c r="X314" s="303" t="str">
        <f t="shared" si="44"/>
        <v>-</v>
      </c>
    </row>
    <row r="315" spans="3:24">
      <c r="C315" s="277"/>
      <c r="D315" s="270"/>
      <c r="E315" s="303"/>
      <c r="F315" s="303"/>
      <c r="G315" s="303"/>
      <c r="H315" s="303"/>
      <c r="I315" s="303"/>
      <c r="J315" s="303"/>
      <c r="K315" s="269"/>
      <c r="L315" s="303"/>
      <c r="M315" s="304"/>
      <c r="N315" s="304"/>
      <c r="O315" s="321">
        <f t="shared" si="36"/>
        <v>0</v>
      </c>
      <c r="P315" s="322">
        <f t="shared" si="37"/>
        <v>0</v>
      </c>
      <c r="Q315" s="322"/>
      <c r="R315" s="303">
        <f t="shared" si="38"/>
        <v>0</v>
      </c>
      <c r="S315" s="303" t="str">
        <f t="shared" si="39"/>
        <v>-</v>
      </c>
      <c r="T315" s="303" t="str">
        <f t="shared" si="40"/>
        <v>-</v>
      </c>
      <c r="U315" s="303" t="str">
        <f t="shared" si="41"/>
        <v>-</v>
      </c>
      <c r="V315" s="303" t="str">
        <f t="shared" si="42"/>
        <v>-</v>
      </c>
      <c r="W315" s="303" t="str">
        <f t="shared" si="43"/>
        <v>-</v>
      </c>
      <c r="X315" s="303" t="str">
        <f t="shared" si="44"/>
        <v>-</v>
      </c>
    </row>
    <row r="316" spans="3:24">
      <c r="C316" s="277"/>
      <c r="D316" s="270"/>
      <c r="E316" s="303"/>
      <c r="F316" s="303"/>
      <c r="G316" s="303"/>
      <c r="H316" s="303"/>
      <c r="I316" s="303"/>
      <c r="J316" s="303"/>
      <c r="K316" s="269"/>
      <c r="L316" s="303"/>
      <c r="M316" s="304"/>
      <c r="N316" s="304"/>
      <c r="O316" s="321">
        <f t="shared" si="36"/>
        <v>0</v>
      </c>
      <c r="P316" s="322">
        <f t="shared" si="37"/>
        <v>0</v>
      </c>
      <c r="Q316" s="322"/>
      <c r="R316" s="303">
        <f t="shared" si="38"/>
        <v>0</v>
      </c>
      <c r="S316" s="303" t="str">
        <f t="shared" si="39"/>
        <v>-</v>
      </c>
      <c r="T316" s="303" t="str">
        <f t="shared" si="40"/>
        <v>-</v>
      </c>
      <c r="U316" s="303" t="str">
        <f t="shared" si="41"/>
        <v>-</v>
      </c>
      <c r="V316" s="303" t="str">
        <f t="shared" si="42"/>
        <v>-</v>
      </c>
      <c r="W316" s="303" t="str">
        <f t="shared" si="43"/>
        <v>-</v>
      </c>
      <c r="X316" s="303" t="str">
        <f t="shared" si="44"/>
        <v>-</v>
      </c>
    </row>
    <row r="317" spans="3:24">
      <c r="C317" s="277"/>
      <c r="D317" s="270"/>
      <c r="E317" s="303"/>
      <c r="F317" s="303"/>
      <c r="G317" s="303"/>
      <c r="H317" s="303"/>
      <c r="I317" s="303"/>
      <c r="J317" s="303"/>
      <c r="K317" s="269"/>
      <c r="L317" s="303"/>
      <c r="M317" s="304"/>
      <c r="N317" s="304"/>
      <c r="O317" s="321">
        <f t="shared" si="36"/>
        <v>0</v>
      </c>
      <c r="P317" s="322">
        <f t="shared" si="37"/>
        <v>0</v>
      </c>
      <c r="Q317" s="322"/>
      <c r="R317" s="303">
        <f t="shared" si="38"/>
        <v>0</v>
      </c>
      <c r="S317" s="303" t="str">
        <f t="shared" si="39"/>
        <v>-</v>
      </c>
      <c r="T317" s="303" t="str">
        <f t="shared" si="40"/>
        <v>-</v>
      </c>
      <c r="U317" s="303" t="str">
        <f t="shared" si="41"/>
        <v>-</v>
      </c>
      <c r="V317" s="303" t="str">
        <f t="shared" si="42"/>
        <v>-</v>
      </c>
      <c r="W317" s="303" t="str">
        <f t="shared" si="43"/>
        <v>-</v>
      </c>
      <c r="X317" s="303" t="str">
        <f t="shared" si="44"/>
        <v>-</v>
      </c>
    </row>
    <row r="318" spans="3:24">
      <c r="C318" s="277">
        <v>34</v>
      </c>
      <c r="D318" s="283" t="s">
        <v>810</v>
      </c>
      <c r="E318" s="303" t="s">
        <v>908</v>
      </c>
      <c r="F318" s="303">
        <v>16</v>
      </c>
      <c r="G318" s="303">
        <v>1</v>
      </c>
      <c r="H318" s="303">
        <v>6</v>
      </c>
      <c r="I318" s="303">
        <v>2</v>
      </c>
      <c r="J318" s="303">
        <v>0.16</v>
      </c>
      <c r="K318" s="269">
        <v>9.5779999999999994</v>
      </c>
      <c r="L318" s="303">
        <v>0.16</v>
      </c>
      <c r="M318" s="304"/>
      <c r="N318" s="304"/>
      <c r="O318" s="321">
        <f t="shared" si="36"/>
        <v>9.8979999999999997</v>
      </c>
      <c r="P318" s="322">
        <f t="shared" si="37"/>
        <v>6.4000000000000001E-2</v>
      </c>
      <c r="Q318" s="322"/>
      <c r="R318" s="303">
        <f t="shared" si="38"/>
        <v>9.8339999999999996</v>
      </c>
      <c r="S318" s="303" t="str">
        <f t="shared" si="39"/>
        <v>-</v>
      </c>
      <c r="T318" s="303" t="str">
        <f t="shared" si="40"/>
        <v>-</v>
      </c>
      <c r="U318" s="303" t="str">
        <f t="shared" si="41"/>
        <v>-</v>
      </c>
      <c r="V318" s="303">
        <f t="shared" si="42"/>
        <v>118.01</v>
      </c>
      <c r="W318" s="303" t="str">
        <f t="shared" si="43"/>
        <v>-</v>
      </c>
      <c r="X318" s="303" t="str">
        <f t="shared" si="44"/>
        <v>-</v>
      </c>
    </row>
    <row r="319" spans="3:24">
      <c r="C319" s="277"/>
      <c r="D319" s="270" t="s">
        <v>811</v>
      </c>
      <c r="E319" s="303" t="s">
        <v>909</v>
      </c>
      <c r="F319" s="303">
        <v>16</v>
      </c>
      <c r="G319" s="303">
        <v>1</v>
      </c>
      <c r="H319" s="303">
        <v>3</v>
      </c>
      <c r="I319" s="303">
        <v>2</v>
      </c>
      <c r="J319" s="303"/>
      <c r="K319" s="269">
        <v>3.1</v>
      </c>
      <c r="L319" s="303"/>
      <c r="M319" s="304"/>
      <c r="N319" s="304"/>
      <c r="O319" s="321">
        <f t="shared" si="36"/>
        <v>3.1</v>
      </c>
      <c r="P319" s="322">
        <f t="shared" si="37"/>
        <v>0</v>
      </c>
      <c r="Q319" s="322"/>
      <c r="R319" s="303">
        <f t="shared" si="38"/>
        <v>3.1</v>
      </c>
      <c r="S319" s="303" t="str">
        <f t="shared" si="39"/>
        <v>-</v>
      </c>
      <c r="T319" s="303" t="str">
        <f t="shared" si="40"/>
        <v>-</v>
      </c>
      <c r="U319" s="303" t="str">
        <f t="shared" si="41"/>
        <v>-</v>
      </c>
      <c r="V319" s="303">
        <f t="shared" si="42"/>
        <v>18.600000000000001</v>
      </c>
      <c r="W319" s="303" t="str">
        <f t="shared" si="43"/>
        <v>-</v>
      </c>
      <c r="X319" s="303" t="str">
        <f t="shared" si="44"/>
        <v>-</v>
      </c>
    </row>
    <row r="320" spans="3:24">
      <c r="C320" s="277"/>
      <c r="D320" s="270" t="s">
        <v>812</v>
      </c>
      <c r="E320" s="303" t="s">
        <v>910</v>
      </c>
      <c r="F320" s="303">
        <v>16</v>
      </c>
      <c r="G320" s="303">
        <v>1</v>
      </c>
      <c r="H320" s="303">
        <v>3</v>
      </c>
      <c r="I320" s="303">
        <v>2</v>
      </c>
      <c r="J320" s="303">
        <v>0.16</v>
      </c>
      <c r="K320" s="269">
        <v>2.0750000000000002</v>
      </c>
      <c r="L320" s="303"/>
      <c r="M320" s="304"/>
      <c r="N320" s="304"/>
      <c r="O320" s="321">
        <f t="shared" si="36"/>
        <v>2.2350000000000003</v>
      </c>
      <c r="P320" s="322">
        <f t="shared" si="37"/>
        <v>3.2000000000000001E-2</v>
      </c>
      <c r="Q320" s="322"/>
      <c r="R320" s="303">
        <f t="shared" si="38"/>
        <v>2.2030000000000003</v>
      </c>
      <c r="S320" s="303" t="str">
        <f t="shared" si="39"/>
        <v>-</v>
      </c>
      <c r="T320" s="303" t="str">
        <f t="shared" si="40"/>
        <v>-</v>
      </c>
      <c r="U320" s="303" t="str">
        <f t="shared" si="41"/>
        <v>-</v>
      </c>
      <c r="V320" s="303">
        <f t="shared" si="42"/>
        <v>13.22</v>
      </c>
      <c r="W320" s="303" t="str">
        <f t="shared" si="43"/>
        <v>-</v>
      </c>
      <c r="X320" s="303" t="str">
        <f t="shared" si="44"/>
        <v>-</v>
      </c>
    </row>
    <row r="321" spans="3:24">
      <c r="C321" s="277"/>
      <c r="D321" s="270" t="s">
        <v>813</v>
      </c>
      <c r="E321" s="303" t="s">
        <v>909</v>
      </c>
      <c r="F321" s="303">
        <v>16</v>
      </c>
      <c r="G321" s="303">
        <v>1</v>
      </c>
      <c r="H321" s="303">
        <v>3</v>
      </c>
      <c r="I321" s="303">
        <v>2</v>
      </c>
      <c r="J321" s="303"/>
      <c r="K321" s="269">
        <v>4.6619999999999999</v>
      </c>
      <c r="L321" s="303"/>
      <c r="M321" s="304"/>
      <c r="N321" s="304"/>
      <c r="O321" s="321">
        <f t="shared" si="36"/>
        <v>4.6619999999999999</v>
      </c>
      <c r="P321" s="322">
        <f t="shared" si="37"/>
        <v>0</v>
      </c>
      <c r="Q321" s="322"/>
      <c r="R321" s="303">
        <f t="shared" si="38"/>
        <v>4.6619999999999999</v>
      </c>
      <c r="S321" s="303" t="str">
        <f t="shared" si="39"/>
        <v>-</v>
      </c>
      <c r="T321" s="303" t="str">
        <f t="shared" si="40"/>
        <v>-</v>
      </c>
      <c r="U321" s="303" t="str">
        <f t="shared" si="41"/>
        <v>-</v>
      </c>
      <c r="V321" s="303">
        <f t="shared" si="42"/>
        <v>27.97</v>
      </c>
      <c r="W321" s="303" t="str">
        <f t="shared" si="43"/>
        <v>-</v>
      </c>
      <c r="X321" s="303" t="str">
        <f t="shared" si="44"/>
        <v>-</v>
      </c>
    </row>
    <row r="322" spans="3:24">
      <c r="C322" s="277"/>
      <c r="D322" s="270" t="s">
        <v>650</v>
      </c>
      <c r="E322" s="303" t="s">
        <v>909</v>
      </c>
      <c r="F322" s="303">
        <v>16</v>
      </c>
      <c r="G322" s="303">
        <v>1</v>
      </c>
      <c r="H322" s="303">
        <v>18</v>
      </c>
      <c r="I322" s="303">
        <v>2</v>
      </c>
      <c r="J322" s="303"/>
      <c r="K322" s="269">
        <v>0.78400000000000003</v>
      </c>
      <c r="L322" s="303"/>
      <c r="M322" s="304"/>
      <c r="N322" s="304"/>
      <c r="O322" s="321">
        <f t="shared" si="36"/>
        <v>0.78400000000000003</v>
      </c>
      <c r="P322" s="322">
        <f t="shared" si="37"/>
        <v>0</v>
      </c>
      <c r="Q322" s="322"/>
      <c r="R322" s="303">
        <f t="shared" si="38"/>
        <v>0.78400000000000003</v>
      </c>
      <c r="S322" s="303" t="str">
        <f t="shared" si="39"/>
        <v>-</v>
      </c>
      <c r="T322" s="303" t="str">
        <f t="shared" si="40"/>
        <v>-</v>
      </c>
      <c r="U322" s="303" t="str">
        <f t="shared" si="41"/>
        <v>-</v>
      </c>
      <c r="V322" s="303">
        <f t="shared" si="42"/>
        <v>28.22</v>
      </c>
      <c r="W322" s="303" t="str">
        <f t="shared" si="43"/>
        <v>-</v>
      </c>
      <c r="X322" s="303" t="str">
        <f t="shared" si="44"/>
        <v>-</v>
      </c>
    </row>
    <row r="323" spans="3:24">
      <c r="C323" s="277"/>
      <c r="D323" s="270" t="s">
        <v>632</v>
      </c>
      <c r="E323" s="303" t="s">
        <v>907</v>
      </c>
      <c r="F323" s="303">
        <v>10</v>
      </c>
      <c r="G323" s="303">
        <v>1</v>
      </c>
      <c r="H323" s="303">
        <v>48</v>
      </c>
      <c r="I323" s="303">
        <v>2</v>
      </c>
      <c r="J323" s="303">
        <v>0.18</v>
      </c>
      <c r="K323" s="269">
        <v>0.55000000000000004</v>
      </c>
      <c r="L323" s="303">
        <v>0.18</v>
      </c>
      <c r="M323" s="303">
        <v>0.55000000000000004</v>
      </c>
      <c r="N323" s="303">
        <v>0.16</v>
      </c>
      <c r="O323" s="321">
        <f t="shared" si="36"/>
        <v>1.6199999999999999</v>
      </c>
      <c r="P323" s="322">
        <f t="shared" si="37"/>
        <v>0.1</v>
      </c>
      <c r="Q323" s="322"/>
      <c r="R323" s="303">
        <f t="shared" si="38"/>
        <v>1.5199999999999998</v>
      </c>
      <c r="S323" s="303" t="str">
        <f t="shared" si="39"/>
        <v>-</v>
      </c>
      <c r="T323" s="303">
        <f t="shared" si="40"/>
        <v>145.91999999999999</v>
      </c>
      <c r="U323" s="303" t="str">
        <f t="shared" si="41"/>
        <v>-</v>
      </c>
      <c r="V323" s="303" t="str">
        <f t="shared" si="42"/>
        <v>-</v>
      </c>
      <c r="W323" s="303" t="str">
        <f t="shared" si="43"/>
        <v>-</v>
      </c>
      <c r="X323" s="303" t="str">
        <f t="shared" si="44"/>
        <v>-</v>
      </c>
    </row>
    <row r="324" spans="3:24">
      <c r="C324" s="277"/>
      <c r="D324" s="270" t="s">
        <v>632</v>
      </c>
      <c r="E324" s="303" t="s">
        <v>907</v>
      </c>
      <c r="F324" s="303">
        <v>8</v>
      </c>
      <c r="G324" s="303">
        <v>1</v>
      </c>
      <c r="H324" s="303">
        <v>16</v>
      </c>
      <c r="I324" s="303">
        <v>2</v>
      </c>
      <c r="J324" s="303">
        <v>0.18</v>
      </c>
      <c r="K324" s="269">
        <v>0.55000000000000004</v>
      </c>
      <c r="L324" s="303">
        <v>0.18</v>
      </c>
      <c r="M324" s="304">
        <v>0.55000000000000004</v>
      </c>
      <c r="N324" s="304">
        <v>0.16</v>
      </c>
      <c r="O324" s="321">
        <f t="shared" si="36"/>
        <v>1.6199999999999999</v>
      </c>
      <c r="P324" s="322">
        <f t="shared" si="37"/>
        <v>0.08</v>
      </c>
      <c r="Q324" s="322"/>
      <c r="R324" s="303">
        <f t="shared" si="38"/>
        <v>1.5399999999999998</v>
      </c>
      <c r="S324" s="303">
        <f t="shared" si="39"/>
        <v>49.28</v>
      </c>
      <c r="T324" s="303" t="str">
        <f t="shared" si="40"/>
        <v>-</v>
      </c>
      <c r="U324" s="303" t="str">
        <f t="shared" si="41"/>
        <v>-</v>
      </c>
      <c r="V324" s="303" t="str">
        <f t="shared" si="42"/>
        <v>-</v>
      </c>
      <c r="W324" s="303" t="str">
        <f t="shared" si="43"/>
        <v>-</v>
      </c>
      <c r="X324" s="303" t="str">
        <f t="shared" si="44"/>
        <v>-</v>
      </c>
    </row>
    <row r="325" spans="3:24">
      <c r="C325" s="277">
        <v>35</v>
      </c>
      <c r="D325" s="268" t="s">
        <v>814</v>
      </c>
      <c r="E325" s="303" t="s">
        <v>908</v>
      </c>
      <c r="F325" s="303">
        <v>12</v>
      </c>
      <c r="G325" s="303">
        <v>1</v>
      </c>
      <c r="H325" s="303">
        <v>6</v>
      </c>
      <c r="I325" s="303">
        <v>2</v>
      </c>
      <c r="J325" s="303">
        <v>0.12</v>
      </c>
      <c r="K325" s="269">
        <v>3.347</v>
      </c>
      <c r="L325" s="303">
        <v>0.12</v>
      </c>
      <c r="M325" s="304"/>
      <c r="N325" s="304"/>
      <c r="O325" s="321">
        <f t="shared" ref="O325:O388" si="45">J325+K325+L325+M325+N325</f>
        <v>3.5870000000000002</v>
      </c>
      <c r="P325" s="322">
        <f t="shared" ref="P325:P388" si="46">IF(E325="Ring",F325*2*5,IF(E325="U Shape",F325*2*2,IF(E325="L Shape",F325*2*1,IF(E325="Streight",F325*2*0,IF(E325="Trianguler",F325*2*4,IF(E325="Z Shape",F325*2*2))))))/1000</f>
        <v>4.8000000000000001E-2</v>
      </c>
      <c r="Q325" s="322"/>
      <c r="R325" s="303">
        <f t="shared" ref="R325:R388" si="47">O325-P325</f>
        <v>3.5390000000000001</v>
      </c>
      <c r="S325" s="303" t="str">
        <f t="shared" ref="S325:S388" si="48">IF(F325=8,ROUND(PRODUCT(G325:I325,R325),2),"-")</f>
        <v>-</v>
      </c>
      <c r="T325" s="303" t="str">
        <f t="shared" ref="T325:T388" si="49">IF(F325=10,ROUND(PRODUCT(G325:I325,R325),2),"-")</f>
        <v>-</v>
      </c>
      <c r="U325" s="303">
        <f t="shared" ref="U325:U388" si="50">IF(F325=12,ROUND(PRODUCT(G325:I325,R325),2),"-")</f>
        <v>42.47</v>
      </c>
      <c r="V325" s="303" t="str">
        <f t="shared" ref="V325:V388" si="51">IF(F325=16,ROUND(PRODUCT(G325:I325,R325),2),"-")</f>
        <v>-</v>
      </c>
      <c r="W325" s="303" t="str">
        <f t="shared" ref="W325:W388" si="52">IF(F325=20,ROUND(PRODUCT(G325:I325,R325),2),"-")</f>
        <v>-</v>
      </c>
      <c r="X325" s="303" t="str">
        <f t="shared" ref="X325:X388" si="53">IF(F325=25,ROUND(PRODUCT(G325:I325,R325),2),"-")</f>
        <v>-</v>
      </c>
    </row>
    <row r="326" spans="3:24">
      <c r="C326" s="277"/>
      <c r="D326" s="270" t="s">
        <v>632</v>
      </c>
      <c r="E326" s="303" t="s">
        <v>907</v>
      </c>
      <c r="F326" s="303">
        <v>8</v>
      </c>
      <c r="G326" s="303">
        <v>1</v>
      </c>
      <c r="H326" s="303">
        <v>24</v>
      </c>
      <c r="I326" s="303">
        <v>2</v>
      </c>
      <c r="J326" s="303">
        <v>0.18</v>
      </c>
      <c r="K326" s="269">
        <v>0.4</v>
      </c>
      <c r="L326" s="303">
        <v>0.18</v>
      </c>
      <c r="M326" s="303">
        <v>0.4</v>
      </c>
      <c r="N326" s="303">
        <v>0.16</v>
      </c>
      <c r="O326" s="321">
        <f t="shared" si="45"/>
        <v>1.32</v>
      </c>
      <c r="P326" s="322">
        <f t="shared" si="46"/>
        <v>0.08</v>
      </c>
      <c r="Q326" s="322"/>
      <c r="R326" s="303">
        <f t="shared" si="47"/>
        <v>1.24</v>
      </c>
      <c r="S326" s="303">
        <f t="shared" si="48"/>
        <v>59.52</v>
      </c>
      <c r="T326" s="303" t="str">
        <f t="shared" si="49"/>
        <v>-</v>
      </c>
      <c r="U326" s="303" t="str">
        <f t="shared" si="50"/>
        <v>-</v>
      </c>
      <c r="V326" s="303" t="str">
        <f t="shared" si="51"/>
        <v>-</v>
      </c>
      <c r="W326" s="303" t="str">
        <f t="shared" si="52"/>
        <v>-</v>
      </c>
      <c r="X326" s="303" t="str">
        <f t="shared" si="53"/>
        <v>-</v>
      </c>
    </row>
    <row r="327" spans="3:24">
      <c r="C327" s="277"/>
      <c r="D327" s="270"/>
      <c r="E327" s="303"/>
      <c r="F327" s="303"/>
      <c r="G327" s="303"/>
      <c r="H327" s="303"/>
      <c r="I327" s="303"/>
      <c r="J327" s="303"/>
      <c r="K327" s="269"/>
      <c r="L327" s="303"/>
      <c r="M327" s="304"/>
      <c r="N327" s="304"/>
      <c r="O327" s="321">
        <f t="shared" si="45"/>
        <v>0</v>
      </c>
      <c r="P327" s="322">
        <f t="shared" si="46"/>
        <v>0</v>
      </c>
      <c r="Q327" s="322"/>
      <c r="R327" s="303">
        <f t="shared" si="47"/>
        <v>0</v>
      </c>
      <c r="S327" s="303" t="str">
        <f t="shared" si="48"/>
        <v>-</v>
      </c>
      <c r="T327" s="303" t="str">
        <f t="shared" si="49"/>
        <v>-</v>
      </c>
      <c r="U327" s="303" t="str">
        <f t="shared" si="50"/>
        <v>-</v>
      </c>
      <c r="V327" s="303" t="str">
        <f t="shared" si="51"/>
        <v>-</v>
      </c>
      <c r="W327" s="303" t="str">
        <f t="shared" si="52"/>
        <v>-</v>
      </c>
      <c r="X327" s="303" t="str">
        <f t="shared" si="53"/>
        <v>-</v>
      </c>
    </row>
    <row r="328" spans="3:24">
      <c r="C328" s="277">
        <v>36</v>
      </c>
      <c r="D328" s="283" t="s">
        <v>815</v>
      </c>
      <c r="E328" s="303" t="s">
        <v>908</v>
      </c>
      <c r="F328" s="303">
        <v>12</v>
      </c>
      <c r="G328" s="303">
        <v>1</v>
      </c>
      <c r="H328" s="303">
        <v>6</v>
      </c>
      <c r="I328" s="303">
        <v>2</v>
      </c>
      <c r="J328" s="303">
        <v>0.12</v>
      </c>
      <c r="K328" s="269">
        <v>4.0229999999999997</v>
      </c>
      <c r="L328" s="303">
        <v>0.12</v>
      </c>
      <c r="M328" s="304"/>
      <c r="N328" s="304"/>
      <c r="O328" s="321">
        <f t="shared" si="45"/>
        <v>4.2629999999999999</v>
      </c>
      <c r="P328" s="322">
        <f t="shared" si="46"/>
        <v>4.8000000000000001E-2</v>
      </c>
      <c r="Q328" s="322"/>
      <c r="R328" s="303">
        <f t="shared" si="47"/>
        <v>4.2149999999999999</v>
      </c>
      <c r="S328" s="303" t="str">
        <f t="shared" si="48"/>
        <v>-</v>
      </c>
      <c r="T328" s="303" t="str">
        <f t="shared" si="49"/>
        <v>-</v>
      </c>
      <c r="U328" s="303">
        <f t="shared" si="50"/>
        <v>50.58</v>
      </c>
      <c r="V328" s="303" t="str">
        <f t="shared" si="51"/>
        <v>-</v>
      </c>
      <c r="W328" s="303" t="str">
        <f t="shared" si="52"/>
        <v>-</v>
      </c>
      <c r="X328" s="303" t="str">
        <f t="shared" si="53"/>
        <v>-</v>
      </c>
    </row>
    <row r="329" spans="3:24">
      <c r="C329" s="277"/>
      <c r="D329" s="270" t="s">
        <v>816</v>
      </c>
      <c r="E329" s="303" t="s">
        <v>909</v>
      </c>
      <c r="F329" s="303">
        <v>12</v>
      </c>
      <c r="G329" s="303">
        <v>1</v>
      </c>
      <c r="H329" s="303">
        <v>2</v>
      </c>
      <c r="I329" s="303">
        <v>2</v>
      </c>
      <c r="J329" s="303"/>
      <c r="K329" s="269">
        <v>2.4</v>
      </c>
      <c r="L329" s="303"/>
      <c r="M329" s="304"/>
      <c r="N329" s="304"/>
      <c r="O329" s="321">
        <f t="shared" si="45"/>
        <v>2.4</v>
      </c>
      <c r="P329" s="322">
        <f t="shared" si="46"/>
        <v>0</v>
      </c>
      <c r="Q329" s="322"/>
      <c r="R329" s="303">
        <f t="shared" si="47"/>
        <v>2.4</v>
      </c>
      <c r="S329" s="303" t="str">
        <f t="shared" si="48"/>
        <v>-</v>
      </c>
      <c r="T329" s="303" t="str">
        <f t="shared" si="49"/>
        <v>-</v>
      </c>
      <c r="U329" s="303">
        <f t="shared" si="50"/>
        <v>9.6</v>
      </c>
      <c r="V329" s="303" t="str">
        <f t="shared" si="51"/>
        <v>-</v>
      </c>
      <c r="W329" s="303" t="str">
        <f t="shared" si="52"/>
        <v>-</v>
      </c>
      <c r="X329" s="303" t="str">
        <f t="shared" si="53"/>
        <v>-</v>
      </c>
    </row>
    <row r="330" spans="3:24">
      <c r="C330" s="277"/>
      <c r="D330" s="270" t="s">
        <v>650</v>
      </c>
      <c r="E330" s="303" t="s">
        <v>909</v>
      </c>
      <c r="F330" s="303">
        <v>12</v>
      </c>
      <c r="G330" s="303">
        <v>1</v>
      </c>
      <c r="H330" s="303">
        <v>12</v>
      </c>
      <c r="I330" s="303">
        <v>2</v>
      </c>
      <c r="J330" s="303"/>
      <c r="K330" s="269">
        <v>0.59</v>
      </c>
      <c r="L330" s="303"/>
      <c r="M330" s="304"/>
      <c r="N330" s="304"/>
      <c r="O330" s="321">
        <f t="shared" si="45"/>
        <v>0.59</v>
      </c>
      <c r="P330" s="322">
        <f t="shared" si="46"/>
        <v>0</v>
      </c>
      <c r="Q330" s="322"/>
      <c r="R330" s="303">
        <f t="shared" si="47"/>
        <v>0.59</v>
      </c>
      <c r="S330" s="303" t="str">
        <f t="shared" si="48"/>
        <v>-</v>
      </c>
      <c r="T330" s="303" t="str">
        <f t="shared" si="49"/>
        <v>-</v>
      </c>
      <c r="U330" s="303">
        <f t="shared" si="50"/>
        <v>14.16</v>
      </c>
      <c r="V330" s="303" t="str">
        <f t="shared" si="51"/>
        <v>-</v>
      </c>
      <c r="W330" s="303" t="str">
        <f t="shared" si="52"/>
        <v>-</v>
      </c>
      <c r="X330" s="303" t="str">
        <f t="shared" si="53"/>
        <v>-</v>
      </c>
    </row>
    <row r="331" spans="3:24">
      <c r="C331" s="277"/>
      <c r="D331" s="270" t="s">
        <v>632</v>
      </c>
      <c r="E331" s="303" t="s">
        <v>907</v>
      </c>
      <c r="F331" s="303">
        <v>8</v>
      </c>
      <c r="G331" s="303">
        <v>1</v>
      </c>
      <c r="H331" s="303">
        <v>34</v>
      </c>
      <c r="I331" s="303">
        <v>2</v>
      </c>
      <c r="J331" s="303">
        <v>0.18</v>
      </c>
      <c r="K331" s="269">
        <v>0.4</v>
      </c>
      <c r="L331" s="303">
        <v>0.18</v>
      </c>
      <c r="M331" s="303">
        <v>0.4</v>
      </c>
      <c r="N331" s="303">
        <v>0.16</v>
      </c>
      <c r="O331" s="321">
        <f t="shared" si="45"/>
        <v>1.32</v>
      </c>
      <c r="P331" s="322">
        <f t="shared" si="46"/>
        <v>0.08</v>
      </c>
      <c r="Q331" s="322"/>
      <c r="R331" s="303">
        <f t="shared" si="47"/>
        <v>1.24</v>
      </c>
      <c r="S331" s="303">
        <f t="shared" si="48"/>
        <v>84.32</v>
      </c>
      <c r="T331" s="303" t="str">
        <f t="shared" si="49"/>
        <v>-</v>
      </c>
      <c r="U331" s="303" t="str">
        <f t="shared" si="50"/>
        <v>-</v>
      </c>
      <c r="V331" s="303" t="str">
        <f t="shared" si="51"/>
        <v>-</v>
      </c>
      <c r="W331" s="303" t="str">
        <f t="shared" si="52"/>
        <v>-</v>
      </c>
      <c r="X331" s="303" t="str">
        <f t="shared" si="53"/>
        <v>-</v>
      </c>
    </row>
    <row r="332" spans="3:24">
      <c r="C332" s="277"/>
      <c r="D332" s="270"/>
      <c r="E332" s="303"/>
      <c r="F332" s="303"/>
      <c r="G332" s="303"/>
      <c r="H332" s="303"/>
      <c r="I332" s="303"/>
      <c r="J332" s="303"/>
      <c r="K332" s="269"/>
      <c r="L332" s="303"/>
      <c r="M332" s="304"/>
      <c r="N332" s="304"/>
      <c r="O332" s="321">
        <f t="shared" si="45"/>
        <v>0</v>
      </c>
      <c r="P332" s="322">
        <f t="shared" si="46"/>
        <v>0</v>
      </c>
      <c r="Q332" s="322"/>
      <c r="R332" s="303">
        <f t="shared" si="47"/>
        <v>0</v>
      </c>
      <c r="S332" s="303" t="str">
        <f t="shared" si="48"/>
        <v>-</v>
      </c>
      <c r="T332" s="303" t="str">
        <f t="shared" si="49"/>
        <v>-</v>
      </c>
      <c r="U332" s="303" t="str">
        <f t="shared" si="50"/>
        <v>-</v>
      </c>
      <c r="V332" s="303" t="str">
        <f t="shared" si="51"/>
        <v>-</v>
      </c>
      <c r="W332" s="303" t="str">
        <f t="shared" si="52"/>
        <v>-</v>
      </c>
      <c r="X332" s="303" t="str">
        <f t="shared" si="53"/>
        <v>-</v>
      </c>
    </row>
    <row r="333" spans="3:24">
      <c r="C333" s="277">
        <v>37</v>
      </c>
      <c r="D333" s="283" t="s">
        <v>817</v>
      </c>
      <c r="E333" s="303" t="s">
        <v>908</v>
      </c>
      <c r="F333" s="303">
        <v>12</v>
      </c>
      <c r="G333" s="303">
        <v>1</v>
      </c>
      <c r="H333" s="303">
        <v>6</v>
      </c>
      <c r="I333" s="303">
        <v>2</v>
      </c>
      <c r="J333" s="303">
        <v>0.12</v>
      </c>
      <c r="K333" s="269">
        <v>10.475</v>
      </c>
      <c r="L333" s="303">
        <v>0.12</v>
      </c>
      <c r="M333" s="304"/>
      <c r="N333" s="304"/>
      <c r="O333" s="321">
        <f t="shared" si="45"/>
        <v>10.714999999999998</v>
      </c>
      <c r="P333" s="322">
        <f t="shared" si="46"/>
        <v>4.8000000000000001E-2</v>
      </c>
      <c r="Q333" s="322"/>
      <c r="R333" s="303">
        <f t="shared" si="47"/>
        <v>10.666999999999998</v>
      </c>
      <c r="S333" s="303" t="str">
        <f t="shared" si="48"/>
        <v>-</v>
      </c>
      <c r="T333" s="303" t="str">
        <f t="shared" si="49"/>
        <v>-</v>
      </c>
      <c r="U333" s="303">
        <f t="shared" si="50"/>
        <v>128</v>
      </c>
      <c r="V333" s="303" t="str">
        <f t="shared" si="51"/>
        <v>-</v>
      </c>
      <c r="W333" s="303" t="str">
        <f t="shared" si="52"/>
        <v>-</v>
      </c>
      <c r="X333" s="303" t="str">
        <f t="shared" si="53"/>
        <v>-</v>
      </c>
    </row>
    <row r="334" spans="3:24">
      <c r="C334" s="277"/>
      <c r="D334" s="292" t="s">
        <v>914</v>
      </c>
      <c r="E334" s="303" t="s">
        <v>909</v>
      </c>
      <c r="F334" s="303">
        <v>12</v>
      </c>
      <c r="G334" s="303">
        <v>1</v>
      </c>
      <c r="H334" s="303">
        <v>2</v>
      </c>
      <c r="I334" s="303">
        <v>2</v>
      </c>
      <c r="J334" s="303"/>
      <c r="K334" s="269">
        <v>2.65</v>
      </c>
      <c r="L334" s="303"/>
      <c r="M334" s="304"/>
      <c r="N334" s="304"/>
      <c r="O334" s="321">
        <f t="shared" si="45"/>
        <v>2.65</v>
      </c>
      <c r="P334" s="322">
        <f t="shared" si="46"/>
        <v>0</v>
      </c>
      <c r="Q334" s="322"/>
      <c r="R334" s="303">
        <f t="shared" si="47"/>
        <v>2.65</v>
      </c>
      <c r="S334" s="303" t="str">
        <f t="shared" si="48"/>
        <v>-</v>
      </c>
      <c r="T334" s="303" t="str">
        <f t="shared" si="49"/>
        <v>-</v>
      </c>
      <c r="U334" s="303">
        <f t="shared" si="50"/>
        <v>10.6</v>
      </c>
      <c r="V334" s="303" t="str">
        <f t="shared" si="51"/>
        <v>-</v>
      </c>
      <c r="W334" s="303" t="str">
        <f t="shared" si="52"/>
        <v>-</v>
      </c>
      <c r="X334" s="303" t="str">
        <f t="shared" si="53"/>
        <v>-</v>
      </c>
    </row>
    <row r="335" spans="3:24">
      <c r="C335" s="277"/>
      <c r="D335" s="270" t="s">
        <v>818</v>
      </c>
      <c r="E335" s="303" t="s">
        <v>909</v>
      </c>
      <c r="F335" s="303">
        <v>12</v>
      </c>
      <c r="G335" s="303">
        <v>1</v>
      </c>
      <c r="H335" s="303">
        <v>2</v>
      </c>
      <c r="I335" s="303">
        <v>2</v>
      </c>
      <c r="J335" s="303"/>
      <c r="K335" s="269">
        <v>2.75</v>
      </c>
      <c r="L335" s="303"/>
      <c r="M335" s="304"/>
      <c r="N335" s="304"/>
      <c r="O335" s="321">
        <f t="shared" si="45"/>
        <v>2.75</v>
      </c>
      <c r="P335" s="322">
        <f t="shared" si="46"/>
        <v>0</v>
      </c>
      <c r="Q335" s="322"/>
      <c r="R335" s="303">
        <f t="shared" si="47"/>
        <v>2.75</v>
      </c>
      <c r="S335" s="303" t="str">
        <f t="shared" si="48"/>
        <v>-</v>
      </c>
      <c r="T335" s="303" t="str">
        <f t="shared" si="49"/>
        <v>-</v>
      </c>
      <c r="U335" s="303">
        <f t="shared" si="50"/>
        <v>11</v>
      </c>
      <c r="V335" s="303" t="str">
        <f t="shared" si="51"/>
        <v>-</v>
      </c>
      <c r="W335" s="303" t="str">
        <f t="shared" si="52"/>
        <v>-</v>
      </c>
      <c r="X335" s="303" t="str">
        <f t="shared" si="53"/>
        <v>-</v>
      </c>
    </row>
    <row r="336" spans="3:24">
      <c r="C336" s="277"/>
      <c r="D336" s="270" t="s">
        <v>650</v>
      </c>
      <c r="E336" s="303" t="s">
        <v>909</v>
      </c>
      <c r="F336" s="303">
        <v>12</v>
      </c>
      <c r="G336" s="303">
        <v>1</v>
      </c>
      <c r="H336" s="303">
        <v>24</v>
      </c>
      <c r="I336" s="303">
        <v>2</v>
      </c>
      <c r="J336" s="303"/>
      <c r="K336" s="269">
        <v>0.59</v>
      </c>
      <c r="L336" s="303"/>
      <c r="M336" s="304"/>
      <c r="N336" s="304"/>
      <c r="O336" s="321">
        <f t="shared" si="45"/>
        <v>0.59</v>
      </c>
      <c r="P336" s="322">
        <f t="shared" si="46"/>
        <v>0</v>
      </c>
      <c r="Q336" s="322"/>
      <c r="R336" s="303">
        <f t="shared" si="47"/>
        <v>0.59</v>
      </c>
      <c r="S336" s="303" t="str">
        <f t="shared" si="48"/>
        <v>-</v>
      </c>
      <c r="T336" s="303" t="str">
        <f t="shared" si="49"/>
        <v>-</v>
      </c>
      <c r="U336" s="303">
        <f t="shared" si="50"/>
        <v>28.32</v>
      </c>
      <c r="V336" s="303" t="str">
        <f t="shared" si="51"/>
        <v>-</v>
      </c>
      <c r="W336" s="303" t="str">
        <f t="shared" si="52"/>
        <v>-</v>
      </c>
      <c r="X336" s="303" t="str">
        <f t="shared" si="53"/>
        <v>-</v>
      </c>
    </row>
    <row r="337" spans="3:24">
      <c r="C337" s="277"/>
      <c r="D337" s="270" t="s">
        <v>632</v>
      </c>
      <c r="E337" s="303" t="s">
        <v>907</v>
      </c>
      <c r="F337" s="303">
        <v>8</v>
      </c>
      <c r="G337" s="303">
        <v>1</v>
      </c>
      <c r="H337" s="303">
        <v>85</v>
      </c>
      <c r="I337" s="303">
        <v>2</v>
      </c>
      <c r="J337" s="303">
        <v>0.18</v>
      </c>
      <c r="K337" s="269">
        <v>0.4</v>
      </c>
      <c r="L337" s="303">
        <v>0.18</v>
      </c>
      <c r="M337" s="303">
        <v>0.4</v>
      </c>
      <c r="N337" s="303">
        <v>0.16</v>
      </c>
      <c r="O337" s="321">
        <f t="shared" si="45"/>
        <v>1.32</v>
      </c>
      <c r="P337" s="322">
        <f t="shared" si="46"/>
        <v>0.08</v>
      </c>
      <c r="Q337" s="322"/>
      <c r="R337" s="303">
        <f t="shared" si="47"/>
        <v>1.24</v>
      </c>
      <c r="S337" s="303">
        <f t="shared" si="48"/>
        <v>210.8</v>
      </c>
      <c r="T337" s="303" t="str">
        <f t="shared" si="49"/>
        <v>-</v>
      </c>
      <c r="U337" s="303" t="str">
        <f t="shared" si="50"/>
        <v>-</v>
      </c>
      <c r="V337" s="303" t="str">
        <f t="shared" si="51"/>
        <v>-</v>
      </c>
      <c r="W337" s="303" t="str">
        <f t="shared" si="52"/>
        <v>-</v>
      </c>
      <c r="X337" s="303" t="str">
        <f t="shared" si="53"/>
        <v>-</v>
      </c>
    </row>
    <row r="338" spans="3:24">
      <c r="C338" s="277"/>
      <c r="D338" s="270"/>
      <c r="E338" s="303"/>
      <c r="F338" s="303"/>
      <c r="G338" s="303"/>
      <c r="H338" s="303"/>
      <c r="I338" s="303"/>
      <c r="J338" s="303"/>
      <c r="K338" s="269"/>
      <c r="L338" s="303"/>
      <c r="M338" s="304"/>
      <c r="N338" s="304"/>
      <c r="O338" s="321">
        <f t="shared" si="45"/>
        <v>0</v>
      </c>
      <c r="P338" s="322">
        <f t="shared" si="46"/>
        <v>0</v>
      </c>
      <c r="Q338" s="322"/>
      <c r="R338" s="303">
        <f t="shared" si="47"/>
        <v>0</v>
      </c>
      <c r="S338" s="303" t="str">
        <f t="shared" si="48"/>
        <v>-</v>
      </c>
      <c r="T338" s="303" t="str">
        <f t="shared" si="49"/>
        <v>-</v>
      </c>
      <c r="U338" s="303" t="str">
        <f t="shared" si="50"/>
        <v>-</v>
      </c>
      <c r="V338" s="303" t="str">
        <f t="shared" si="51"/>
        <v>-</v>
      </c>
      <c r="W338" s="303" t="str">
        <f t="shared" si="52"/>
        <v>-</v>
      </c>
      <c r="X338" s="303" t="str">
        <f t="shared" si="53"/>
        <v>-</v>
      </c>
    </row>
    <row r="339" spans="3:24">
      <c r="C339" s="277">
        <v>38</v>
      </c>
      <c r="D339" s="268" t="s">
        <v>819</v>
      </c>
      <c r="E339" s="303" t="s">
        <v>908</v>
      </c>
      <c r="F339" s="303">
        <v>12</v>
      </c>
      <c r="G339" s="303">
        <v>1</v>
      </c>
      <c r="H339" s="303">
        <v>6</v>
      </c>
      <c r="I339" s="303">
        <v>2</v>
      </c>
      <c r="J339" s="303">
        <v>0.12</v>
      </c>
      <c r="K339" s="269">
        <v>13.15</v>
      </c>
      <c r="L339" s="303">
        <v>0.12</v>
      </c>
      <c r="M339" s="304"/>
      <c r="N339" s="304"/>
      <c r="O339" s="321">
        <f t="shared" si="45"/>
        <v>13.389999999999999</v>
      </c>
      <c r="P339" s="322">
        <f t="shared" si="46"/>
        <v>4.8000000000000001E-2</v>
      </c>
      <c r="Q339" s="322"/>
      <c r="R339" s="303">
        <f t="shared" si="47"/>
        <v>13.341999999999999</v>
      </c>
      <c r="S339" s="303" t="str">
        <f t="shared" si="48"/>
        <v>-</v>
      </c>
      <c r="T339" s="303" t="str">
        <f t="shared" si="49"/>
        <v>-</v>
      </c>
      <c r="U339" s="303">
        <f t="shared" si="50"/>
        <v>160.1</v>
      </c>
      <c r="V339" s="303" t="str">
        <f t="shared" si="51"/>
        <v>-</v>
      </c>
      <c r="W339" s="303" t="str">
        <f t="shared" si="52"/>
        <v>-</v>
      </c>
      <c r="X339" s="303" t="str">
        <f t="shared" si="53"/>
        <v>-</v>
      </c>
    </row>
    <row r="340" spans="3:24">
      <c r="C340" s="277"/>
      <c r="D340" s="270" t="s">
        <v>820</v>
      </c>
      <c r="E340" s="303" t="s">
        <v>910</v>
      </c>
      <c r="F340" s="303">
        <v>12</v>
      </c>
      <c r="G340" s="303">
        <v>1</v>
      </c>
      <c r="H340" s="303">
        <v>4</v>
      </c>
      <c r="I340" s="303">
        <v>2</v>
      </c>
      <c r="J340" s="303">
        <v>0.12</v>
      </c>
      <c r="K340" s="269">
        <v>1.375</v>
      </c>
      <c r="L340" s="303"/>
      <c r="M340" s="304"/>
      <c r="N340" s="304"/>
      <c r="O340" s="321">
        <f t="shared" si="45"/>
        <v>1.4950000000000001</v>
      </c>
      <c r="P340" s="322">
        <f t="shared" si="46"/>
        <v>2.4E-2</v>
      </c>
      <c r="Q340" s="322"/>
      <c r="R340" s="303">
        <f t="shared" si="47"/>
        <v>1.4710000000000001</v>
      </c>
      <c r="S340" s="303" t="str">
        <f t="shared" si="48"/>
        <v>-</v>
      </c>
      <c r="T340" s="303" t="str">
        <f t="shared" si="49"/>
        <v>-</v>
      </c>
      <c r="U340" s="303">
        <f t="shared" si="50"/>
        <v>11.77</v>
      </c>
      <c r="V340" s="303" t="str">
        <f t="shared" si="51"/>
        <v>-</v>
      </c>
      <c r="W340" s="303" t="str">
        <f t="shared" si="52"/>
        <v>-</v>
      </c>
      <c r="X340" s="303" t="str">
        <f t="shared" si="53"/>
        <v>-</v>
      </c>
    </row>
    <row r="341" spans="3:24">
      <c r="C341" s="277"/>
      <c r="D341" s="270" t="s">
        <v>820</v>
      </c>
      <c r="E341" s="303" t="s">
        <v>910</v>
      </c>
      <c r="F341" s="303">
        <v>12</v>
      </c>
      <c r="G341" s="303">
        <v>1</v>
      </c>
      <c r="H341" s="303">
        <v>2</v>
      </c>
      <c r="I341" s="303">
        <v>2</v>
      </c>
      <c r="J341" s="303">
        <v>0.12</v>
      </c>
      <c r="K341" s="269">
        <v>1.875</v>
      </c>
      <c r="L341" s="303"/>
      <c r="M341" s="304"/>
      <c r="N341" s="304"/>
      <c r="O341" s="321">
        <f t="shared" si="45"/>
        <v>1.9950000000000001</v>
      </c>
      <c r="P341" s="322">
        <f t="shared" si="46"/>
        <v>2.4E-2</v>
      </c>
      <c r="Q341" s="322"/>
      <c r="R341" s="303">
        <f t="shared" si="47"/>
        <v>1.9710000000000001</v>
      </c>
      <c r="S341" s="303" t="str">
        <f t="shared" si="48"/>
        <v>-</v>
      </c>
      <c r="T341" s="303" t="str">
        <f t="shared" si="49"/>
        <v>-</v>
      </c>
      <c r="U341" s="303">
        <f t="shared" si="50"/>
        <v>7.88</v>
      </c>
      <c r="V341" s="303" t="str">
        <f t="shared" si="51"/>
        <v>-</v>
      </c>
      <c r="W341" s="303" t="str">
        <f t="shared" si="52"/>
        <v>-</v>
      </c>
      <c r="X341" s="303" t="str">
        <f t="shared" si="53"/>
        <v>-</v>
      </c>
    </row>
    <row r="342" spans="3:24">
      <c r="C342" s="277"/>
      <c r="D342" s="270" t="s">
        <v>821</v>
      </c>
      <c r="E342" s="303" t="s">
        <v>909</v>
      </c>
      <c r="F342" s="303">
        <v>12</v>
      </c>
      <c r="G342" s="303">
        <v>1</v>
      </c>
      <c r="H342" s="303">
        <v>2</v>
      </c>
      <c r="I342" s="303">
        <v>2</v>
      </c>
      <c r="J342" s="303"/>
      <c r="K342" s="269">
        <v>2.4</v>
      </c>
      <c r="L342" s="303"/>
      <c r="M342" s="304"/>
      <c r="N342" s="304"/>
      <c r="O342" s="321">
        <f t="shared" si="45"/>
        <v>2.4</v>
      </c>
      <c r="P342" s="322">
        <f t="shared" si="46"/>
        <v>0</v>
      </c>
      <c r="Q342" s="322"/>
      <c r="R342" s="303">
        <f t="shared" si="47"/>
        <v>2.4</v>
      </c>
      <c r="S342" s="303" t="str">
        <f t="shared" si="48"/>
        <v>-</v>
      </c>
      <c r="T342" s="303" t="str">
        <f t="shared" si="49"/>
        <v>-</v>
      </c>
      <c r="U342" s="303">
        <f t="shared" si="50"/>
        <v>9.6</v>
      </c>
      <c r="V342" s="303" t="str">
        <f t="shared" si="51"/>
        <v>-</v>
      </c>
      <c r="W342" s="303" t="str">
        <f t="shared" si="52"/>
        <v>-</v>
      </c>
      <c r="X342" s="303" t="str">
        <f t="shared" si="53"/>
        <v>-</v>
      </c>
    </row>
    <row r="343" spans="3:24">
      <c r="C343" s="277"/>
      <c r="D343" s="270" t="s">
        <v>821</v>
      </c>
      <c r="E343" s="303" t="s">
        <v>909</v>
      </c>
      <c r="F343" s="303">
        <v>12</v>
      </c>
      <c r="G343" s="303">
        <v>1</v>
      </c>
      <c r="H343" s="303">
        <v>1</v>
      </c>
      <c r="I343" s="303">
        <v>2</v>
      </c>
      <c r="J343" s="303"/>
      <c r="K343" s="269">
        <v>3.4</v>
      </c>
      <c r="L343" s="303"/>
      <c r="M343" s="304"/>
      <c r="N343" s="304"/>
      <c r="O343" s="321">
        <f t="shared" si="45"/>
        <v>3.4</v>
      </c>
      <c r="P343" s="322">
        <f t="shared" si="46"/>
        <v>0</v>
      </c>
      <c r="Q343" s="322"/>
      <c r="R343" s="303">
        <f t="shared" si="47"/>
        <v>3.4</v>
      </c>
      <c r="S343" s="303" t="str">
        <f t="shared" si="48"/>
        <v>-</v>
      </c>
      <c r="T343" s="303" t="str">
        <f t="shared" si="49"/>
        <v>-</v>
      </c>
      <c r="U343" s="303">
        <f t="shared" si="50"/>
        <v>6.8</v>
      </c>
      <c r="V343" s="303" t="str">
        <f t="shared" si="51"/>
        <v>-</v>
      </c>
      <c r="W343" s="303" t="str">
        <f t="shared" si="52"/>
        <v>-</v>
      </c>
      <c r="X343" s="303" t="str">
        <f t="shared" si="53"/>
        <v>-</v>
      </c>
    </row>
    <row r="344" spans="3:24">
      <c r="C344" s="277"/>
      <c r="D344" s="270" t="s">
        <v>822</v>
      </c>
      <c r="E344" s="303" t="s">
        <v>909</v>
      </c>
      <c r="F344" s="303">
        <v>12</v>
      </c>
      <c r="G344" s="303">
        <v>1</v>
      </c>
      <c r="H344" s="303">
        <v>6</v>
      </c>
      <c r="I344" s="303">
        <v>2</v>
      </c>
      <c r="J344" s="303"/>
      <c r="K344" s="269">
        <v>4.2</v>
      </c>
      <c r="L344" s="303"/>
      <c r="M344" s="304"/>
      <c r="N344" s="304"/>
      <c r="O344" s="321">
        <f t="shared" si="45"/>
        <v>4.2</v>
      </c>
      <c r="P344" s="322">
        <f t="shared" si="46"/>
        <v>0</v>
      </c>
      <c r="Q344" s="322"/>
      <c r="R344" s="303">
        <f t="shared" si="47"/>
        <v>4.2</v>
      </c>
      <c r="S344" s="303" t="str">
        <f t="shared" si="48"/>
        <v>-</v>
      </c>
      <c r="T344" s="303" t="str">
        <f t="shared" si="49"/>
        <v>-</v>
      </c>
      <c r="U344" s="303">
        <f t="shared" si="50"/>
        <v>50.4</v>
      </c>
      <c r="V344" s="303" t="str">
        <f t="shared" si="51"/>
        <v>-</v>
      </c>
      <c r="W344" s="303" t="str">
        <f t="shared" si="52"/>
        <v>-</v>
      </c>
      <c r="X344" s="303" t="str">
        <f t="shared" si="53"/>
        <v>-</v>
      </c>
    </row>
    <row r="345" spans="3:24">
      <c r="C345" s="277"/>
      <c r="D345" s="270" t="s">
        <v>650</v>
      </c>
      <c r="E345" s="303" t="s">
        <v>909</v>
      </c>
      <c r="F345" s="303">
        <v>12</v>
      </c>
      <c r="G345" s="303">
        <v>1</v>
      </c>
      <c r="H345" s="303">
        <v>24</v>
      </c>
      <c r="I345" s="303">
        <v>2</v>
      </c>
      <c r="J345" s="303"/>
      <c r="K345" s="269">
        <v>0.59</v>
      </c>
      <c r="L345" s="303"/>
      <c r="M345" s="304"/>
      <c r="N345" s="304"/>
      <c r="O345" s="321">
        <f t="shared" si="45"/>
        <v>0.59</v>
      </c>
      <c r="P345" s="322">
        <f t="shared" si="46"/>
        <v>0</v>
      </c>
      <c r="Q345" s="322"/>
      <c r="R345" s="303">
        <f t="shared" si="47"/>
        <v>0.59</v>
      </c>
      <c r="S345" s="303" t="str">
        <f t="shared" si="48"/>
        <v>-</v>
      </c>
      <c r="T345" s="303" t="str">
        <f t="shared" si="49"/>
        <v>-</v>
      </c>
      <c r="U345" s="303">
        <f t="shared" si="50"/>
        <v>28.32</v>
      </c>
      <c r="V345" s="303" t="str">
        <f t="shared" si="51"/>
        <v>-</v>
      </c>
      <c r="W345" s="303" t="str">
        <f t="shared" si="52"/>
        <v>-</v>
      </c>
      <c r="X345" s="303" t="str">
        <f t="shared" si="53"/>
        <v>-</v>
      </c>
    </row>
    <row r="346" spans="3:24">
      <c r="C346" s="277"/>
      <c r="D346" s="270" t="s">
        <v>632</v>
      </c>
      <c r="E346" s="303" t="s">
        <v>907</v>
      </c>
      <c r="F346" s="303">
        <v>8</v>
      </c>
      <c r="G346" s="303">
        <v>1</v>
      </c>
      <c r="H346" s="303">
        <v>96</v>
      </c>
      <c r="I346" s="303">
        <v>2</v>
      </c>
      <c r="J346" s="303">
        <v>0.18</v>
      </c>
      <c r="K346" s="269">
        <v>0.4</v>
      </c>
      <c r="L346" s="303">
        <v>0.18</v>
      </c>
      <c r="M346" s="303">
        <v>0.4</v>
      </c>
      <c r="N346" s="303">
        <v>0.16</v>
      </c>
      <c r="O346" s="321">
        <f t="shared" si="45"/>
        <v>1.32</v>
      </c>
      <c r="P346" s="322">
        <f t="shared" si="46"/>
        <v>0.08</v>
      </c>
      <c r="Q346" s="322"/>
      <c r="R346" s="303">
        <f t="shared" si="47"/>
        <v>1.24</v>
      </c>
      <c r="S346" s="303">
        <f t="shared" si="48"/>
        <v>238.08</v>
      </c>
      <c r="T346" s="303" t="str">
        <f t="shared" si="49"/>
        <v>-</v>
      </c>
      <c r="U346" s="303" t="str">
        <f t="shared" si="50"/>
        <v>-</v>
      </c>
      <c r="V346" s="303" t="str">
        <f t="shared" si="51"/>
        <v>-</v>
      </c>
      <c r="W346" s="303" t="str">
        <f t="shared" si="52"/>
        <v>-</v>
      </c>
      <c r="X346" s="303" t="str">
        <f t="shared" si="53"/>
        <v>-</v>
      </c>
    </row>
    <row r="347" spans="3:24">
      <c r="C347" s="277"/>
      <c r="D347" s="270"/>
      <c r="E347" s="303"/>
      <c r="F347" s="303"/>
      <c r="G347" s="303"/>
      <c r="H347" s="303"/>
      <c r="I347" s="303"/>
      <c r="J347" s="303"/>
      <c r="K347" s="269"/>
      <c r="L347" s="303"/>
      <c r="M347" s="304"/>
      <c r="N347" s="304"/>
      <c r="O347" s="321">
        <f t="shared" si="45"/>
        <v>0</v>
      </c>
      <c r="P347" s="322">
        <f t="shared" si="46"/>
        <v>0</v>
      </c>
      <c r="Q347" s="322"/>
      <c r="R347" s="303">
        <f t="shared" si="47"/>
        <v>0</v>
      </c>
      <c r="S347" s="303" t="str">
        <f t="shared" si="48"/>
        <v>-</v>
      </c>
      <c r="T347" s="303" t="str">
        <f t="shared" si="49"/>
        <v>-</v>
      </c>
      <c r="U347" s="303" t="str">
        <f t="shared" si="50"/>
        <v>-</v>
      </c>
      <c r="V347" s="303" t="str">
        <f t="shared" si="51"/>
        <v>-</v>
      </c>
      <c r="W347" s="303" t="str">
        <f t="shared" si="52"/>
        <v>-</v>
      </c>
      <c r="X347" s="303" t="str">
        <f t="shared" si="53"/>
        <v>-</v>
      </c>
    </row>
    <row r="348" spans="3:24">
      <c r="C348" s="277">
        <v>39</v>
      </c>
      <c r="D348" s="268" t="s">
        <v>823</v>
      </c>
      <c r="E348" s="303" t="s">
        <v>908</v>
      </c>
      <c r="F348" s="303">
        <v>12</v>
      </c>
      <c r="G348" s="303">
        <v>1</v>
      </c>
      <c r="H348" s="303">
        <v>6</v>
      </c>
      <c r="I348" s="303">
        <v>2</v>
      </c>
      <c r="J348" s="303">
        <v>0.12</v>
      </c>
      <c r="K348" s="282">
        <v>3.5379999999999998</v>
      </c>
      <c r="L348" s="303">
        <v>0.12</v>
      </c>
      <c r="M348" s="304"/>
      <c r="N348" s="304"/>
      <c r="O348" s="321">
        <f t="shared" si="45"/>
        <v>3.778</v>
      </c>
      <c r="P348" s="322">
        <f t="shared" si="46"/>
        <v>4.8000000000000001E-2</v>
      </c>
      <c r="Q348" s="322"/>
      <c r="R348" s="303">
        <f t="shared" si="47"/>
        <v>3.73</v>
      </c>
      <c r="S348" s="303" t="str">
        <f t="shared" si="48"/>
        <v>-</v>
      </c>
      <c r="T348" s="303" t="str">
        <f t="shared" si="49"/>
        <v>-</v>
      </c>
      <c r="U348" s="303">
        <f t="shared" si="50"/>
        <v>44.76</v>
      </c>
      <c r="V348" s="303" t="str">
        <f t="shared" si="51"/>
        <v>-</v>
      </c>
      <c r="W348" s="303" t="str">
        <f t="shared" si="52"/>
        <v>-</v>
      </c>
      <c r="X348" s="303" t="str">
        <f t="shared" si="53"/>
        <v>-</v>
      </c>
    </row>
    <row r="349" spans="3:24">
      <c r="C349" s="277"/>
      <c r="D349" s="270" t="s">
        <v>632</v>
      </c>
      <c r="E349" s="303" t="s">
        <v>907</v>
      </c>
      <c r="F349" s="303">
        <v>8</v>
      </c>
      <c r="G349" s="303">
        <v>1</v>
      </c>
      <c r="H349" s="303">
        <v>31</v>
      </c>
      <c r="I349" s="303">
        <v>2</v>
      </c>
      <c r="J349" s="303">
        <v>0.18</v>
      </c>
      <c r="K349" s="269">
        <v>0.4</v>
      </c>
      <c r="L349" s="303">
        <v>0.18</v>
      </c>
      <c r="M349" s="303">
        <v>0.4</v>
      </c>
      <c r="N349" s="303">
        <v>0.16</v>
      </c>
      <c r="O349" s="321">
        <f t="shared" si="45"/>
        <v>1.32</v>
      </c>
      <c r="P349" s="322">
        <f t="shared" si="46"/>
        <v>0.08</v>
      </c>
      <c r="Q349" s="322"/>
      <c r="R349" s="303">
        <f t="shared" si="47"/>
        <v>1.24</v>
      </c>
      <c r="S349" s="303">
        <f t="shared" si="48"/>
        <v>76.88</v>
      </c>
      <c r="T349" s="303" t="str">
        <f t="shared" si="49"/>
        <v>-</v>
      </c>
      <c r="U349" s="303" t="str">
        <f t="shared" si="50"/>
        <v>-</v>
      </c>
      <c r="V349" s="303" t="str">
        <f t="shared" si="51"/>
        <v>-</v>
      </c>
      <c r="W349" s="303" t="str">
        <f t="shared" si="52"/>
        <v>-</v>
      </c>
      <c r="X349" s="303" t="str">
        <f t="shared" si="53"/>
        <v>-</v>
      </c>
    </row>
    <row r="350" spans="3:24">
      <c r="C350" s="277"/>
      <c r="D350" s="270" t="s">
        <v>742</v>
      </c>
      <c r="E350" s="303" t="s">
        <v>909</v>
      </c>
      <c r="F350" s="303">
        <v>12</v>
      </c>
      <c r="G350" s="303">
        <v>1</v>
      </c>
      <c r="H350" s="303">
        <v>6</v>
      </c>
      <c r="I350" s="303">
        <v>2</v>
      </c>
      <c r="J350" s="303"/>
      <c r="K350" s="293">
        <v>0.59</v>
      </c>
      <c r="L350" s="303"/>
      <c r="M350" s="303"/>
      <c r="N350" s="303"/>
      <c r="O350" s="321">
        <f t="shared" si="45"/>
        <v>0.59</v>
      </c>
      <c r="P350" s="322">
        <f t="shared" si="46"/>
        <v>0</v>
      </c>
      <c r="Q350" s="322"/>
      <c r="R350" s="303">
        <f t="shared" si="47"/>
        <v>0.59</v>
      </c>
      <c r="S350" s="303" t="str">
        <f t="shared" si="48"/>
        <v>-</v>
      </c>
      <c r="T350" s="303" t="str">
        <f t="shared" si="49"/>
        <v>-</v>
      </c>
      <c r="U350" s="303">
        <f t="shared" si="50"/>
        <v>7.08</v>
      </c>
      <c r="V350" s="303" t="str">
        <f t="shared" si="51"/>
        <v>-</v>
      </c>
      <c r="W350" s="303" t="str">
        <f t="shared" si="52"/>
        <v>-</v>
      </c>
      <c r="X350" s="303" t="str">
        <f t="shared" si="53"/>
        <v>-</v>
      </c>
    </row>
    <row r="351" spans="3:24">
      <c r="C351" s="277"/>
      <c r="D351" s="270"/>
      <c r="E351" s="303"/>
      <c r="F351" s="303"/>
      <c r="G351" s="303"/>
      <c r="H351" s="303"/>
      <c r="I351" s="303"/>
      <c r="J351" s="303"/>
      <c r="K351" s="294"/>
      <c r="L351" s="303"/>
      <c r="M351" s="304"/>
      <c r="N351" s="304"/>
      <c r="O351" s="321">
        <f t="shared" si="45"/>
        <v>0</v>
      </c>
      <c r="P351" s="322">
        <f t="shared" si="46"/>
        <v>0</v>
      </c>
      <c r="Q351" s="322"/>
      <c r="R351" s="303">
        <f t="shared" si="47"/>
        <v>0</v>
      </c>
      <c r="S351" s="303" t="str">
        <f t="shared" si="48"/>
        <v>-</v>
      </c>
      <c r="T351" s="303" t="str">
        <f t="shared" si="49"/>
        <v>-</v>
      </c>
      <c r="U351" s="303" t="str">
        <f t="shared" si="50"/>
        <v>-</v>
      </c>
      <c r="V351" s="303" t="str">
        <f t="shared" si="51"/>
        <v>-</v>
      </c>
      <c r="W351" s="303" t="str">
        <f t="shared" si="52"/>
        <v>-</v>
      </c>
      <c r="X351" s="303" t="str">
        <f t="shared" si="53"/>
        <v>-</v>
      </c>
    </row>
    <row r="352" spans="3:24">
      <c r="C352" s="277">
        <v>40</v>
      </c>
      <c r="D352" s="268" t="s">
        <v>824</v>
      </c>
      <c r="E352" s="303" t="s">
        <v>908</v>
      </c>
      <c r="F352" s="303">
        <v>12</v>
      </c>
      <c r="G352" s="303">
        <v>1</v>
      </c>
      <c r="H352" s="303">
        <v>6</v>
      </c>
      <c r="I352" s="303">
        <v>2</v>
      </c>
      <c r="J352" s="303">
        <v>0.12</v>
      </c>
      <c r="K352" s="294">
        <v>5.0209999999999999</v>
      </c>
      <c r="L352" s="303">
        <v>0.12</v>
      </c>
      <c r="M352" s="304"/>
      <c r="N352" s="304"/>
      <c r="O352" s="321">
        <f t="shared" si="45"/>
        <v>5.2610000000000001</v>
      </c>
      <c r="P352" s="322">
        <f t="shared" si="46"/>
        <v>4.8000000000000001E-2</v>
      </c>
      <c r="Q352" s="322"/>
      <c r="R352" s="303">
        <f t="shared" si="47"/>
        <v>5.2130000000000001</v>
      </c>
      <c r="S352" s="303" t="str">
        <f t="shared" si="48"/>
        <v>-</v>
      </c>
      <c r="T352" s="303" t="str">
        <f t="shared" si="49"/>
        <v>-</v>
      </c>
      <c r="U352" s="303">
        <f t="shared" si="50"/>
        <v>62.56</v>
      </c>
      <c r="V352" s="303" t="str">
        <f t="shared" si="51"/>
        <v>-</v>
      </c>
      <c r="W352" s="303" t="str">
        <f t="shared" si="52"/>
        <v>-</v>
      </c>
      <c r="X352" s="303" t="str">
        <f t="shared" si="53"/>
        <v>-</v>
      </c>
    </row>
    <row r="353" spans="3:24">
      <c r="C353" s="277"/>
      <c r="D353" s="270" t="s">
        <v>825</v>
      </c>
      <c r="E353" s="303" t="s">
        <v>910</v>
      </c>
      <c r="F353" s="303">
        <v>12</v>
      </c>
      <c r="G353" s="303">
        <v>1</v>
      </c>
      <c r="H353" s="303">
        <v>4</v>
      </c>
      <c r="I353" s="303">
        <v>2</v>
      </c>
      <c r="J353" s="303">
        <v>0.12</v>
      </c>
      <c r="K353" s="294">
        <v>1.625</v>
      </c>
      <c r="L353" s="303"/>
      <c r="M353" s="304"/>
      <c r="N353" s="304"/>
      <c r="O353" s="321">
        <f t="shared" si="45"/>
        <v>1.7450000000000001</v>
      </c>
      <c r="P353" s="322">
        <f t="shared" si="46"/>
        <v>2.4E-2</v>
      </c>
      <c r="Q353" s="322"/>
      <c r="R353" s="303">
        <f t="shared" si="47"/>
        <v>1.7210000000000001</v>
      </c>
      <c r="S353" s="303" t="str">
        <f t="shared" si="48"/>
        <v>-</v>
      </c>
      <c r="T353" s="303" t="str">
        <f t="shared" si="49"/>
        <v>-</v>
      </c>
      <c r="U353" s="303">
        <f t="shared" si="50"/>
        <v>13.77</v>
      </c>
      <c r="V353" s="303" t="str">
        <f t="shared" si="51"/>
        <v>-</v>
      </c>
      <c r="W353" s="303" t="str">
        <f t="shared" si="52"/>
        <v>-</v>
      </c>
      <c r="X353" s="303" t="str">
        <f t="shared" si="53"/>
        <v>-</v>
      </c>
    </row>
    <row r="354" spans="3:24">
      <c r="C354" s="277"/>
      <c r="D354" s="270" t="s">
        <v>809</v>
      </c>
      <c r="E354" s="303" t="s">
        <v>909</v>
      </c>
      <c r="F354" s="303">
        <v>12</v>
      </c>
      <c r="G354" s="303">
        <v>1</v>
      </c>
      <c r="H354" s="303">
        <v>2</v>
      </c>
      <c r="I354" s="303">
        <v>2</v>
      </c>
      <c r="J354" s="303"/>
      <c r="K354" s="294">
        <v>2.9249999999999998</v>
      </c>
      <c r="L354" s="303"/>
      <c r="M354" s="304"/>
      <c r="N354" s="304"/>
      <c r="O354" s="321">
        <f t="shared" si="45"/>
        <v>2.9249999999999998</v>
      </c>
      <c r="P354" s="322">
        <f t="shared" si="46"/>
        <v>0</v>
      </c>
      <c r="Q354" s="322"/>
      <c r="R354" s="303">
        <f t="shared" si="47"/>
        <v>2.9249999999999998</v>
      </c>
      <c r="S354" s="303" t="str">
        <f t="shared" si="48"/>
        <v>-</v>
      </c>
      <c r="T354" s="303" t="str">
        <f t="shared" si="49"/>
        <v>-</v>
      </c>
      <c r="U354" s="303">
        <f t="shared" si="50"/>
        <v>11.7</v>
      </c>
      <c r="V354" s="303" t="str">
        <f t="shared" si="51"/>
        <v>-</v>
      </c>
      <c r="W354" s="303" t="str">
        <f t="shared" si="52"/>
        <v>-</v>
      </c>
      <c r="X354" s="303" t="str">
        <f t="shared" si="53"/>
        <v>-</v>
      </c>
    </row>
    <row r="355" spans="3:24">
      <c r="C355" s="277"/>
      <c r="D355" s="270" t="s">
        <v>742</v>
      </c>
      <c r="E355" s="303" t="s">
        <v>909</v>
      </c>
      <c r="F355" s="303">
        <v>12</v>
      </c>
      <c r="G355" s="303">
        <v>1</v>
      </c>
      <c r="H355" s="303">
        <v>12</v>
      </c>
      <c r="I355" s="303">
        <v>2</v>
      </c>
      <c r="J355" s="303"/>
      <c r="K355" s="294">
        <v>0.59</v>
      </c>
      <c r="L355" s="303"/>
      <c r="M355" s="304"/>
      <c r="N355" s="304"/>
      <c r="O355" s="321">
        <f t="shared" si="45"/>
        <v>0.59</v>
      </c>
      <c r="P355" s="322">
        <f t="shared" si="46"/>
        <v>0</v>
      </c>
      <c r="Q355" s="322"/>
      <c r="R355" s="303">
        <f t="shared" si="47"/>
        <v>0.59</v>
      </c>
      <c r="S355" s="303" t="str">
        <f t="shared" si="48"/>
        <v>-</v>
      </c>
      <c r="T355" s="303" t="str">
        <f t="shared" si="49"/>
        <v>-</v>
      </c>
      <c r="U355" s="303">
        <f t="shared" si="50"/>
        <v>14.16</v>
      </c>
      <c r="V355" s="303" t="str">
        <f t="shared" si="51"/>
        <v>-</v>
      </c>
      <c r="W355" s="303" t="str">
        <f t="shared" si="52"/>
        <v>-</v>
      </c>
      <c r="X355" s="303" t="str">
        <f t="shared" si="53"/>
        <v>-</v>
      </c>
    </row>
    <row r="356" spans="3:24">
      <c r="C356" s="277"/>
      <c r="D356" s="270" t="s">
        <v>632</v>
      </c>
      <c r="E356" s="303" t="s">
        <v>907</v>
      </c>
      <c r="F356" s="303">
        <v>8</v>
      </c>
      <c r="G356" s="303">
        <v>1</v>
      </c>
      <c r="H356" s="303">
        <v>35</v>
      </c>
      <c r="I356" s="303">
        <v>2</v>
      </c>
      <c r="J356" s="303">
        <v>0.18</v>
      </c>
      <c r="K356" s="269">
        <v>0.4</v>
      </c>
      <c r="L356" s="303">
        <v>0.18</v>
      </c>
      <c r="M356" s="303">
        <v>0.4</v>
      </c>
      <c r="N356" s="303">
        <v>0.16</v>
      </c>
      <c r="O356" s="321">
        <f t="shared" si="45"/>
        <v>1.32</v>
      </c>
      <c r="P356" s="322">
        <f t="shared" si="46"/>
        <v>0.08</v>
      </c>
      <c r="Q356" s="322"/>
      <c r="R356" s="303">
        <f t="shared" si="47"/>
        <v>1.24</v>
      </c>
      <c r="S356" s="303">
        <f t="shared" si="48"/>
        <v>86.8</v>
      </c>
      <c r="T356" s="303" t="str">
        <f t="shared" si="49"/>
        <v>-</v>
      </c>
      <c r="U356" s="303" t="str">
        <f t="shared" si="50"/>
        <v>-</v>
      </c>
      <c r="V356" s="303" t="str">
        <f t="shared" si="51"/>
        <v>-</v>
      </c>
      <c r="W356" s="303" t="str">
        <f t="shared" si="52"/>
        <v>-</v>
      </c>
      <c r="X356" s="303" t="str">
        <f t="shared" si="53"/>
        <v>-</v>
      </c>
    </row>
    <row r="357" spans="3:24">
      <c r="C357" s="277"/>
      <c r="D357" s="270"/>
      <c r="E357" s="303"/>
      <c r="F357" s="303"/>
      <c r="G357" s="303"/>
      <c r="H357" s="303"/>
      <c r="I357" s="303"/>
      <c r="J357" s="303"/>
      <c r="K357" s="294"/>
      <c r="L357" s="303"/>
      <c r="M357" s="304"/>
      <c r="N357" s="304"/>
      <c r="O357" s="321">
        <f t="shared" si="45"/>
        <v>0</v>
      </c>
      <c r="P357" s="322">
        <f t="shared" si="46"/>
        <v>0</v>
      </c>
      <c r="Q357" s="322"/>
      <c r="R357" s="303">
        <f t="shared" si="47"/>
        <v>0</v>
      </c>
      <c r="S357" s="303" t="str">
        <f t="shared" si="48"/>
        <v>-</v>
      </c>
      <c r="T357" s="303" t="str">
        <f t="shared" si="49"/>
        <v>-</v>
      </c>
      <c r="U357" s="303" t="str">
        <f t="shared" si="50"/>
        <v>-</v>
      </c>
      <c r="V357" s="303" t="str">
        <f t="shared" si="51"/>
        <v>-</v>
      </c>
      <c r="W357" s="303" t="str">
        <f t="shared" si="52"/>
        <v>-</v>
      </c>
      <c r="X357" s="303" t="str">
        <f t="shared" si="53"/>
        <v>-</v>
      </c>
    </row>
    <row r="358" spans="3:24">
      <c r="C358" s="277">
        <v>41</v>
      </c>
      <c r="D358" s="268" t="s">
        <v>826</v>
      </c>
      <c r="E358" s="303" t="s">
        <v>908</v>
      </c>
      <c r="F358" s="303">
        <v>12</v>
      </c>
      <c r="G358" s="303">
        <v>1</v>
      </c>
      <c r="H358" s="303">
        <v>6</v>
      </c>
      <c r="I358" s="303">
        <v>2</v>
      </c>
      <c r="J358" s="303">
        <v>0.12</v>
      </c>
      <c r="K358" s="293">
        <v>6.7</v>
      </c>
      <c r="L358" s="303">
        <v>0.12</v>
      </c>
      <c r="M358" s="304"/>
      <c r="N358" s="304"/>
      <c r="O358" s="321">
        <f t="shared" si="45"/>
        <v>6.94</v>
      </c>
      <c r="P358" s="322">
        <f t="shared" si="46"/>
        <v>4.8000000000000001E-2</v>
      </c>
      <c r="Q358" s="322"/>
      <c r="R358" s="303">
        <f t="shared" si="47"/>
        <v>6.8920000000000003</v>
      </c>
      <c r="S358" s="303" t="str">
        <f t="shared" si="48"/>
        <v>-</v>
      </c>
      <c r="T358" s="303" t="str">
        <f t="shared" si="49"/>
        <v>-</v>
      </c>
      <c r="U358" s="303">
        <f t="shared" si="50"/>
        <v>82.7</v>
      </c>
      <c r="V358" s="303" t="str">
        <f t="shared" si="51"/>
        <v>-</v>
      </c>
      <c r="W358" s="303" t="str">
        <f t="shared" si="52"/>
        <v>-</v>
      </c>
      <c r="X358" s="303" t="str">
        <f t="shared" si="53"/>
        <v>-</v>
      </c>
    </row>
    <row r="359" spans="3:24">
      <c r="C359" s="277"/>
      <c r="D359" s="270" t="s">
        <v>650</v>
      </c>
      <c r="E359" s="303" t="s">
        <v>909</v>
      </c>
      <c r="F359" s="303">
        <v>12</v>
      </c>
      <c r="G359" s="303">
        <v>1</v>
      </c>
      <c r="H359" s="303">
        <v>18</v>
      </c>
      <c r="I359" s="303">
        <v>2</v>
      </c>
      <c r="J359" s="303"/>
      <c r="K359" s="293">
        <v>0.59</v>
      </c>
      <c r="L359" s="303"/>
      <c r="M359" s="304"/>
      <c r="N359" s="304"/>
      <c r="O359" s="321">
        <f t="shared" si="45"/>
        <v>0.59</v>
      </c>
      <c r="P359" s="322">
        <f t="shared" si="46"/>
        <v>0</v>
      </c>
      <c r="Q359" s="322"/>
      <c r="R359" s="303">
        <f t="shared" si="47"/>
        <v>0.59</v>
      </c>
      <c r="S359" s="303" t="str">
        <f t="shared" si="48"/>
        <v>-</v>
      </c>
      <c r="T359" s="303" t="str">
        <f t="shared" si="49"/>
        <v>-</v>
      </c>
      <c r="U359" s="303">
        <f t="shared" si="50"/>
        <v>21.24</v>
      </c>
      <c r="V359" s="303" t="str">
        <f t="shared" si="51"/>
        <v>-</v>
      </c>
      <c r="W359" s="303" t="str">
        <f t="shared" si="52"/>
        <v>-</v>
      </c>
      <c r="X359" s="303" t="str">
        <f t="shared" si="53"/>
        <v>-</v>
      </c>
    </row>
    <row r="360" spans="3:24">
      <c r="C360" s="277"/>
      <c r="D360" s="270" t="s">
        <v>632</v>
      </c>
      <c r="E360" s="303" t="s">
        <v>907</v>
      </c>
      <c r="F360" s="303">
        <v>8</v>
      </c>
      <c r="G360" s="303">
        <v>1</v>
      </c>
      <c r="H360" s="303">
        <v>61</v>
      </c>
      <c r="I360" s="303">
        <v>2</v>
      </c>
      <c r="J360" s="303">
        <v>0.18</v>
      </c>
      <c r="K360" s="269">
        <v>0.4</v>
      </c>
      <c r="L360" s="303">
        <v>0.18</v>
      </c>
      <c r="M360" s="303">
        <v>0.4</v>
      </c>
      <c r="N360" s="303">
        <v>0.16</v>
      </c>
      <c r="O360" s="321">
        <f t="shared" si="45"/>
        <v>1.32</v>
      </c>
      <c r="P360" s="322">
        <f t="shared" si="46"/>
        <v>0.08</v>
      </c>
      <c r="Q360" s="322"/>
      <c r="R360" s="303">
        <f t="shared" si="47"/>
        <v>1.24</v>
      </c>
      <c r="S360" s="303">
        <f t="shared" si="48"/>
        <v>151.28</v>
      </c>
      <c r="T360" s="303" t="str">
        <f t="shared" si="49"/>
        <v>-</v>
      </c>
      <c r="U360" s="303" t="str">
        <f t="shared" si="50"/>
        <v>-</v>
      </c>
      <c r="V360" s="303" t="str">
        <f t="shared" si="51"/>
        <v>-</v>
      </c>
      <c r="W360" s="303" t="str">
        <f t="shared" si="52"/>
        <v>-</v>
      </c>
      <c r="X360" s="303" t="str">
        <f t="shared" si="53"/>
        <v>-</v>
      </c>
    </row>
    <row r="361" spans="3:24">
      <c r="C361" s="277"/>
      <c r="D361" s="270"/>
      <c r="E361" s="303"/>
      <c r="F361" s="303"/>
      <c r="G361" s="303"/>
      <c r="H361" s="303"/>
      <c r="I361" s="303"/>
      <c r="J361" s="303"/>
      <c r="K361" s="293"/>
      <c r="L361" s="303"/>
      <c r="M361" s="304"/>
      <c r="N361" s="304"/>
      <c r="O361" s="321">
        <f t="shared" si="45"/>
        <v>0</v>
      </c>
      <c r="P361" s="322">
        <f t="shared" si="46"/>
        <v>0</v>
      </c>
      <c r="Q361" s="322"/>
      <c r="R361" s="303">
        <f t="shared" si="47"/>
        <v>0</v>
      </c>
      <c r="S361" s="303" t="str">
        <f t="shared" si="48"/>
        <v>-</v>
      </c>
      <c r="T361" s="303" t="str">
        <f t="shared" si="49"/>
        <v>-</v>
      </c>
      <c r="U361" s="303" t="str">
        <f t="shared" si="50"/>
        <v>-</v>
      </c>
      <c r="V361" s="303" t="str">
        <f t="shared" si="51"/>
        <v>-</v>
      </c>
      <c r="W361" s="303" t="str">
        <f t="shared" si="52"/>
        <v>-</v>
      </c>
      <c r="X361" s="303" t="str">
        <f t="shared" si="53"/>
        <v>-</v>
      </c>
    </row>
    <row r="362" spans="3:24">
      <c r="C362" s="277">
        <v>42</v>
      </c>
      <c r="D362" s="268" t="s">
        <v>827</v>
      </c>
      <c r="E362" s="303" t="s">
        <v>908</v>
      </c>
      <c r="F362" s="303">
        <v>12</v>
      </c>
      <c r="G362" s="303">
        <v>1</v>
      </c>
      <c r="H362" s="303">
        <v>3</v>
      </c>
      <c r="I362" s="303">
        <v>2</v>
      </c>
      <c r="J362" s="303">
        <v>0.12</v>
      </c>
      <c r="K362" s="293">
        <v>9.6630000000000003</v>
      </c>
      <c r="L362" s="303">
        <v>0.12</v>
      </c>
      <c r="M362" s="304"/>
      <c r="N362" s="304"/>
      <c r="O362" s="321">
        <f t="shared" si="45"/>
        <v>9.9029999999999987</v>
      </c>
      <c r="P362" s="322">
        <f t="shared" si="46"/>
        <v>4.8000000000000001E-2</v>
      </c>
      <c r="Q362" s="322"/>
      <c r="R362" s="303">
        <f t="shared" si="47"/>
        <v>9.8549999999999986</v>
      </c>
      <c r="S362" s="303" t="str">
        <f t="shared" si="48"/>
        <v>-</v>
      </c>
      <c r="T362" s="303" t="str">
        <f t="shared" si="49"/>
        <v>-</v>
      </c>
      <c r="U362" s="303">
        <f t="shared" si="50"/>
        <v>59.13</v>
      </c>
      <c r="V362" s="303" t="str">
        <f t="shared" si="51"/>
        <v>-</v>
      </c>
      <c r="W362" s="303" t="str">
        <f t="shared" si="52"/>
        <v>-</v>
      </c>
      <c r="X362" s="303" t="str">
        <f t="shared" si="53"/>
        <v>-</v>
      </c>
    </row>
    <row r="363" spans="3:24">
      <c r="C363" s="277"/>
      <c r="D363" s="270" t="s">
        <v>828</v>
      </c>
      <c r="E363" s="303" t="s">
        <v>909</v>
      </c>
      <c r="F363" s="303">
        <v>16</v>
      </c>
      <c r="G363" s="303">
        <v>1</v>
      </c>
      <c r="H363" s="303">
        <v>2</v>
      </c>
      <c r="I363" s="303">
        <v>2</v>
      </c>
      <c r="J363" s="303"/>
      <c r="K363" s="293">
        <v>2.6</v>
      </c>
      <c r="L363" s="303"/>
      <c r="M363" s="304"/>
      <c r="N363" s="304"/>
      <c r="O363" s="321">
        <f t="shared" si="45"/>
        <v>2.6</v>
      </c>
      <c r="P363" s="322">
        <f t="shared" si="46"/>
        <v>0</v>
      </c>
      <c r="Q363" s="322"/>
      <c r="R363" s="303">
        <f t="shared" si="47"/>
        <v>2.6</v>
      </c>
      <c r="S363" s="303" t="str">
        <f t="shared" si="48"/>
        <v>-</v>
      </c>
      <c r="T363" s="303" t="str">
        <f t="shared" si="49"/>
        <v>-</v>
      </c>
      <c r="U363" s="303" t="str">
        <f t="shared" si="50"/>
        <v>-</v>
      </c>
      <c r="V363" s="303">
        <f t="shared" si="51"/>
        <v>10.4</v>
      </c>
      <c r="W363" s="303" t="str">
        <f t="shared" si="52"/>
        <v>-</v>
      </c>
      <c r="X363" s="303" t="str">
        <f t="shared" si="53"/>
        <v>-</v>
      </c>
    </row>
    <row r="364" spans="3:24">
      <c r="C364" s="277"/>
      <c r="D364" s="270" t="s">
        <v>828</v>
      </c>
      <c r="E364" s="303" t="s">
        <v>909</v>
      </c>
      <c r="F364" s="303">
        <v>16</v>
      </c>
      <c r="G364" s="303">
        <v>1</v>
      </c>
      <c r="H364" s="303">
        <v>1</v>
      </c>
      <c r="I364" s="303">
        <v>2</v>
      </c>
      <c r="J364" s="303"/>
      <c r="K364" s="293">
        <v>3.3</v>
      </c>
      <c r="L364" s="303"/>
      <c r="M364" s="304"/>
      <c r="N364" s="304"/>
      <c r="O364" s="321">
        <f t="shared" si="45"/>
        <v>3.3</v>
      </c>
      <c r="P364" s="322">
        <f t="shared" si="46"/>
        <v>0</v>
      </c>
      <c r="Q364" s="322"/>
      <c r="R364" s="303">
        <f t="shared" si="47"/>
        <v>3.3</v>
      </c>
      <c r="S364" s="303" t="str">
        <f t="shared" si="48"/>
        <v>-</v>
      </c>
      <c r="T364" s="303" t="str">
        <f t="shared" si="49"/>
        <v>-</v>
      </c>
      <c r="U364" s="303" t="str">
        <f t="shared" si="50"/>
        <v>-</v>
      </c>
      <c r="V364" s="303">
        <f t="shared" si="51"/>
        <v>6.6</v>
      </c>
      <c r="W364" s="303" t="str">
        <f t="shared" si="52"/>
        <v>-</v>
      </c>
      <c r="X364" s="303" t="str">
        <f t="shared" si="53"/>
        <v>-</v>
      </c>
    </row>
    <row r="365" spans="3:24">
      <c r="C365" s="277"/>
      <c r="D365" s="270" t="s">
        <v>829</v>
      </c>
      <c r="E365" s="303" t="s">
        <v>910</v>
      </c>
      <c r="F365" s="303">
        <v>16</v>
      </c>
      <c r="G365" s="303">
        <v>1</v>
      </c>
      <c r="H365" s="303">
        <v>2</v>
      </c>
      <c r="I365" s="303">
        <v>2</v>
      </c>
      <c r="J365" s="303">
        <v>0.16</v>
      </c>
      <c r="K365" s="293">
        <v>1.575</v>
      </c>
      <c r="L365" s="303"/>
      <c r="M365" s="304"/>
      <c r="N365" s="304"/>
      <c r="O365" s="321">
        <f t="shared" si="45"/>
        <v>1.7349999999999999</v>
      </c>
      <c r="P365" s="322">
        <f t="shared" si="46"/>
        <v>3.2000000000000001E-2</v>
      </c>
      <c r="Q365" s="322"/>
      <c r="R365" s="303">
        <f t="shared" si="47"/>
        <v>1.7029999999999998</v>
      </c>
      <c r="S365" s="303" t="str">
        <f t="shared" si="48"/>
        <v>-</v>
      </c>
      <c r="T365" s="303" t="str">
        <f t="shared" si="49"/>
        <v>-</v>
      </c>
      <c r="U365" s="303" t="str">
        <f t="shared" si="50"/>
        <v>-</v>
      </c>
      <c r="V365" s="303">
        <f t="shared" si="51"/>
        <v>6.81</v>
      </c>
      <c r="W365" s="303" t="str">
        <f t="shared" si="52"/>
        <v>-</v>
      </c>
      <c r="X365" s="303" t="str">
        <f t="shared" si="53"/>
        <v>-</v>
      </c>
    </row>
    <row r="366" spans="3:24">
      <c r="C366" s="277"/>
      <c r="D366" s="270" t="s">
        <v>829</v>
      </c>
      <c r="E366" s="303" t="s">
        <v>910</v>
      </c>
      <c r="F366" s="303">
        <v>16</v>
      </c>
      <c r="G366" s="303">
        <v>1</v>
      </c>
      <c r="H366" s="303">
        <v>1</v>
      </c>
      <c r="I366" s="303">
        <v>2</v>
      </c>
      <c r="J366" s="303">
        <v>0.16</v>
      </c>
      <c r="K366" s="293">
        <v>2.2749999999999999</v>
      </c>
      <c r="L366" s="303"/>
      <c r="M366" s="304"/>
      <c r="N366" s="304"/>
      <c r="O366" s="321">
        <f t="shared" si="45"/>
        <v>2.4350000000000001</v>
      </c>
      <c r="P366" s="322">
        <f t="shared" si="46"/>
        <v>3.2000000000000001E-2</v>
      </c>
      <c r="Q366" s="322"/>
      <c r="R366" s="303">
        <f t="shared" si="47"/>
        <v>2.403</v>
      </c>
      <c r="S366" s="303" t="str">
        <f t="shared" si="48"/>
        <v>-</v>
      </c>
      <c r="T366" s="303" t="str">
        <f t="shared" si="49"/>
        <v>-</v>
      </c>
      <c r="U366" s="303" t="str">
        <f t="shared" si="50"/>
        <v>-</v>
      </c>
      <c r="V366" s="303">
        <f t="shared" si="51"/>
        <v>4.8099999999999996</v>
      </c>
      <c r="W366" s="303" t="str">
        <f t="shared" si="52"/>
        <v>-</v>
      </c>
      <c r="X366" s="303" t="str">
        <f t="shared" si="53"/>
        <v>-</v>
      </c>
    </row>
    <row r="367" spans="3:24" s="331" customFormat="1">
      <c r="C367" s="277"/>
      <c r="D367" s="270" t="s">
        <v>830</v>
      </c>
      <c r="E367" s="329" t="s">
        <v>909</v>
      </c>
      <c r="F367" s="329">
        <v>16</v>
      </c>
      <c r="G367" s="329">
        <v>1</v>
      </c>
      <c r="H367" s="329">
        <v>3</v>
      </c>
      <c r="I367" s="329">
        <v>2</v>
      </c>
      <c r="J367" s="329"/>
      <c r="K367" s="293">
        <v>5.2320000000000002</v>
      </c>
      <c r="L367" s="329"/>
      <c r="M367" s="330"/>
      <c r="N367" s="330"/>
      <c r="O367" s="321">
        <f t="shared" si="45"/>
        <v>5.2320000000000002</v>
      </c>
      <c r="P367" s="322">
        <f t="shared" si="46"/>
        <v>0</v>
      </c>
      <c r="Q367" s="322"/>
      <c r="R367" s="303">
        <f t="shared" si="47"/>
        <v>5.2320000000000002</v>
      </c>
      <c r="S367" s="303" t="str">
        <f t="shared" si="48"/>
        <v>-</v>
      </c>
      <c r="T367" s="303" t="str">
        <f t="shared" si="49"/>
        <v>-</v>
      </c>
      <c r="U367" s="303" t="str">
        <f t="shared" si="50"/>
        <v>-</v>
      </c>
      <c r="V367" s="303">
        <f t="shared" si="51"/>
        <v>31.39</v>
      </c>
      <c r="W367" s="303" t="str">
        <f t="shared" si="52"/>
        <v>-</v>
      </c>
      <c r="X367" s="303" t="str">
        <f t="shared" si="53"/>
        <v>-</v>
      </c>
    </row>
    <row r="368" spans="3:24" s="331" customFormat="1">
      <c r="C368" s="277"/>
      <c r="D368" s="270" t="s">
        <v>926</v>
      </c>
      <c r="E368" s="329" t="s">
        <v>908</v>
      </c>
      <c r="F368" s="329">
        <v>12</v>
      </c>
      <c r="G368" s="329">
        <v>1</v>
      </c>
      <c r="H368" s="329">
        <v>3</v>
      </c>
      <c r="I368" s="329">
        <v>2</v>
      </c>
      <c r="J368" s="329">
        <v>0.12</v>
      </c>
      <c r="K368" s="293">
        <v>2.79</v>
      </c>
      <c r="L368" s="329">
        <v>0.12</v>
      </c>
      <c r="M368" s="330"/>
      <c r="N368" s="330"/>
      <c r="O368" s="321">
        <f t="shared" si="45"/>
        <v>3.0300000000000002</v>
      </c>
      <c r="P368" s="322">
        <f t="shared" si="46"/>
        <v>4.8000000000000001E-2</v>
      </c>
      <c r="Q368" s="322"/>
      <c r="R368" s="303">
        <f t="shared" si="47"/>
        <v>2.9820000000000002</v>
      </c>
      <c r="S368" s="303" t="str">
        <f t="shared" si="48"/>
        <v>-</v>
      </c>
      <c r="T368" s="303" t="str">
        <f t="shared" si="49"/>
        <v>-</v>
      </c>
      <c r="U368" s="303">
        <f t="shared" si="50"/>
        <v>17.89</v>
      </c>
      <c r="V368" s="303" t="str">
        <f t="shared" si="51"/>
        <v>-</v>
      </c>
      <c r="W368" s="303" t="str">
        <f t="shared" si="52"/>
        <v>-</v>
      </c>
      <c r="X368" s="303" t="str">
        <f t="shared" si="53"/>
        <v>-</v>
      </c>
    </row>
    <row r="369" spans="3:24" s="324" customFormat="1">
      <c r="C369" s="278"/>
      <c r="D369" s="274" t="s">
        <v>813</v>
      </c>
      <c r="E369" s="323" t="s">
        <v>908</v>
      </c>
      <c r="F369" s="323">
        <v>16</v>
      </c>
      <c r="G369" s="323">
        <v>1</v>
      </c>
      <c r="H369" s="323">
        <v>2</v>
      </c>
      <c r="I369" s="323">
        <v>2</v>
      </c>
      <c r="J369" s="323">
        <v>0.16</v>
      </c>
      <c r="K369" s="295">
        <v>5.4649999999999999</v>
      </c>
      <c r="L369" s="323">
        <v>0.16</v>
      </c>
      <c r="M369" s="328"/>
      <c r="N369" s="328"/>
      <c r="O369" s="321">
        <f t="shared" si="45"/>
        <v>5.7850000000000001</v>
      </c>
      <c r="P369" s="322">
        <f t="shared" si="46"/>
        <v>6.4000000000000001E-2</v>
      </c>
      <c r="Q369" s="322"/>
      <c r="R369" s="303">
        <f t="shared" si="47"/>
        <v>5.7210000000000001</v>
      </c>
      <c r="S369" s="303" t="str">
        <f t="shared" si="48"/>
        <v>-</v>
      </c>
      <c r="T369" s="303" t="str">
        <f t="shared" si="49"/>
        <v>-</v>
      </c>
      <c r="U369" s="303" t="str">
        <f t="shared" si="50"/>
        <v>-</v>
      </c>
      <c r="V369" s="303">
        <f t="shared" si="51"/>
        <v>22.88</v>
      </c>
      <c r="W369" s="303" t="str">
        <f t="shared" si="52"/>
        <v>-</v>
      </c>
      <c r="X369" s="303" t="str">
        <f t="shared" si="53"/>
        <v>-</v>
      </c>
    </row>
    <row r="370" spans="3:24">
      <c r="C370" s="277"/>
      <c r="D370" s="270"/>
      <c r="E370" s="303" t="s">
        <v>908</v>
      </c>
      <c r="F370" s="303">
        <v>12</v>
      </c>
      <c r="G370" s="303">
        <f>1*0</f>
        <v>0</v>
      </c>
      <c r="H370" s="303">
        <v>3</v>
      </c>
      <c r="I370" s="303">
        <v>2</v>
      </c>
      <c r="J370" s="303">
        <v>0.12</v>
      </c>
      <c r="K370" s="293">
        <v>2.79</v>
      </c>
      <c r="L370" s="303">
        <v>0.12</v>
      </c>
      <c r="M370" s="304"/>
      <c r="N370" s="304"/>
      <c r="O370" s="321">
        <f t="shared" si="45"/>
        <v>3.0300000000000002</v>
      </c>
      <c r="P370" s="322">
        <f t="shared" si="46"/>
        <v>4.8000000000000001E-2</v>
      </c>
      <c r="Q370" s="322"/>
      <c r="R370" s="303">
        <f t="shared" si="47"/>
        <v>2.9820000000000002</v>
      </c>
      <c r="S370" s="303" t="str">
        <f t="shared" si="48"/>
        <v>-</v>
      </c>
      <c r="T370" s="303" t="str">
        <f t="shared" si="49"/>
        <v>-</v>
      </c>
      <c r="U370" s="303">
        <f t="shared" si="50"/>
        <v>0</v>
      </c>
      <c r="V370" s="303" t="str">
        <f t="shared" si="51"/>
        <v>-</v>
      </c>
      <c r="W370" s="303" t="str">
        <f t="shared" si="52"/>
        <v>-</v>
      </c>
      <c r="X370" s="303" t="str">
        <f t="shared" si="53"/>
        <v>-</v>
      </c>
    </row>
    <row r="371" spans="3:24">
      <c r="C371" s="277"/>
      <c r="D371" s="270" t="s">
        <v>831</v>
      </c>
      <c r="E371" s="303" t="s">
        <v>909</v>
      </c>
      <c r="F371" s="303">
        <v>12</v>
      </c>
      <c r="G371" s="303">
        <v>1</v>
      </c>
      <c r="H371" s="303">
        <v>18</v>
      </c>
      <c r="I371" s="303">
        <v>2</v>
      </c>
      <c r="J371" s="303"/>
      <c r="K371" s="293">
        <v>0.59</v>
      </c>
      <c r="L371" s="303"/>
      <c r="M371" s="304"/>
      <c r="N371" s="304"/>
      <c r="O371" s="321">
        <f t="shared" si="45"/>
        <v>0.59</v>
      </c>
      <c r="P371" s="322">
        <f t="shared" si="46"/>
        <v>0</v>
      </c>
      <c r="Q371" s="322"/>
      <c r="R371" s="303">
        <f t="shared" si="47"/>
        <v>0.59</v>
      </c>
      <c r="S371" s="303" t="str">
        <f t="shared" si="48"/>
        <v>-</v>
      </c>
      <c r="T371" s="303" t="str">
        <f t="shared" si="49"/>
        <v>-</v>
      </c>
      <c r="U371" s="303">
        <f t="shared" si="50"/>
        <v>21.24</v>
      </c>
      <c r="V371" s="303" t="str">
        <f t="shared" si="51"/>
        <v>-</v>
      </c>
      <c r="W371" s="303" t="str">
        <f t="shared" si="52"/>
        <v>-</v>
      </c>
      <c r="X371" s="303" t="str">
        <f t="shared" si="53"/>
        <v>-</v>
      </c>
    </row>
    <row r="372" spans="3:24">
      <c r="C372" s="277"/>
      <c r="D372" s="270" t="s">
        <v>832</v>
      </c>
      <c r="E372" s="303" t="s">
        <v>909</v>
      </c>
      <c r="F372" s="303">
        <v>16</v>
      </c>
      <c r="G372" s="303">
        <v>1</v>
      </c>
      <c r="H372" s="303">
        <v>6</v>
      </c>
      <c r="I372" s="303">
        <v>2</v>
      </c>
      <c r="J372" s="303"/>
      <c r="K372" s="293">
        <v>0.78400000000000003</v>
      </c>
      <c r="L372" s="303"/>
      <c r="M372" s="304"/>
      <c r="N372" s="304"/>
      <c r="O372" s="321">
        <f t="shared" si="45"/>
        <v>0.78400000000000003</v>
      </c>
      <c r="P372" s="322">
        <f t="shared" si="46"/>
        <v>0</v>
      </c>
      <c r="Q372" s="322"/>
      <c r="R372" s="303">
        <f t="shared" si="47"/>
        <v>0.78400000000000003</v>
      </c>
      <c r="S372" s="303" t="str">
        <f t="shared" si="48"/>
        <v>-</v>
      </c>
      <c r="T372" s="303" t="str">
        <f t="shared" si="49"/>
        <v>-</v>
      </c>
      <c r="U372" s="303" t="str">
        <f t="shared" si="50"/>
        <v>-</v>
      </c>
      <c r="V372" s="303">
        <f t="shared" si="51"/>
        <v>9.41</v>
      </c>
      <c r="W372" s="303" t="str">
        <f t="shared" si="52"/>
        <v>-</v>
      </c>
      <c r="X372" s="303" t="str">
        <f t="shared" si="53"/>
        <v>-</v>
      </c>
    </row>
    <row r="373" spans="3:24">
      <c r="C373" s="277"/>
      <c r="D373" s="270" t="s">
        <v>833</v>
      </c>
      <c r="E373" s="303" t="s">
        <v>907</v>
      </c>
      <c r="F373" s="303">
        <v>8</v>
      </c>
      <c r="G373" s="303">
        <v>1</v>
      </c>
      <c r="H373" s="303">
        <v>20</v>
      </c>
      <c r="I373" s="303">
        <v>2</v>
      </c>
      <c r="J373" s="303">
        <v>0.18</v>
      </c>
      <c r="K373" s="269">
        <v>0.4</v>
      </c>
      <c r="L373" s="303">
        <v>0.18</v>
      </c>
      <c r="M373" s="303">
        <v>0.4</v>
      </c>
      <c r="N373" s="303">
        <v>0.16</v>
      </c>
      <c r="O373" s="321">
        <f t="shared" si="45"/>
        <v>1.32</v>
      </c>
      <c r="P373" s="322">
        <f t="shared" si="46"/>
        <v>0.08</v>
      </c>
      <c r="Q373" s="322"/>
      <c r="R373" s="303">
        <f t="shared" si="47"/>
        <v>1.24</v>
      </c>
      <c r="S373" s="303">
        <f t="shared" si="48"/>
        <v>49.6</v>
      </c>
      <c r="T373" s="303" t="str">
        <f t="shared" si="49"/>
        <v>-</v>
      </c>
      <c r="U373" s="303" t="str">
        <f t="shared" si="50"/>
        <v>-</v>
      </c>
      <c r="V373" s="303" t="str">
        <f t="shared" si="51"/>
        <v>-</v>
      </c>
      <c r="W373" s="303" t="str">
        <f t="shared" si="52"/>
        <v>-</v>
      </c>
      <c r="X373" s="303" t="str">
        <f t="shared" si="53"/>
        <v>-</v>
      </c>
    </row>
    <row r="374" spans="3:24">
      <c r="C374" s="277"/>
      <c r="D374" s="270" t="s">
        <v>834</v>
      </c>
      <c r="E374" s="303" t="s">
        <v>907</v>
      </c>
      <c r="F374" s="303">
        <v>10</v>
      </c>
      <c r="G374" s="303">
        <v>1</v>
      </c>
      <c r="H374" s="303">
        <v>60</v>
      </c>
      <c r="I374" s="303">
        <v>2</v>
      </c>
      <c r="J374" s="303">
        <v>0.18</v>
      </c>
      <c r="K374" s="269">
        <v>0.55000000000000004</v>
      </c>
      <c r="L374" s="303">
        <v>0.18</v>
      </c>
      <c r="M374" s="303">
        <v>0.4</v>
      </c>
      <c r="N374" s="303">
        <v>0.2</v>
      </c>
      <c r="O374" s="321">
        <f t="shared" si="45"/>
        <v>1.51</v>
      </c>
      <c r="P374" s="322">
        <f t="shared" si="46"/>
        <v>0.1</v>
      </c>
      <c r="Q374" s="322"/>
      <c r="R374" s="303">
        <f t="shared" si="47"/>
        <v>1.41</v>
      </c>
      <c r="S374" s="303" t="str">
        <f t="shared" si="48"/>
        <v>-</v>
      </c>
      <c r="T374" s="303">
        <f t="shared" si="49"/>
        <v>169.2</v>
      </c>
      <c r="U374" s="303" t="str">
        <f t="shared" si="50"/>
        <v>-</v>
      </c>
      <c r="V374" s="303" t="str">
        <f t="shared" si="51"/>
        <v>-</v>
      </c>
      <c r="W374" s="303" t="str">
        <f t="shared" si="52"/>
        <v>-</v>
      </c>
      <c r="X374" s="303" t="str">
        <f t="shared" si="53"/>
        <v>-</v>
      </c>
    </row>
    <row r="375" spans="3:24">
      <c r="C375" s="277">
        <v>43</v>
      </c>
      <c r="D375" s="296" t="s">
        <v>835</v>
      </c>
      <c r="E375" s="303" t="s">
        <v>908</v>
      </c>
      <c r="F375" s="303">
        <v>12</v>
      </c>
      <c r="G375" s="303">
        <v>1</v>
      </c>
      <c r="H375" s="303">
        <v>6</v>
      </c>
      <c r="I375" s="303">
        <v>2</v>
      </c>
      <c r="J375" s="303">
        <v>0.12</v>
      </c>
      <c r="K375" s="269">
        <v>41.4</v>
      </c>
      <c r="L375" s="303">
        <v>0.12</v>
      </c>
      <c r="M375" s="304"/>
      <c r="N375" s="304"/>
      <c r="O375" s="321">
        <f t="shared" si="45"/>
        <v>41.639999999999993</v>
      </c>
      <c r="P375" s="322">
        <f t="shared" si="46"/>
        <v>4.8000000000000001E-2</v>
      </c>
      <c r="Q375" s="322"/>
      <c r="R375" s="303">
        <f t="shared" si="47"/>
        <v>41.591999999999992</v>
      </c>
      <c r="S375" s="303" t="str">
        <f t="shared" si="48"/>
        <v>-</v>
      </c>
      <c r="T375" s="303" t="str">
        <f t="shared" si="49"/>
        <v>-</v>
      </c>
      <c r="U375" s="303">
        <f t="shared" si="50"/>
        <v>499.1</v>
      </c>
      <c r="V375" s="303" t="str">
        <f t="shared" si="51"/>
        <v>-</v>
      </c>
      <c r="W375" s="303" t="str">
        <f t="shared" si="52"/>
        <v>-</v>
      </c>
      <c r="X375" s="303" t="str">
        <f t="shared" si="53"/>
        <v>-</v>
      </c>
    </row>
    <row r="376" spans="3:24">
      <c r="C376" s="277"/>
      <c r="D376" s="297" t="s">
        <v>836</v>
      </c>
      <c r="E376" s="303" t="s">
        <v>910</v>
      </c>
      <c r="F376" s="303">
        <v>12</v>
      </c>
      <c r="G376" s="303">
        <v>1</v>
      </c>
      <c r="H376" s="303">
        <v>2</v>
      </c>
      <c r="I376" s="303">
        <v>2</v>
      </c>
      <c r="J376" s="303">
        <v>0.12</v>
      </c>
      <c r="K376" s="269">
        <v>1.625</v>
      </c>
      <c r="L376" s="303"/>
      <c r="M376" s="304"/>
      <c r="N376" s="304"/>
      <c r="O376" s="321">
        <f t="shared" si="45"/>
        <v>1.7450000000000001</v>
      </c>
      <c r="P376" s="322">
        <f t="shared" si="46"/>
        <v>2.4E-2</v>
      </c>
      <c r="Q376" s="322"/>
      <c r="R376" s="303">
        <f t="shared" si="47"/>
        <v>1.7210000000000001</v>
      </c>
      <c r="S376" s="303" t="str">
        <f t="shared" si="48"/>
        <v>-</v>
      </c>
      <c r="T376" s="303" t="str">
        <f t="shared" si="49"/>
        <v>-</v>
      </c>
      <c r="U376" s="303">
        <f t="shared" si="50"/>
        <v>6.88</v>
      </c>
      <c r="V376" s="303" t="str">
        <f t="shared" si="51"/>
        <v>-</v>
      </c>
      <c r="W376" s="303" t="str">
        <f t="shared" si="52"/>
        <v>-</v>
      </c>
      <c r="X376" s="303" t="str">
        <f t="shared" si="53"/>
        <v>-</v>
      </c>
    </row>
    <row r="377" spans="3:24">
      <c r="C377" s="277"/>
      <c r="D377" s="297" t="s">
        <v>837</v>
      </c>
      <c r="E377" s="303" t="s">
        <v>909</v>
      </c>
      <c r="F377" s="303">
        <v>12</v>
      </c>
      <c r="G377" s="303">
        <v>1</v>
      </c>
      <c r="H377" s="303">
        <v>2</v>
      </c>
      <c r="I377" s="303">
        <v>2</v>
      </c>
      <c r="J377" s="303"/>
      <c r="K377" s="269">
        <v>5</v>
      </c>
      <c r="L377" s="303"/>
      <c r="M377" s="304"/>
      <c r="N377" s="304"/>
      <c r="O377" s="321">
        <f t="shared" si="45"/>
        <v>5</v>
      </c>
      <c r="P377" s="322">
        <f t="shared" si="46"/>
        <v>0</v>
      </c>
      <c r="Q377" s="322"/>
      <c r="R377" s="303">
        <f t="shared" si="47"/>
        <v>5</v>
      </c>
      <c r="S377" s="303" t="str">
        <f t="shared" si="48"/>
        <v>-</v>
      </c>
      <c r="T377" s="303" t="str">
        <f t="shared" si="49"/>
        <v>-</v>
      </c>
      <c r="U377" s="303">
        <f t="shared" si="50"/>
        <v>20</v>
      </c>
      <c r="V377" s="303" t="str">
        <f t="shared" si="51"/>
        <v>-</v>
      </c>
      <c r="W377" s="303" t="str">
        <f t="shared" si="52"/>
        <v>-</v>
      </c>
      <c r="X377" s="303" t="str">
        <f t="shared" si="53"/>
        <v>-</v>
      </c>
    </row>
    <row r="378" spans="3:24">
      <c r="C378" s="277"/>
      <c r="D378" s="297" t="s">
        <v>838</v>
      </c>
      <c r="E378" s="303" t="s">
        <v>909</v>
      </c>
      <c r="F378" s="303">
        <v>12</v>
      </c>
      <c r="G378" s="303">
        <v>1</v>
      </c>
      <c r="H378" s="303">
        <v>2</v>
      </c>
      <c r="I378" s="303">
        <v>2</v>
      </c>
      <c r="J378" s="303"/>
      <c r="K378" s="269">
        <v>5.95</v>
      </c>
      <c r="L378" s="303"/>
      <c r="M378" s="304"/>
      <c r="N378" s="304"/>
      <c r="O378" s="321">
        <f t="shared" si="45"/>
        <v>5.95</v>
      </c>
      <c r="P378" s="322">
        <f t="shared" si="46"/>
        <v>0</v>
      </c>
      <c r="Q378" s="322"/>
      <c r="R378" s="303">
        <f t="shared" si="47"/>
        <v>5.95</v>
      </c>
      <c r="S378" s="303" t="str">
        <f t="shared" si="48"/>
        <v>-</v>
      </c>
      <c r="T378" s="303" t="str">
        <f t="shared" si="49"/>
        <v>-</v>
      </c>
      <c r="U378" s="303">
        <f t="shared" si="50"/>
        <v>23.8</v>
      </c>
      <c r="V378" s="303" t="str">
        <f t="shared" si="51"/>
        <v>-</v>
      </c>
      <c r="W378" s="303" t="str">
        <f t="shared" si="52"/>
        <v>-</v>
      </c>
      <c r="X378" s="303" t="str">
        <f t="shared" si="53"/>
        <v>-</v>
      </c>
    </row>
    <row r="379" spans="3:24">
      <c r="C379" s="277"/>
      <c r="D379" s="297" t="s">
        <v>838</v>
      </c>
      <c r="E379" s="303" t="s">
        <v>909</v>
      </c>
      <c r="F379" s="303">
        <v>12</v>
      </c>
      <c r="G379" s="303">
        <v>1</v>
      </c>
      <c r="H379" s="303">
        <v>1</v>
      </c>
      <c r="I379" s="303">
        <v>2</v>
      </c>
      <c r="J379" s="303"/>
      <c r="K379" s="269">
        <v>6.45</v>
      </c>
      <c r="L379" s="303"/>
      <c r="M379" s="304"/>
      <c r="N379" s="304"/>
      <c r="O379" s="321">
        <f t="shared" si="45"/>
        <v>6.45</v>
      </c>
      <c r="P379" s="322">
        <f t="shared" si="46"/>
        <v>0</v>
      </c>
      <c r="Q379" s="322"/>
      <c r="R379" s="303">
        <f t="shared" si="47"/>
        <v>6.45</v>
      </c>
      <c r="S379" s="303" t="str">
        <f t="shared" si="48"/>
        <v>-</v>
      </c>
      <c r="T379" s="303" t="str">
        <f t="shared" si="49"/>
        <v>-</v>
      </c>
      <c r="U379" s="303">
        <f t="shared" si="50"/>
        <v>12.9</v>
      </c>
      <c r="V379" s="303" t="str">
        <f t="shared" si="51"/>
        <v>-</v>
      </c>
      <c r="W379" s="303" t="str">
        <f t="shared" si="52"/>
        <v>-</v>
      </c>
      <c r="X379" s="303" t="str">
        <f t="shared" si="53"/>
        <v>-</v>
      </c>
    </row>
    <row r="380" spans="3:24">
      <c r="C380" s="277"/>
      <c r="D380" s="297" t="s">
        <v>821</v>
      </c>
      <c r="E380" s="303" t="s">
        <v>909</v>
      </c>
      <c r="F380" s="303">
        <v>12</v>
      </c>
      <c r="G380" s="303">
        <v>1</v>
      </c>
      <c r="H380" s="303">
        <v>2</v>
      </c>
      <c r="I380" s="303">
        <v>2</v>
      </c>
      <c r="J380" s="303"/>
      <c r="K380" s="269">
        <v>2.4</v>
      </c>
      <c r="L380" s="303"/>
      <c r="M380" s="304"/>
      <c r="N380" s="304"/>
      <c r="O380" s="321">
        <f t="shared" si="45"/>
        <v>2.4</v>
      </c>
      <c r="P380" s="322">
        <f t="shared" si="46"/>
        <v>0</v>
      </c>
      <c r="Q380" s="322"/>
      <c r="R380" s="303">
        <f t="shared" si="47"/>
        <v>2.4</v>
      </c>
      <c r="S380" s="303" t="str">
        <f t="shared" si="48"/>
        <v>-</v>
      </c>
      <c r="T380" s="303" t="str">
        <f t="shared" si="49"/>
        <v>-</v>
      </c>
      <c r="U380" s="303">
        <f t="shared" si="50"/>
        <v>9.6</v>
      </c>
      <c r="V380" s="303" t="str">
        <f t="shared" si="51"/>
        <v>-</v>
      </c>
      <c r="W380" s="303" t="str">
        <f t="shared" si="52"/>
        <v>-</v>
      </c>
      <c r="X380" s="303" t="str">
        <f t="shared" si="53"/>
        <v>-</v>
      </c>
    </row>
    <row r="381" spans="3:24">
      <c r="C381" s="277"/>
      <c r="D381" s="297" t="s">
        <v>821</v>
      </c>
      <c r="E381" s="303" t="s">
        <v>909</v>
      </c>
      <c r="F381" s="303">
        <v>12</v>
      </c>
      <c r="G381" s="303">
        <v>1</v>
      </c>
      <c r="H381" s="303">
        <v>1</v>
      </c>
      <c r="I381" s="303">
        <v>2</v>
      </c>
      <c r="J381" s="303"/>
      <c r="K381" s="269">
        <v>3.4</v>
      </c>
      <c r="L381" s="303"/>
      <c r="M381" s="304"/>
      <c r="N381" s="304"/>
      <c r="O381" s="321">
        <f t="shared" si="45"/>
        <v>3.4</v>
      </c>
      <c r="P381" s="322">
        <f t="shared" si="46"/>
        <v>0</v>
      </c>
      <c r="Q381" s="322"/>
      <c r="R381" s="303">
        <f t="shared" si="47"/>
        <v>3.4</v>
      </c>
      <c r="S381" s="303" t="str">
        <f t="shared" si="48"/>
        <v>-</v>
      </c>
      <c r="T381" s="303" t="str">
        <f t="shared" si="49"/>
        <v>-</v>
      </c>
      <c r="U381" s="303">
        <f t="shared" si="50"/>
        <v>6.8</v>
      </c>
      <c r="V381" s="303" t="str">
        <f t="shared" si="51"/>
        <v>-</v>
      </c>
      <c r="W381" s="303" t="str">
        <f t="shared" si="52"/>
        <v>-</v>
      </c>
      <c r="X381" s="303" t="str">
        <f t="shared" si="53"/>
        <v>-</v>
      </c>
    </row>
    <row r="382" spans="3:24">
      <c r="C382" s="277"/>
      <c r="D382" s="297" t="s">
        <v>839</v>
      </c>
      <c r="E382" s="303" t="s">
        <v>909</v>
      </c>
      <c r="F382" s="303">
        <v>12</v>
      </c>
      <c r="G382" s="303">
        <v>1</v>
      </c>
      <c r="H382" s="303">
        <v>2</v>
      </c>
      <c r="I382" s="303">
        <v>2</v>
      </c>
      <c r="J382" s="303"/>
      <c r="K382" s="269">
        <v>4.4000000000000004</v>
      </c>
      <c r="L382" s="303"/>
      <c r="M382" s="304"/>
      <c r="N382" s="304"/>
      <c r="O382" s="321">
        <f t="shared" si="45"/>
        <v>4.4000000000000004</v>
      </c>
      <c r="P382" s="322">
        <f t="shared" si="46"/>
        <v>0</v>
      </c>
      <c r="Q382" s="322"/>
      <c r="R382" s="303">
        <f t="shared" si="47"/>
        <v>4.4000000000000004</v>
      </c>
      <c r="S382" s="303" t="str">
        <f t="shared" si="48"/>
        <v>-</v>
      </c>
      <c r="T382" s="303" t="str">
        <f t="shared" si="49"/>
        <v>-</v>
      </c>
      <c r="U382" s="303">
        <f t="shared" si="50"/>
        <v>17.600000000000001</v>
      </c>
      <c r="V382" s="303" t="str">
        <f t="shared" si="51"/>
        <v>-</v>
      </c>
      <c r="W382" s="303" t="str">
        <f t="shared" si="52"/>
        <v>-</v>
      </c>
      <c r="X382" s="303" t="str">
        <f t="shared" si="53"/>
        <v>-</v>
      </c>
    </row>
    <row r="383" spans="3:24">
      <c r="C383" s="277"/>
      <c r="D383" s="297" t="s">
        <v>839</v>
      </c>
      <c r="E383" s="303" t="s">
        <v>909</v>
      </c>
      <c r="F383" s="303">
        <v>12</v>
      </c>
      <c r="G383" s="303">
        <v>1</v>
      </c>
      <c r="H383" s="303">
        <v>1</v>
      </c>
      <c r="I383" s="303">
        <v>2</v>
      </c>
      <c r="J383" s="303"/>
      <c r="K383" s="269">
        <v>4.9000000000000004</v>
      </c>
      <c r="L383" s="303"/>
      <c r="M383" s="304"/>
      <c r="N383" s="304"/>
      <c r="O383" s="321">
        <f t="shared" si="45"/>
        <v>4.9000000000000004</v>
      </c>
      <c r="P383" s="322">
        <f t="shared" si="46"/>
        <v>0</v>
      </c>
      <c r="Q383" s="322"/>
      <c r="R383" s="303">
        <f t="shared" si="47"/>
        <v>4.9000000000000004</v>
      </c>
      <c r="S383" s="303" t="str">
        <f t="shared" si="48"/>
        <v>-</v>
      </c>
      <c r="T383" s="303" t="str">
        <f t="shared" si="49"/>
        <v>-</v>
      </c>
      <c r="U383" s="303">
        <f t="shared" si="50"/>
        <v>9.8000000000000007</v>
      </c>
      <c r="V383" s="303" t="str">
        <f t="shared" si="51"/>
        <v>-</v>
      </c>
      <c r="W383" s="303" t="str">
        <f t="shared" si="52"/>
        <v>-</v>
      </c>
      <c r="X383" s="303" t="str">
        <f t="shared" si="53"/>
        <v>-</v>
      </c>
    </row>
    <row r="384" spans="3:24">
      <c r="C384" s="277"/>
      <c r="D384" s="297" t="s">
        <v>840</v>
      </c>
      <c r="E384" s="303" t="s">
        <v>909</v>
      </c>
      <c r="F384" s="303">
        <v>12</v>
      </c>
      <c r="G384" s="303">
        <v>1</v>
      </c>
      <c r="H384" s="303">
        <v>2</v>
      </c>
      <c r="I384" s="303">
        <v>2</v>
      </c>
      <c r="J384" s="303"/>
      <c r="K384" s="269">
        <v>5</v>
      </c>
      <c r="L384" s="303"/>
      <c r="M384" s="304"/>
      <c r="N384" s="304"/>
      <c r="O384" s="321">
        <f t="shared" si="45"/>
        <v>5</v>
      </c>
      <c r="P384" s="322">
        <f t="shared" si="46"/>
        <v>0</v>
      </c>
      <c r="Q384" s="322"/>
      <c r="R384" s="303">
        <f t="shared" si="47"/>
        <v>5</v>
      </c>
      <c r="S384" s="303" t="str">
        <f t="shared" si="48"/>
        <v>-</v>
      </c>
      <c r="T384" s="303" t="str">
        <f t="shared" si="49"/>
        <v>-</v>
      </c>
      <c r="U384" s="303">
        <f t="shared" si="50"/>
        <v>20</v>
      </c>
      <c r="V384" s="303" t="str">
        <f t="shared" si="51"/>
        <v>-</v>
      </c>
      <c r="W384" s="303" t="str">
        <f t="shared" si="52"/>
        <v>-</v>
      </c>
      <c r="X384" s="303" t="str">
        <f t="shared" si="53"/>
        <v>-</v>
      </c>
    </row>
    <row r="385" spans="3:24">
      <c r="C385" s="277"/>
      <c r="D385" s="297" t="s">
        <v>841</v>
      </c>
      <c r="E385" s="303" t="s">
        <v>910</v>
      </c>
      <c r="F385" s="303">
        <v>12</v>
      </c>
      <c r="G385" s="303">
        <v>1</v>
      </c>
      <c r="H385" s="303">
        <v>2</v>
      </c>
      <c r="I385" s="303">
        <v>2</v>
      </c>
      <c r="J385" s="303">
        <v>0.12</v>
      </c>
      <c r="K385" s="269">
        <v>1.625</v>
      </c>
      <c r="L385" s="303"/>
      <c r="M385" s="304"/>
      <c r="N385" s="304"/>
      <c r="O385" s="321">
        <f t="shared" si="45"/>
        <v>1.7450000000000001</v>
      </c>
      <c r="P385" s="322">
        <f t="shared" si="46"/>
        <v>2.4E-2</v>
      </c>
      <c r="Q385" s="322"/>
      <c r="R385" s="303">
        <f t="shared" si="47"/>
        <v>1.7210000000000001</v>
      </c>
      <c r="S385" s="303" t="str">
        <f t="shared" si="48"/>
        <v>-</v>
      </c>
      <c r="T385" s="303" t="str">
        <f t="shared" si="49"/>
        <v>-</v>
      </c>
      <c r="U385" s="303">
        <f t="shared" si="50"/>
        <v>6.88</v>
      </c>
      <c r="V385" s="303" t="str">
        <f t="shared" si="51"/>
        <v>-</v>
      </c>
      <c r="W385" s="303" t="str">
        <f t="shared" si="52"/>
        <v>-</v>
      </c>
      <c r="X385" s="303" t="str">
        <f t="shared" si="53"/>
        <v>-</v>
      </c>
    </row>
    <row r="386" spans="3:24">
      <c r="C386" s="277"/>
      <c r="D386" s="297" t="s">
        <v>842</v>
      </c>
      <c r="E386" s="303" t="s">
        <v>909</v>
      </c>
      <c r="F386" s="303">
        <v>12</v>
      </c>
      <c r="G386" s="303">
        <v>1</v>
      </c>
      <c r="H386" s="303">
        <v>2</v>
      </c>
      <c r="I386" s="303">
        <v>2</v>
      </c>
      <c r="J386" s="303"/>
      <c r="K386" s="269">
        <v>2.85</v>
      </c>
      <c r="L386" s="303"/>
      <c r="M386" s="304"/>
      <c r="N386" s="304"/>
      <c r="O386" s="321">
        <f t="shared" si="45"/>
        <v>2.85</v>
      </c>
      <c r="P386" s="322">
        <f t="shared" si="46"/>
        <v>0</v>
      </c>
      <c r="Q386" s="322"/>
      <c r="R386" s="303">
        <f t="shared" si="47"/>
        <v>2.85</v>
      </c>
      <c r="S386" s="303" t="str">
        <f t="shared" si="48"/>
        <v>-</v>
      </c>
      <c r="T386" s="303" t="str">
        <f t="shared" si="49"/>
        <v>-</v>
      </c>
      <c r="U386" s="303">
        <f t="shared" si="50"/>
        <v>11.4</v>
      </c>
      <c r="V386" s="303" t="str">
        <f t="shared" si="51"/>
        <v>-</v>
      </c>
      <c r="W386" s="303" t="str">
        <f t="shared" si="52"/>
        <v>-</v>
      </c>
      <c r="X386" s="303" t="str">
        <f t="shared" si="53"/>
        <v>-</v>
      </c>
    </row>
    <row r="387" spans="3:24">
      <c r="C387" s="277"/>
      <c r="D387" s="297" t="s">
        <v>843</v>
      </c>
      <c r="E387" s="303" t="s">
        <v>909</v>
      </c>
      <c r="F387" s="303">
        <v>12</v>
      </c>
      <c r="G387" s="303">
        <v>1</v>
      </c>
      <c r="H387" s="303">
        <v>2</v>
      </c>
      <c r="I387" s="303">
        <v>2</v>
      </c>
      <c r="J387" s="303"/>
      <c r="K387" s="269">
        <v>2.85</v>
      </c>
      <c r="L387" s="303"/>
      <c r="M387" s="304"/>
      <c r="N387" s="304"/>
      <c r="O387" s="321">
        <f t="shared" si="45"/>
        <v>2.85</v>
      </c>
      <c r="P387" s="322">
        <f t="shared" si="46"/>
        <v>0</v>
      </c>
      <c r="Q387" s="322"/>
      <c r="R387" s="303">
        <f t="shared" si="47"/>
        <v>2.85</v>
      </c>
      <c r="S387" s="303" t="str">
        <f t="shared" si="48"/>
        <v>-</v>
      </c>
      <c r="T387" s="303" t="str">
        <f t="shared" si="49"/>
        <v>-</v>
      </c>
      <c r="U387" s="303">
        <f t="shared" si="50"/>
        <v>11.4</v>
      </c>
      <c r="V387" s="303" t="str">
        <f t="shared" si="51"/>
        <v>-</v>
      </c>
      <c r="W387" s="303" t="str">
        <f t="shared" si="52"/>
        <v>-</v>
      </c>
      <c r="X387" s="303" t="str">
        <f t="shared" si="53"/>
        <v>-</v>
      </c>
    </row>
    <row r="388" spans="3:24">
      <c r="C388" s="277"/>
      <c r="D388" s="297" t="s">
        <v>844</v>
      </c>
      <c r="E388" s="303" t="s">
        <v>909</v>
      </c>
      <c r="F388" s="303">
        <v>12</v>
      </c>
      <c r="G388" s="303">
        <v>1</v>
      </c>
      <c r="H388" s="303">
        <v>2</v>
      </c>
      <c r="I388" s="303">
        <v>2</v>
      </c>
      <c r="J388" s="303"/>
      <c r="K388" s="269">
        <v>4.2</v>
      </c>
      <c r="L388" s="303"/>
      <c r="M388" s="304"/>
      <c r="N388" s="304"/>
      <c r="O388" s="321">
        <f t="shared" si="45"/>
        <v>4.2</v>
      </c>
      <c r="P388" s="322">
        <f t="shared" si="46"/>
        <v>0</v>
      </c>
      <c r="Q388" s="322"/>
      <c r="R388" s="303">
        <f t="shared" si="47"/>
        <v>4.2</v>
      </c>
      <c r="S388" s="303" t="str">
        <f t="shared" si="48"/>
        <v>-</v>
      </c>
      <c r="T388" s="303" t="str">
        <f t="shared" si="49"/>
        <v>-</v>
      </c>
      <c r="U388" s="303">
        <f t="shared" si="50"/>
        <v>16.8</v>
      </c>
      <c r="V388" s="303" t="str">
        <f t="shared" si="51"/>
        <v>-</v>
      </c>
      <c r="W388" s="303" t="str">
        <f t="shared" si="52"/>
        <v>-</v>
      </c>
      <c r="X388" s="303" t="str">
        <f t="shared" si="53"/>
        <v>-</v>
      </c>
    </row>
    <row r="389" spans="3:24">
      <c r="C389" s="277"/>
      <c r="D389" s="297" t="s">
        <v>845</v>
      </c>
      <c r="E389" s="303" t="s">
        <v>909</v>
      </c>
      <c r="F389" s="303">
        <v>12</v>
      </c>
      <c r="G389" s="303">
        <v>1</v>
      </c>
      <c r="H389" s="303">
        <v>2</v>
      </c>
      <c r="I389" s="303">
        <v>2</v>
      </c>
      <c r="J389" s="303"/>
      <c r="K389" s="269">
        <v>4.2</v>
      </c>
      <c r="L389" s="303"/>
      <c r="M389" s="304"/>
      <c r="N389" s="304"/>
      <c r="O389" s="321">
        <f t="shared" ref="O389:O451" si="54">J389+K389+L389+M389+N389</f>
        <v>4.2</v>
      </c>
      <c r="P389" s="322">
        <f t="shared" ref="P389:P451" si="55">IF(E389="Ring",F389*2*5,IF(E389="U Shape",F389*2*2,IF(E389="L Shape",F389*2*1,IF(E389="Streight",F389*2*0,IF(E389="Trianguler",F389*2*4,IF(E389="Z Shape",F389*2*2))))))/1000</f>
        <v>0</v>
      </c>
      <c r="Q389" s="322"/>
      <c r="R389" s="303">
        <f t="shared" ref="R389:R451" si="56">O389-P389</f>
        <v>4.2</v>
      </c>
      <c r="S389" s="303" t="str">
        <f t="shared" ref="S389:S451" si="57">IF(F389=8,ROUND(PRODUCT(G389:I389,R389),2),"-")</f>
        <v>-</v>
      </c>
      <c r="T389" s="303" t="str">
        <f t="shared" ref="T389:T451" si="58">IF(F389=10,ROUND(PRODUCT(G389:I389,R389),2),"-")</f>
        <v>-</v>
      </c>
      <c r="U389" s="303">
        <f t="shared" ref="U389:U451" si="59">IF(F389=12,ROUND(PRODUCT(G389:I389,R389),2),"-")</f>
        <v>16.8</v>
      </c>
      <c r="V389" s="303" t="str">
        <f t="shared" ref="V389:V451" si="60">IF(F389=16,ROUND(PRODUCT(G389:I389,R389),2),"-")</f>
        <v>-</v>
      </c>
      <c r="W389" s="303" t="str">
        <f t="shared" ref="W389:W451" si="61">IF(F389=20,ROUND(PRODUCT(G389:I389,R389),2),"-")</f>
        <v>-</v>
      </c>
      <c r="X389" s="303" t="str">
        <f t="shared" ref="X389:X451" si="62">IF(F389=25,ROUND(PRODUCT(G389:I389,R389),2),"-")</f>
        <v>-</v>
      </c>
    </row>
    <row r="390" spans="3:24">
      <c r="C390" s="277"/>
      <c r="D390" s="297" t="s">
        <v>846</v>
      </c>
      <c r="E390" s="303" t="s">
        <v>909</v>
      </c>
      <c r="F390" s="303">
        <v>12</v>
      </c>
      <c r="G390" s="303">
        <v>1</v>
      </c>
      <c r="H390" s="303">
        <v>2</v>
      </c>
      <c r="I390" s="303">
        <v>2</v>
      </c>
      <c r="J390" s="303"/>
      <c r="K390" s="269">
        <v>2.85</v>
      </c>
      <c r="L390" s="303"/>
      <c r="M390" s="304"/>
      <c r="N390" s="304"/>
      <c r="O390" s="321">
        <f t="shared" si="54"/>
        <v>2.85</v>
      </c>
      <c r="P390" s="322">
        <f t="shared" si="55"/>
        <v>0</v>
      </c>
      <c r="Q390" s="322"/>
      <c r="R390" s="303">
        <f t="shared" si="56"/>
        <v>2.85</v>
      </c>
      <c r="S390" s="303" t="str">
        <f t="shared" si="57"/>
        <v>-</v>
      </c>
      <c r="T390" s="303" t="str">
        <f t="shared" si="58"/>
        <v>-</v>
      </c>
      <c r="U390" s="303">
        <f t="shared" si="59"/>
        <v>11.4</v>
      </c>
      <c r="V390" s="303" t="str">
        <f t="shared" si="60"/>
        <v>-</v>
      </c>
      <c r="W390" s="303" t="str">
        <f t="shared" si="61"/>
        <v>-</v>
      </c>
      <c r="X390" s="303" t="str">
        <f t="shared" si="62"/>
        <v>-</v>
      </c>
    </row>
    <row r="391" spans="3:24">
      <c r="C391" s="277"/>
      <c r="D391" s="297" t="s">
        <v>847</v>
      </c>
      <c r="E391" s="303" t="s">
        <v>909</v>
      </c>
      <c r="F391" s="303">
        <v>12</v>
      </c>
      <c r="G391" s="303">
        <v>1</v>
      </c>
      <c r="H391" s="303">
        <v>2</v>
      </c>
      <c r="I391" s="303">
        <v>2</v>
      </c>
      <c r="J391" s="303"/>
      <c r="K391" s="269">
        <v>2.85</v>
      </c>
      <c r="L391" s="303"/>
      <c r="M391" s="304"/>
      <c r="N391" s="304"/>
      <c r="O391" s="321">
        <f t="shared" si="54"/>
        <v>2.85</v>
      </c>
      <c r="P391" s="322">
        <f t="shared" si="55"/>
        <v>0</v>
      </c>
      <c r="Q391" s="322"/>
      <c r="R391" s="303">
        <f t="shared" si="56"/>
        <v>2.85</v>
      </c>
      <c r="S391" s="303" t="str">
        <f t="shared" si="57"/>
        <v>-</v>
      </c>
      <c r="T391" s="303" t="str">
        <f t="shared" si="58"/>
        <v>-</v>
      </c>
      <c r="U391" s="303">
        <f t="shared" si="59"/>
        <v>11.4</v>
      </c>
      <c r="V391" s="303" t="str">
        <f t="shared" si="60"/>
        <v>-</v>
      </c>
      <c r="W391" s="303" t="str">
        <f t="shared" si="61"/>
        <v>-</v>
      </c>
      <c r="X391" s="303" t="str">
        <f t="shared" si="62"/>
        <v>-</v>
      </c>
    </row>
    <row r="392" spans="3:24">
      <c r="C392" s="277"/>
      <c r="D392" s="297" t="s">
        <v>650</v>
      </c>
      <c r="E392" s="303" t="s">
        <v>909</v>
      </c>
      <c r="F392" s="303">
        <v>12</v>
      </c>
      <c r="G392" s="303">
        <v>1</v>
      </c>
      <c r="H392" s="303">
        <v>120</v>
      </c>
      <c r="I392" s="303">
        <v>2</v>
      </c>
      <c r="J392" s="303"/>
      <c r="K392" s="269">
        <v>0.59</v>
      </c>
      <c r="L392" s="303"/>
      <c r="M392" s="304"/>
      <c r="N392" s="304"/>
      <c r="O392" s="321">
        <f t="shared" si="54"/>
        <v>0.59</v>
      </c>
      <c r="P392" s="322">
        <f t="shared" si="55"/>
        <v>0</v>
      </c>
      <c r="Q392" s="322"/>
      <c r="R392" s="303">
        <f t="shared" si="56"/>
        <v>0.59</v>
      </c>
      <c r="S392" s="303" t="str">
        <f t="shared" si="57"/>
        <v>-</v>
      </c>
      <c r="T392" s="303" t="str">
        <f t="shared" si="58"/>
        <v>-</v>
      </c>
      <c r="U392" s="303">
        <f t="shared" si="59"/>
        <v>141.6</v>
      </c>
      <c r="V392" s="303" t="str">
        <f t="shared" si="60"/>
        <v>-</v>
      </c>
      <c r="W392" s="303" t="str">
        <f t="shared" si="61"/>
        <v>-</v>
      </c>
      <c r="X392" s="303" t="str">
        <f t="shared" si="62"/>
        <v>-</v>
      </c>
    </row>
    <row r="393" spans="3:24">
      <c r="C393" s="277"/>
      <c r="D393" s="297" t="s">
        <v>632</v>
      </c>
      <c r="E393" s="303" t="s">
        <v>907</v>
      </c>
      <c r="F393" s="303">
        <v>8</v>
      </c>
      <c r="G393" s="303">
        <v>1</v>
      </c>
      <c r="H393" s="303">
        <v>324</v>
      </c>
      <c r="I393" s="303">
        <v>2</v>
      </c>
      <c r="J393" s="303">
        <v>0.18</v>
      </c>
      <c r="K393" s="269">
        <v>0.4</v>
      </c>
      <c r="L393" s="303">
        <v>0.18</v>
      </c>
      <c r="M393" s="303">
        <v>0.4</v>
      </c>
      <c r="N393" s="303">
        <v>0.16</v>
      </c>
      <c r="O393" s="321">
        <f t="shared" si="54"/>
        <v>1.32</v>
      </c>
      <c r="P393" s="322">
        <f t="shared" si="55"/>
        <v>0.08</v>
      </c>
      <c r="Q393" s="322"/>
      <c r="R393" s="303">
        <f t="shared" si="56"/>
        <v>1.24</v>
      </c>
      <c r="S393" s="303">
        <f t="shared" si="57"/>
        <v>803.52</v>
      </c>
      <c r="T393" s="303" t="str">
        <f t="shared" si="58"/>
        <v>-</v>
      </c>
      <c r="U393" s="303" t="str">
        <f t="shared" si="59"/>
        <v>-</v>
      </c>
      <c r="V393" s="303" t="str">
        <f t="shared" si="60"/>
        <v>-</v>
      </c>
      <c r="W393" s="303" t="str">
        <f t="shared" si="61"/>
        <v>-</v>
      </c>
      <c r="X393" s="303" t="str">
        <f t="shared" si="62"/>
        <v>-</v>
      </c>
    </row>
    <row r="394" spans="3:24">
      <c r="C394" s="277"/>
      <c r="D394" s="297"/>
      <c r="E394" s="303"/>
      <c r="F394" s="303"/>
      <c r="G394" s="303"/>
      <c r="H394" s="303"/>
      <c r="I394" s="303"/>
      <c r="J394" s="303"/>
      <c r="K394" s="269"/>
      <c r="L394" s="303"/>
      <c r="M394" s="304"/>
      <c r="N394" s="304"/>
      <c r="O394" s="321">
        <f t="shared" si="54"/>
        <v>0</v>
      </c>
      <c r="P394" s="322">
        <f t="shared" si="55"/>
        <v>0</v>
      </c>
      <c r="Q394" s="322"/>
      <c r="R394" s="303">
        <f t="shared" si="56"/>
        <v>0</v>
      </c>
      <c r="S394" s="303" t="str">
        <f t="shared" si="57"/>
        <v>-</v>
      </c>
      <c r="T394" s="303" t="str">
        <f t="shared" si="58"/>
        <v>-</v>
      </c>
      <c r="U394" s="303" t="str">
        <f t="shared" si="59"/>
        <v>-</v>
      </c>
      <c r="V394" s="303" t="str">
        <f t="shared" si="60"/>
        <v>-</v>
      </c>
      <c r="W394" s="303" t="str">
        <f t="shared" si="61"/>
        <v>-</v>
      </c>
      <c r="X394" s="303" t="str">
        <f t="shared" si="62"/>
        <v>-</v>
      </c>
    </row>
    <row r="395" spans="3:24">
      <c r="C395" s="277">
        <v>44</v>
      </c>
      <c r="D395" s="296" t="s">
        <v>848</v>
      </c>
      <c r="E395" s="303" t="s">
        <v>908</v>
      </c>
      <c r="F395" s="303">
        <v>12</v>
      </c>
      <c r="G395" s="303">
        <v>1</v>
      </c>
      <c r="H395" s="303">
        <v>6</v>
      </c>
      <c r="I395" s="303">
        <v>4</v>
      </c>
      <c r="J395" s="303">
        <v>0.12</v>
      </c>
      <c r="K395" s="269">
        <v>11.95</v>
      </c>
      <c r="L395" s="303">
        <v>0.12</v>
      </c>
      <c r="M395" s="304"/>
      <c r="N395" s="304"/>
      <c r="O395" s="321">
        <f t="shared" si="54"/>
        <v>12.189999999999998</v>
      </c>
      <c r="P395" s="322">
        <f t="shared" si="55"/>
        <v>4.8000000000000001E-2</v>
      </c>
      <c r="Q395" s="322"/>
      <c r="R395" s="303">
        <f t="shared" si="56"/>
        <v>12.141999999999998</v>
      </c>
      <c r="S395" s="303" t="str">
        <f t="shared" si="57"/>
        <v>-</v>
      </c>
      <c r="T395" s="303" t="str">
        <f t="shared" si="58"/>
        <v>-</v>
      </c>
      <c r="U395" s="303">
        <f t="shared" si="59"/>
        <v>291.41000000000003</v>
      </c>
      <c r="V395" s="303" t="str">
        <f t="shared" si="60"/>
        <v>-</v>
      </c>
      <c r="W395" s="303" t="str">
        <f t="shared" si="61"/>
        <v>-</v>
      </c>
      <c r="X395" s="303" t="str">
        <f t="shared" si="62"/>
        <v>-</v>
      </c>
    </row>
    <row r="396" spans="3:24">
      <c r="C396" s="277"/>
      <c r="D396" s="297" t="s">
        <v>836</v>
      </c>
      <c r="E396" s="303" t="s">
        <v>910</v>
      </c>
      <c r="F396" s="303">
        <v>12</v>
      </c>
      <c r="G396" s="303">
        <v>1</v>
      </c>
      <c r="H396" s="303">
        <v>2</v>
      </c>
      <c r="I396" s="303">
        <v>4</v>
      </c>
      <c r="J396" s="303">
        <v>0.12</v>
      </c>
      <c r="K396" s="269">
        <v>1.625</v>
      </c>
      <c r="L396" s="303"/>
      <c r="M396" s="304"/>
      <c r="N396" s="304"/>
      <c r="O396" s="321">
        <f t="shared" si="54"/>
        <v>1.7450000000000001</v>
      </c>
      <c r="P396" s="322">
        <f t="shared" si="55"/>
        <v>2.4E-2</v>
      </c>
      <c r="Q396" s="322"/>
      <c r="R396" s="303">
        <f t="shared" si="56"/>
        <v>1.7210000000000001</v>
      </c>
      <c r="S396" s="303" t="str">
        <f t="shared" si="57"/>
        <v>-</v>
      </c>
      <c r="T396" s="303" t="str">
        <f t="shared" si="58"/>
        <v>-</v>
      </c>
      <c r="U396" s="303">
        <f t="shared" si="59"/>
        <v>13.77</v>
      </c>
      <c r="V396" s="303" t="str">
        <f t="shared" si="60"/>
        <v>-</v>
      </c>
      <c r="W396" s="303" t="str">
        <f t="shared" si="61"/>
        <v>-</v>
      </c>
      <c r="X396" s="303" t="str">
        <f t="shared" si="62"/>
        <v>-</v>
      </c>
    </row>
    <row r="397" spans="3:24">
      <c r="C397" s="277"/>
      <c r="D397" s="297" t="s">
        <v>837</v>
      </c>
      <c r="E397" s="303" t="s">
        <v>909</v>
      </c>
      <c r="F397" s="303">
        <v>16</v>
      </c>
      <c r="G397" s="303">
        <v>1</v>
      </c>
      <c r="H397" s="303">
        <v>3</v>
      </c>
      <c r="I397" s="303">
        <v>4</v>
      </c>
      <c r="J397" s="303"/>
      <c r="K397" s="269">
        <v>5</v>
      </c>
      <c r="L397" s="303"/>
      <c r="M397" s="304"/>
      <c r="N397" s="304"/>
      <c r="O397" s="321">
        <f t="shared" si="54"/>
        <v>5</v>
      </c>
      <c r="P397" s="322">
        <f t="shared" si="55"/>
        <v>0</v>
      </c>
      <c r="Q397" s="322"/>
      <c r="R397" s="303">
        <f t="shared" si="56"/>
        <v>5</v>
      </c>
      <c r="S397" s="303" t="str">
        <f t="shared" si="57"/>
        <v>-</v>
      </c>
      <c r="T397" s="303" t="str">
        <f t="shared" si="58"/>
        <v>-</v>
      </c>
      <c r="U397" s="303" t="str">
        <f t="shared" si="59"/>
        <v>-</v>
      </c>
      <c r="V397" s="303">
        <f t="shared" si="60"/>
        <v>60</v>
      </c>
      <c r="W397" s="303" t="str">
        <f t="shared" si="61"/>
        <v>-</v>
      </c>
      <c r="X397" s="303" t="str">
        <f t="shared" si="62"/>
        <v>-</v>
      </c>
    </row>
    <row r="398" spans="3:24">
      <c r="C398" s="277"/>
      <c r="D398" s="297" t="s">
        <v>849</v>
      </c>
      <c r="E398" s="303" t="s">
        <v>910</v>
      </c>
      <c r="F398" s="303">
        <v>16</v>
      </c>
      <c r="G398" s="303">
        <v>1</v>
      </c>
      <c r="H398" s="303">
        <v>2</v>
      </c>
      <c r="I398" s="303">
        <v>4</v>
      </c>
      <c r="J398" s="303">
        <v>0.16</v>
      </c>
      <c r="K398" s="269">
        <v>1.625</v>
      </c>
      <c r="L398" s="303"/>
      <c r="M398" s="304"/>
      <c r="N398" s="304"/>
      <c r="O398" s="321">
        <f t="shared" si="54"/>
        <v>1.7849999999999999</v>
      </c>
      <c r="P398" s="322">
        <f t="shared" si="55"/>
        <v>3.2000000000000001E-2</v>
      </c>
      <c r="Q398" s="322"/>
      <c r="R398" s="303">
        <f t="shared" si="56"/>
        <v>1.7529999999999999</v>
      </c>
      <c r="S398" s="303" t="str">
        <f t="shared" si="57"/>
        <v>-</v>
      </c>
      <c r="T398" s="303" t="str">
        <f t="shared" si="58"/>
        <v>-</v>
      </c>
      <c r="U398" s="303" t="str">
        <f t="shared" si="59"/>
        <v>-</v>
      </c>
      <c r="V398" s="303">
        <f t="shared" si="60"/>
        <v>14.02</v>
      </c>
      <c r="W398" s="303" t="str">
        <f t="shared" si="61"/>
        <v>-</v>
      </c>
      <c r="X398" s="303" t="str">
        <f t="shared" si="62"/>
        <v>-</v>
      </c>
    </row>
    <row r="399" spans="3:24">
      <c r="C399" s="277"/>
      <c r="D399" s="297" t="s">
        <v>850</v>
      </c>
      <c r="E399" s="303" t="s">
        <v>909</v>
      </c>
      <c r="F399" s="303">
        <v>16</v>
      </c>
      <c r="G399" s="303">
        <v>1</v>
      </c>
      <c r="H399" s="303">
        <v>2</v>
      </c>
      <c r="I399" s="303">
        <v>4</v>
      </c>
      <c r="J399" s="303"/>
      <c r="K399" s="269">
        <v>3.45</v>
      </c>
      <c r="L399" s="303"/>
      <c r="M399" s="304"/>
      <c r="N399" s="304"/>
      <c r="O399" s="321">
        <f t="shared" si="54"/>
        <v>3.45</v>
      </c>
      <c r="P399" s="322">
        <f t="shared" si="55"/>
        <v>0</v>
      </c>
      <c r="Q399" s="322"/>
      <c r="R399" s="303">
        <f t="shared" si="56"/>
        <v>3.45</v>
      </c>
      <c r="S399" s="303" t="str">
        <f t="shared" si="57"/>
        <v>-</v>
      </c>
      <c r="T399" s="303" t="str">
        <f t="shared" si="58"/>
        <v>-</v>
      </c>
      <c r="U399" s="303" t="str">
        <f t="shared" si="59"/>
        <v>-</v>
      </c>
      <c r="V399" s="303">
        <f t="shared" si="60"/>
        <v>27.6</v>
      </c>
      <c r="W399" s="303" t="str">
        <f t="shared" si="61"/>
        <v>-</v>
      </c>
      <c r="X399" s="303" t="str">
        <f t="shared" si="62"/>
        <v>-</v>
      </c>
    </row>
    <row r="400" spans="3:24">
      <c r="C400" s="277"/>
      <c r="D400" s="297" t="s">
        <v>650</v>
      </c>
      <c r="E400" s="303" t="s">
        <v>909</v>
      </c>
      <c r="F400" s="303">
        <v>12</v>
      </c>
      <c r="G400" s="303">
        <v>1</v>
      </c>
      <c r="H400" s="303">
        <v>36</v>
      </c>
      <c r="I400" s="303">
        <v>4</v>
      </c>
      <c r="J400" s="303"/>
      <c r="K400" s="269">
        <v>0.59</v>
      </c>
      <c r="L400" s="303"/>
      <c r="M400" s="304"/>
      <c r="N400" s="304"/>
      <c r="O400" s="321">
        <f t="shared" si="54"/>
        <v>0.59</v>
      </c>
      <c r="P400" s="322">
        <f t="shared" si="55"/>
        <v>0</v>
      </c>
      <c r="Q400" s="322"/>
      <c r="R400" s="303">
        <f t="shared" si="56"/>
        <v>0.59</v>
      </c>
      <c r="S400" s="303" t="str">
        <f t="shared" si="57"/>
        <v>-</v>
      </c>
      <c r="T400" s="303" t="str">
        <f t="shared" si="58"/>
        <v>-</v>
      </c>
      <c r="U400" s="303">
        <f t="shared" si="59"/>
        <v>84.96</v>
      </c>
      <c r="V400" s="303" t="str">
        <f t="shared" si="60"/>
        <v>-</v>
      </c>
      <c r="W400" s="303" t="str">
        <f t="shared" si="61"/>
        <v>-</v>
      </c>
      <c r="X400" s="303" t="str">
        <f t="shared" si="62"/>
        <v>-</v>
      </c>
    </row>
    <row r="401" spans="3:24">
      <c r="C401" s="277"/>
      <c r="D401" s="297" t="s">
        <v>632</v>
      </c>
      <c r="E401" s="303" t="s">
        <v>907</v>
      </c>
      <c r="F401" s="303">
        <v>8</v>
      </c>
      <c r="G401" s="303">
        <v>1</v>
      </c>
      <c r="H401" s="303">
        <v>88</v>
      </c>
      <c r="I401" s="303">
        <v>4</v>
      </c>
      <c r="J401" s="303">
        <v>0.18</v>
      </c>
      <c r="K401" s="269">
        <v>0.4</v>
      </c>
      <c r="L401" s="303">
        <v>0.18</v>
      </c>
      <c r="M401" s="303">
        <v>0.4</v>
      </c>
      <c r="N401" s="303">
        <v>0.16</v>
      </c>
      <c r="O401" s="321">
        <f t="shared" si="54"/>
        <v>1.32</v>
      </c>
      <c r="P401" s="322">
        <f t="shared" si="55"/>
        <v>0.08</v>
      </c>
      <c r="Q401" s="322"/>
      <c r="R401" s="303">
        <f t="shared" si="56"/>
        <v>1.24</v>
      </c>
      <c r="S401" s="303">
        <f t="shared" si="57"/>
        <v>436.48</v>
      </c>
      <c r="T401" s="303" t="str">
        <f t="shared" si="58"/>
        <v>-</v>
      </c>
      <c r="U401" s="303" t="str">
        <f t="shared" si="59"/>
        <v>-</v>
      </c>
      <c r="V401" s="303" t="str">
        <f t="shared" si="60"/>
        <v>-</v>
      </c>
      <c r="W401" s="303" t="str">
        <f t="shared" si="61"/>
        <v>-</v>
      </c>
      <c r="X401" s="303" t="str">
        <f t="shared" si="62"/>
        <v>-</v>
      </c>
    </row>
    <row r="402" spans="3:24">
      <c r="C402" s="277"/>
      <c r="D402" s="297"/>
      <c r="E402" s="303"/>
      <c r="F402" s="303"/>
      <c r="G402" s="303"/>
      <c r="H402" s="303"/>
      <c r="I402" s="303"/>
      <c r="J402" s="303"/>
      <c r="K402" s="269"/>
      <c r="L402" s="303"/>
      <c r="M402" s="303"/>
      <c r="N402" s="303"/>
      <c r="O402" s="321">
        <f t="shared" si="54"/>
        <v>0</v>
      </c>
      <c r="P402" s="322">
        <f t="shared" si="55"/>
        <v>0</v>
      </c>
      <c r="Q402" s="322"/>
      <c r="R402" s="303">
        <f t="shared" si="56"/>
        <v>0</v>
      </c>
      <c r="S402" s="303" t="str">
        <f t="shared" si="57"/>
        <v>-</v>
      </c>
      <c r="T402" s="303" t="str">
        <f t="shared" si="58"/>
        <v>-</v>
      </c>
      <c r="U402" s="303" t="str">
        <f t="shared" si="59"/>
        <v>-</v>
      </c>
      <c r="V402" s="303" t="str">
        <f t="shared" si="60"/>
        <v>-</v>
      </c>
      <c r="W402" s="303" t="str">
        <f t="shared" si="61"/>
        <v>-</v>
      </c>
      <c r="X402" s="303" t="str">
        <f t="shared" si="62"/>
        <v>-</v>
      </c>
    </row>
    <row r="403" spans="3:24">
      <c r="C403" s="277">
        <v>44</v>
      </c>
      <c r="D403" s="296" t="s">
        <v>851</v>
      </c>
      <c r="E403" s="303" t="s">
        <v>908</v>
      </c>
      <c r="F403" s="303">
        <v>12</v>
      </c>
      <c r="G403" s="303">
        <v>1</v>
      </c>
      <c r="H403" s="303">
        <v>6</v>
      </c>
      <c r="I403" s="303">
        <v>1</v>
      </c>
      <c r="J403" s="303">
        <v>0.12</v>
      </c>
      <c r="K403" s="291">
        <v>5.0650000000000004</v>
      </c>
      <c r="L403" s="303">
        <v>0.12</v>
      </c>
      <c r="M403" s="303"/>
      <c r="N403" s="303"/>
      <c r="O403" s="321">
        <f t="shared" si="54"/>
        <v>5.3050000000000006</v>
      </c>
      <c r="P403" s="322">
        <f t="shared" si="55"/>
        <v>4.8000000000000001E-2</v>
      </c>
      <c r="Q403" s="322"/>
      <c r="R403" s="303">
        <f t="shared" si="56"/>
        <v>5.2570000000000006</v>
      </c>
      <c r="S403" s="303" t="str">
        <f t="shared" si="57"/>
        <v>-</v>
      </c>
      <c r="T403" s="303" t="str">
        <f t="shared" si="58"/>
        <v>-</v>
      </c>
      <c r="U403" s="303">
        <f t="shared" si="59"/>
        <v>31.54</v>
      </c>
      <c r="V403" s="303" t="str">
        <f t="shared" si="60"/>
        <v>-</v>
      </c>
      <c r="W403" s="303" t="str">
        <f t="shared" si="61"/>
        <v>-</v>
      </c>
      <c r="X403" s="303" t="str">
        <f t="shared" si="62"/>
        <v>-</v>
      </c>
    </row>
    <row r="404" spans="3:24">
      <c r="C404" s="277"/>
      <c r="D404" s="297" t="s">
        <v>849</v>
      </c>
      <c r="E404" s="303" t="s">
        <v>910</v>
      </c>
      <c r="F404" s="303">
        <v>16</v>
      </c>
      <c r="G404" s="303">
        <v>1</v>
      </c>
      <c r="H404" s="303">
        <v>2</v>
      </c>
      <c r="I404" s="303">
        <v>1</v>
      </c>
      <c r="J404" s="303">
        <v>0.16</v>
      </c>
      <c r="K404" s="269">
        <v>1.1000000000000001</v>
      </c>
      <c r="L404" s="303"/>
      <c r="M404" s="303"/>
      <c r="N404" s="303"/>
      <c r="O404" s="321">
        <f t="shared" si="54"/>
        <v>1.26</v>
      </c>
      <c r="P404" s="322">
        <f t="shared" si="55"/>
        <v>3.2000000000000001E-2</v>
      </c>
      <c r="Q404" s="322"/>
      <c r="R404" s="303">
        <f t="shared" si="56"/>
        <v>1.228</v>
      </c>
      <c r="S404" s="303" t="str">
        <f t="shared" si="57"/>
        <v>-</v>
      </c>
      <c r="T404" s="303" t="str">
        <f t="shared" si="58"/>
        <v>-</v>
      </c>
      <c r="U404" s="303" t="str">
        <f t="shared" si="59"/>
        <v>-</v>
      </c>
      <c r="V404" s="303">
        <f t="shared" si="60"/>
        <v>2.46</v>
      </c>
      <c r="W404" s="303" t="str">
        <f t="shared" si="61"/>
        <v>-</v>
      </c>
      <c r="X404" s="303" t="str">
        <f t="shared" si="62"/>
        <v>-</v>
      </c>
    </row>
    <row r="405" spans="3:24">
      <c r="C405" s="277"/>
      <c r="D405" s="297" t="s">
        <v>841</v>
      </c>
      <c r="E405" s="303" t="s">
        <v>910</v>
      </c>
      <c r="F405" s="303">
        <v>16</v>
      </c>
      <c r="G405" s="303">
        <v>1</v>
      </c>
      <c r="H405" s="303">
        <v>2</v>
      </c>
      <c r="I405" s="303">
        <v>1</v>
      </c>
      <c r="J405" s="303">
        <v>0.16</v>
      </c>
      <c r="K405" s="269">
        <v>1.1000000000000001</v>
      </c>
      <c r="L405" s="303"/>
      <c r="M405" s="303"/>
      <c r="N405" s="303"/>
      <c r="O405" s="321">
        <f t="shared" si="54"/>
        <v>1.26</v>
      </c>
      <c r="P405" s="322">
        <f t="shared" si="55"/>
        <v>3.2000000000000001E-2</v>
      </c>
      <c r="Q405" s="322"/>
      <c r="R405" s="303">
        <f t="shared" si="56"/>
        <v>1.228</v>
      </c>
      <c r="S405" s="303" t="str">
        <f t="shared" si="57"/>
        <v>-</v>
      </c>
      <c r="T405" s="303" t="str">
        <f t="shared" si="58"/>
        <v>-</v>
      </c>
      <c r="U405" s="303" t="str">
        <f t="shared" si="59"/>
        <v>-</v>
      </c>
      <c r="V405" s="303">
        <f t="shared" si="60"/>
        <v>2.46</v>
      </c>
      <c r="W405" s="303" t="str">
        <f t="shared" si="61"/>
        <v>-</v>
      </c>
      <c r="X405" s="303" t="str">
        <f t="shared" si="62"/>
        <v>-</v>
      </c>
    </row>
    <row r="406" spans="3:24">
      <c r="C406" s="277"/>
      <c r="D406" s="297" t="s">
        <v>852</v>
      </c>
      <c r="E406" s="303" t="s">
        <v>909</v>
      </c>
      <c r="F406" s="303">
        <v>16</v>
      </c>
      <c r="G406" s="303">
        <v>1</v>
      </c>
      <c r="H406" s="303">
        <v>2</v>
      </c>
      <c r="I406" s="303">
        <v>1</v>
      </c>
      <c r="J406" s="303"/>
      <c r="K406" s="269">
        <v>3.45</v>
      </c>
      <c r="L406" s="303"/>
      <c r="M406" s="303"/>
      <c r="N406" s="303"/>
      <c r="O406" s="321">
        <f t="shared" si="54"/>
        <v>3.45</v>
      </c>
      <c r="P406" s="322">
        <f t="shared" si="55"/>
        <v>0</v>
      </c>
      <c r="Q406" s="322"/>
      <c r="R406" s="303">
        <f t="shared" si="56"/>
        <v>3.45</v>
      </c>
      <c r="S406" s="303" t="str">
        <f t="shared" si="57"/>
        <v>-</v>
      </c>
      <c r="T406" s="303" t="str">
        <f t="shared" si="58"/>
        <v>-</v>
      </c>
      <c r="U406" s="303" t="str">
        <f t="shared" si="59"/>
        <v>-</v>
      </c>
      <c r="V406" s="303">
        <f t="shared" si="60"/>
        <v>6.9</v>
      </c>
      <c r="W406" s="303" t="str">
        <f t="shared" si="61"/>
        <v>-</v>
      </c>
      <c r="X406" s="303" t="str">
        <f t="shared" si="62"/>
        <v>-</v>
      </c>
    </row>
    <row r="407" spans="3:24">
      <c r="C407" s="277"/>
      <c r="D407" s="297" t="s">
        <v>632</v>
      </c>
      <c r="E407" s="303" t="s">
        <v>907</v>
      </c>
      <c r="F407" s="303">
        <v>8</v>
      </c>
      <c r="G407" s="303">
        <v>1</v>
      </c>
      <c r="H407" s="303">
        <v>33</v>
      </c>
      <c r="I407" s="303">
        <v>1</v>
      </c>
      <c r="J407" s="303">
        <v>0.18</v>
      </c>
      <c r="K407" s="269">
        <v>0.4</v>
      </c>
      <c r="L407" s="303">
        <v>0.18</v>
      </c>
      <c r="M407" s="303">
        <v>0.4</v>
      </c>
      <c r="N407" s="303">
        <v>0.16</v>
      </c>
      <c r="O407" s="321">
        <f t="shared" si="54"/>
        <v>1.32</v>
      </c>
      <c r="P407" s="322">
        <f t="shared" si="55"/>
        <v>0.08</v>
      </c>
      <c r="Q407" s="322"/>
      <c r="R407" s="303">
        <f t="shared" si="56"/>
        <v>1.24</v>
      </c>
      <c r="S407" s="303">
        <f t="shared" si="57"/>
        <v>40.92</v>
      </c>
      <c r="T407" s="303" t="str">
        <f t="shared" si="58"/>
        <v>-</v>
      </c>
      <c r="U407" s="303" t="str">
        <f t="shared" si="59"/>
        <v>-</v>
      </c>
      <c r="V407" s="303" t="str">
        <f t="shared" si="60"/>
        <v>-</v>
      </c>
      <c r="W407" s="303" t="str">
        <f t="shared" si="61"/>
        <v>-</v>
      </c>
      <c r="X407" s="303" t="str">
        <f t="shared" si="62"/>
        <v>-</v>
      </c>
    </row>
    <row r="408" spans="3:24">
      <c r="C408" s="277"/>
      <c r="D408" s="335"/>
      <c r="E408" s="303"/>
      <c r="F408" s="303"/>
      <c r="G408" s="303"/>
      <c r="H408" s="303"/>
      <c r="I408" s="303"/>
      <c r="J408" s="303"/>
      <c r="K408" s="269"/>
      <c r="L408" s="303"/>
      <c r="M408" s="304"/>
      <c r="N408" s="304"/>
      <c r="O408" s="321">
        <f t="shared" si="54"/>
        <v>0</v>
      </c>
      <c r="P408" s="322">
        <f t="shared" si="55"/>
        <v>0</v>
      </c>
      <c r="Q408" s="322"/>
      <c r="R408" s="303">
        <f t="shared" si="56"/>
        <v>0</v>
      </c>
      <c r="S408" s="303" t="str">
        <f t="shared" si="57"/>
        <v>-</v>
      </c>
      <c r="T408" s="303" t="str">
        <f t="shared" si="58"/>
        <v>-</v>
      </c>
      <c r="U408" s="303" t="str">
        <f t="shared" si="59"/>
        <v>-</v>
      </c>
      <c r="V408" s="303" t="str">
        <f t="shared" si="60"/>
        <v>-</v>
      </c>
      <c r="W408" s="303" t="str">
        <f t="shared" si="61"/>
        <v>-</v>
      </c>
      <c r="X408" s="303" t="str">
        <f t="shared" si="62"/>
        <v>-</v>
      </c>
    </row>
    <row r="409" spans="3:24">
      <c r="C409" s="277">
        <v>45</v>
      </c>
      <c r="D409" s="296" t="s">
        <v>853</v>
      </c>
      <c r="E409" s="303" t="s">
        <v>908</v>
      </c>
      <c r="F409" s="303">
        <v>16</v>
      </c>
      <c r="G409" s="303">
        <v>1</v>
      </c>
      <c r="H409" s="303">
        <v>6</v>
      </c>
      <c r="I409" s="303">
        <v>2</v>
      </c>
      <c r="J409" s="303">
        <v>0.16</v>
      </c>
      <c r="K409" s="269">
        <v>9.5839999999999996</v>
      </c>
      <c r="L409" s="303">
        <v>0.16</v>
      </c>
      <c r="M409" s="304"/>
      <c r="N409" s="304"/>
      <c r="O409" s="321">
        <f t="shared" si="54"/>
        <v>9.9039999999999999</v>
      </c>
      <c r="P409" s="322">
        <f t="shared" si="55"/>
        <v>6.4000000000000001E-2</v>
      </c>
      <c r="Q409" s="322"/>
      <c r="R409" s="303">
        <f t="shared" si="56"/>
        <v>9.84</v>
      </c>
      <c r="S409" s="303" t="str">
        <f t="shared" si="57"/>
        <v>-</v>
      </c>
      <c r="T409" s="303" t="str">
        <f t="shared" si="58"/>
        <v>-</v>
      </c>
      <c r="U409" s="303" t="str">
        <f t="shared" si="59"/>
        <v>-</v>
      </c>
      <c r="V409" s="303">
        <f t="shared" si="60"/>
        <v>118.08</v>
      </c>
      <c r="W409" s="303" t="str">
        <f t="shared" si="61"/>
        <v>-</v>
      </c>
      <c r="X409" s="303" t="str">
        <f t="shared" si="62"/>
        <v>-</v>
      </c>
    </row>
    <row r="410" spans="3:24">
      <c r="C410" s="277"/>
      <c r="D410" s="298" t="s">
        <v>915</v>
      </c>
      <c r="E410" s="303" t="s">
        <v>910</v>
      </c>
      <c r="F410" s="303">
        <v>16</v>
      </c>
      <c r="G410" s="303">
        <v>1</v>
      </c>
      <c r="H410" s="303">
        <v>2</v>
      </c>
      <c r="I410" s="303">
        <v>2</v>
      </c>
      <c r="J410" s="303">
        <v>0.16</v>
      </c>
      <c r="K410" s="269">
        <v>1.5249999999999999</v>
      </c>
      <c r="L410" s="303"/>
      <c r="M410" s="304"/>
      <c r="N410" s="304"/>
      <c r="O410" s="321">
        <f t="shared" si="54"/>
        <v>1.6849999999999998</v>
      </c>
      <c r="P410" s="322">
        <f t="shared" si="55"/>
        <v>3.2000000000000001E-2</v>
      </c>
      <c r="Q410" s="322"/>
      <c r="R410" s="303">
        <f t="shared" si="56"/>
        <v>1.6529999999999998</v>
      </c>
      <c r="S410" s="303" t="str">
        <f t="shared" si="57"/>
        <v>-</v>
      </c>
      <c r="T410" s="303" t="str">
        <f t="shared" si="58"/>
        <v>-</v>
      </c>
      <c r="U410" s="303" t="str">
        <f t="shared" si="59"/>
        <v>-</v>
      </c>
      <c r="V410" s="303">
        <f t="shared" si="60"/>
        <v>6.61</v>
      </c>
      <c r="W410" s="303" t="str">
        <f t="shared" si="61"/>
        <v>-</v>
      </c>
      <c r="X410" s="303" t="str">
        <f t="shared" si="62"/>
        <v>-</v>
      </c>
    </row>
    <row r="411" spans="3:24">
      <c r="C411" s="277"/>
      <c r="D411" s="297" t="s">
        <v>854</v>
      </c>
      <c r="E411" s="303" t="s">
        <v>910</v>
      </c>
      <c r="F411" s="303">
        <v>16</v>
      </c>
      <c r="G411" s="303">
        <v>1</v>
      </c>
      <c r="H411" s="303">
        <v>2</v>
      </c>
      <c r="I411" s="303">
        <v>2</v>
      </c>
      <c r="J411" s="303">
        <v>0.16</v>
      </c>
      <c r="K411" s="269">
        <v>1.7250000000000001</v>
      </c>
      <c r="L411" s="303"/>
      <c r="M411" s="304"/>
      <c r="N411" s="304"/>
      <c r="O411" s="321">
        <f t="shared" si="54"/>
        <v>1.885</v>
      </c>
      <c r="P411" s="322">
        <f t="shared" si="55"/>
        <v>3.2000000000000001E-2</v>
      </c>
      <c r="Q411" s="322"/>
      <c r="R411" s="303">
        <f t="shared" si="56"/>
        <v>1.853</v>
      </c>
      <c r="S411" s="303" t="str">
        <f t="shared" si="57"/>
        <v>-</v>
      </c>
      <c r="T411" s="303" t="str">
        <f t="shared" si="58"/>
        <v>-</v>
      </c>
      <c r="U411" s="303" t="str">
        <f t="shared" si="59"/>
        <v>-</v>
      </c>
      <c r="V411" s="303">
        <f t="shared" si="60"/>
        <v>7.41</v>
      </c>
      <c r="W411" s="303" t="str">
        <f t="shared" si="61"/>
        <v>-</v>
      </c>
      <c r="X411" s="303" t="str">
        <f t="shared" si="62"/>
        <v>-</v>
      </c>
    </row>
    <row r="412" spans="3:24">
      <c r="C412" s="277"/>
      <c r="D412" s="297" t="s">
        <v>855</v>
      </c>
      <c r="E412" s="303" t="s">
        <v>909</v>
      </c>
      <c r="F412" s="303">
        <v>16</v>
      </c>
      <c r="G412" s="303">
        <v>1</v>
      </c>
      <c r="H412" s="303">
        <v>3</v>
      </c>
      <c r="I412" s="303">
        <v>2</v>
      </c>
      <c r="J412" s="303"/>
      <c r="K412" s="269">
        <v>2.75</v>
      </c>
      <c r="L412" s="303"/>
      <c r="M412" s="304"/>
      <c r="N412" s="304"/>
      <c r="O412" s="321">
        <f t="shared" si="54"/>
        <v>2.75</v>
      </c>
      <c r="P412" s="322">
        <f t="shared" si="55"/>
        <v>0</v>
      </c>
      <c r="Q412" s="322"/>
      <c r="R412" s="303">
        <f t="shared" si="56"/>
        <v>2.75</v>
      </c>
      <c r="S412" s="303" t="str">
        <f t="shared" si="57"/>
        <v>-</v>
      </c>
      <c r="T412" s="303" t="str">
        <f t="shared" si="58"/>
        <v>-</v>
      </c>
      <c r="U412" s="303" t="str">
        <f t="shared" si="59"/>
        <v>-</v>
      </c>
      <c r="V412" s="303">
        <f t="shared" si="60"/>
        <v>16.5</v>
      </c>
      <c r="W412" s="303" t="str">
        <f t="shared" si="61"/>
        <v>-</v>
      </c>
      <c r="X412" s="303" t="str">
        <f t="shared" si="62"/>
        <v>-</v>
      </c>
    </row>
    <row r="413" spans="3:24">
      <c r="C413" s="277"/>
      <c r="D413" s="297" t="s">
        <v>856</v>
      </c>
      <c r="E413" s="303" t="s">
        <v>909</v>
      </c>
      <c r="F413" s="303">
        <v>16</v>
      </c>
      <c r="G413" s="303">
        <v>1</v>
      </c>
      <c r="H413" s="303">
        <v>2</v>
      </c>
      <c r="I413" s="303">
        <v>2</v>
      </c>
      <c r="J413" s="303"/>
      <c r="K413" s="269">
        <v>3.2839999999999998</v>
      </c>
      <c r="L413" s="303"/>
      <c r="M413" s="304"/>
      <c r="N413" s="304"/>
      <c r="O413" s="321">
        <f t="shared" si="54"/>
        <v>3.2839999999999998</v>
      </c>
      <c r="P413" s="322">
        <f t="shared" si="55"/>
        <v>0</v>
      </c>
      <c r="Q413" s="322"/>
      <c r="R413" s="303">
        <f t="shared" si="56"/>
        <v>3.2839999999999998</v>
      </c>
      <c r="S413" s="303" t="str">
        <f t="shared" si="57"/>
        <v>-</v>
      </c>
      <c r="T413" s="303" t="str">
        <f t="shared" si="58"/>
        <v>-</v>
      </c>
      <c r="U413" s="303" t="str">
        <f t="shared" si="59"/>
        <v>-</v>
      </c>
      <c r="V413" s="303">
        <f t="shared" si="60"/>
        <v>13.14</v>
      </c>
      <c r="W413" s="303" t="str">
        <f t="shared" si="61"/>
        <v>-</v>
      </c>
      <c r="X413" s="303" t="str">
        <f t="shared" si="62"/>
        <v>-</v>
      </c>
    </row>
    <row r="414" spans="3:24">
      <c r="C414" s="277"/>
      <c r="D414" s="297" t="s">
        <v>650</v>
      </c>
      <c r="E414" s="303" t="s">
        <v>909</v>
      </c>
      <c r="F414" s="303">
        <v>16</v>
      </c>
      <c r="G414" s="303">
        <v>1</v>
      </c>
      <c r="H414" s="303">
        <v>24</v>
      </c>
      <c r="I414" s="303">
        <v>2</v>
      </c>
      <c r="J414" s="303"/>
      <c r="K414" s="269">
        <v>0.78400000000000003</v>
      </c>
      <c r="L414" s="303"/>
      <c r="M414" s="304"/>
      <c r="N414" s="304"/>
      <c r="O414" s="321">
        <f t="shared" si="54"/>
        <v>0.78400000000000003</v>
      </c>
      <c r="P414" s="322">
        <f t="shared" si="55"/>
        <v>0</v>
      </c>
      <c r="Q414" s="322"/>
      <c r="R414" s="303">
        <f t="shared" si="56"/>
        <v>0.78400000000000003</v>
      </c>
      <c r="S414" s="303" t="str">
        <f t="shared" si="57"/>
        <v>-</v>
      </c>
      <c r="T414" s="303" t="str">
        <f t="shared" si="58"/>
        <v>-</v>
      </c>
      <c r="U414" s="303" t="str">
        <f t="shared" si="59"/>
        <v>-</v>
      </c>
      <c r="V414" s="303">
        <f t="shared" si="60"/>
        <v>37.630000000000003</v>
      </c>
      <c r="W414" s="303" t="str">
        <f t="shared" si="61"/>
        <v>-</v>
      </c>
      <c r="X414" s="303" t="str">
        <f t="shared" si="62"/>
        <v>-</v>
      </c>
    </row>
    <row r="415" spans="3:24">
      <c r="C415" s="277"/>
      <c r="D415" s="297" t="s">
        <v>632</v>
      </c>
      <c r="E415" s="303" t="s">
        <v>907</v>
      </c>
      <c r="F415" s="303">
        <v>8</v>
      </c>
      <c r="G415" s="303">
        <v>1</v>
      </c>
      <c r="H415" s="303">
        <v>67</v>
      </c>
      <c r="I415" s="303">
        <v>2</v>
      </c>
      <c r="J415" s="303">
        <v>0.18</v>
      </c>
      <c r="K415" s="269">
        <v>0.55000000000000004</v>
      </c>
      <c r="L415" s="303">
        <v>0.18</v>
      </c>
      <c r="M415" s="304">
        <v>0.55000000000000004</v>
      </c>
      <c r="N415" s="304">
        <v>0.16</v>
      </c>
      <c r="O415" s="321">
        <f t="shared" si="54"/>
        <v>1.6199999999999999</v>
      </c>
      <c r="P415" s="322">
        <f t="shared" si="55"/>
        <v>0.08</v>
      </c>
      <c r="Q415" s="322"/>
      <c r="R415" s="303">
        <f t="shared" si="56"/>
        <v>1.5399999999999998</v>
      </c>
      <c r="S415" s="303">
        <f t="shared" si="57"/>
        <v>206.36</v>
      </c>
      <c r="T415" s="303" t="str">
        <f t="shared" si="58"/>
        <v>-</v>
      </c>
      <c r="U415" s="303" t="str">
        <f t="shared" si="59"/>
        <v>-</v>
      </c>
      <c r="V415" s="303" t="str">
        <f t="shared" si="60"/>
        <v>-</v>
      </c>
      <c r="W415" s="303" t="str">
        <f t="shared" si="61"/>
        <v>-</v>
      </c>
      <c r="X415" s="303" t="str">
        <f t="shared" si="62"/>
        <v>-</v>
      </c>
    </row>
    <row r="416" spans="3:24">
      <c r="C416" s="277"/>
      <c r="D416" s="299"/>
      <c r="E416" s="265"/>
      <c r="F416" s="265"/>
      <c r="G416" s="265"/>
      <c r="H416" s="265"/>
      <c r="I416" s="265"/>
      <c r="J416" s="265"/>
      <c r="K416" s="286"/>
      <c r="L416" s="265"/>
      <c r="M416" s="334"/>
      <c r="N416" s="334"/>
      <c r="O416" s="321">
        <f t="shared" si="54"/>
        <v>0</v>
      </c>
      <c r="P416" s="322">
        <f t="shared" si="55"/>
        <v>0</v>
      </c>
      <c r="Q416" s="322"/>
      <c r="R416" s="303">
        <f t="shared" si="56"/>
        <v>0</v>
      </c>
      <c r="S416" s="303" t="str">
        <f t="shared" si="57"/>
        <v>-</v>
      </c>
      <c r="T416" s="303" t="str">
        <f t="shared" si="58"/>
        <v>-</v>
      </c>
      <c r="U416" s="303" t="str">
        <f t="shared" si="59"/>
        <v>-</v>
      </c>
      <c r="V416" s="303" t="str">
        <f t="shared" si="60"/>
        <v>-</v>
      </c>
      <c r="W416" s="303" t="str">
        <f t="shared" si="61"/>
        <v>-</v>
      </c>
      <c r="X416" s="303" t="str">
        <f t="shared" si="62"/>
        <v>-</v>
      </c>
    </row>
    <row r="417" spans="3:24">
      <c r="C417" s="277">
        <v>46</v>
      </c>
      <c r="D417" s="300" t="s">
        <v>857</v>
      </c>
      <c r="E417" s="303" t="s">
        <v>908</v>
      </c>
      <c r="F417" s="303">
        <v>12</v>
      </c>
      <c r="G417" s="303">
        <v>1</v>
      </c>
      <c r="H417" s="303">
        <v>3</v>
      </c>
      <c r="I417" s="303">
        <v>2</v>
      </c>
      <c r="J417" s="303">
        <v>0.12</v>
      </c>
      <c r="K417" s="269">
        <v>11.95</v>
      </c>
      <c r="L417" s="303">
        <v>0.12</v>
      </c>
      <c r="M417" s="304"/>
      <c r="N417" s="304"/>
      <c r="O417" s="321">
        <f t="shared" si="54"/>
        <v>12.189999999999998</v>
      </c>
      <c r="P417" s="322">
        <f t="shared" si="55"/>
        <v>4.8000000000000001E-2</v>
      </c>
      <c r="Q417" s="322"/>
      <c r="R417" s="303">
        <f t="shared" si="56"/>
        <v>12.141999999999998</v>
      </c>
      <c r="S417" s="303" t="str">
        <f t="shared" si="57"/>
        <v>-</v>
      </c>
      <c r="T417" s="303" t="str">
        <f t="shared" si="58"/>
        <v>-</v>
      </c>
      <c r="U417" s="303">
        <f t="shared" si="59"/>
        <v>72.849999999999994</v>
      </c>
      <c r="V417" s="303" t="str">
        <f t="shared" si="60"/>
        <v>-</v>
      </c>
      <c r="W417" s="303" t="str">
        <f t="shared" si="61"/>
        <v>-</v>
      </c>
      <c r="X417" s="303" t="str">
        <f t="shared" si="62"/>
        <v>-</v>
      </c>
    </row>
    <row r="418" spans="3:24">
      <c r="C418" s="277"/>
      <c r="D418" s="290" t="s">
        <v>858</v>
      </c>
      <c r="E418" s="303" t="s">
        <v>910</v>
      </c>
      <c r="F418" s="303">
        <v>12</v>
      </c>
      <c r="G418" s="303">
        <v>1</v>
      </c>
      <c r="H418" s="303">
        <v>2</v>
      </c>
      <c r="I418" s="303">
        <v>2</v>
      </c>
      <c r="J418" s="303">
        <v>0.12</v>
      </c>
      <c r="K418" s="269">
        <v>1.625</v>
      </c>
      <c r="L418" s="303"/>
      <c r="M418" s="304"/>
      <c r="N418" s="304"/>
      <c r="O418" s="321">
        <f t="shared" si="54"/>
        <v>1.7450000000000001</v>
      </c>
      <c r="P418" s="322">
        <f t="shared" si="55"/>
        <v>2.4E-2</v>
      </c>
      <c r="Q418" s="322"/>
      <c r="R418" s="303">
        <f t="shared" si="56"/>
        <v>1.7210000000000001</v>
      </c>
      <c r="S418" s="303" t="str">
        <f t="shared" si="57"/>
        <v>-</v>
      </c>
      <c r="T418" s="303" t="str">
        <f t="shared" si="58"/>
        <v>-</v>
      </c>
      <c r="U418" s="303">
        <f t="shared" si="59"/>
        <v>6.88</v>
      </c>
      <c r="V418" s="303" t="str">
        <f t="shared" si="60"/>
        <v>-</v>
      </c>
      <c r="W418" s="303" t="str">
        <f t="shared" si="61"/>
        <v>-</v>
      </c>
      <c r="X418" s="303" t="str">
        <f t="shared" si="62"/>
        <v>-</v>
      </c>
    </row>
    <row r="419" spans="3:24">
      <c r="C419" s="277"/>
      <c r="D419" s="290" t="s">
        <v>859</v>
      </c>
      <c r="E419" s="303" t="s">
        <v>909</v>
      </c>
      <c r="F419" s="303">
        <v>12</v>
      </c>
      <c r="G419" s="303">
        <v>1</v>
      </c>
      <c r="H419" s="303">
        <v>2</v>
      </c>
      <c r="I419" s="303">
        <v>2</v>
      </c>
      <c r="J419" s="303"/>
      <c r="K419" s="269">
        <v>5</v>
      </c>
      <c r="L419" s="303"/>
      <c r="M419" s="304"/>
      <c r="N419" s="304"/>
      <c r="O419" s="321">
        <f t="shared" si="54"/>
        <v>5</v>
      </c>
      <c r="P419" s="322">
        <f t="shared" si="55"/>
        <v>0</v>
      </c>
      <c r="Q419" s="322"/>
      <c r="R419" s="303">
        <f t="shared" si="56"/>
        <v>5</v>
      </c>
      <c r="S419" s="303" t="str">
        <f t="shared" si="57"/>
        <v>-</v>
      </c>
      <c r="T419" s="303" t="str">
        <f t="shared" si="58"/>
        <v>-</v>
      </c>
      <c r="U419" s="303">
        <f t="shared" si="59"/>
        <v>20</v>
      </c>
      <c r="V419" s="303" t="str">
        <f t="shared" si="60"/>
        <v>-</v>
      </c>
      <c r="W419" s="303" t="str">
        <f t="shared" si="61"/>
        <v>-</v>
      </c>
      <c r="X419" s="303" t="str">
        <f t="shared" si="62"/>
        <v>-</v>
      </c>
    </row>
    <row r="420" spans="3:24">
      <c r="C420" s="277"/>
      <c r="D420" s="290" t="s">
        <v>860</v>
      </c>
      <c r="E420" s="303" t="s">
        <v>910</v>
      </c>
      <c r="F420" s="303">
        <v>12</v>
      </c>
      <c r="G420" s="303">
        <v>1</v>
      </c>
      <c r="H420" s="303">
        <v>2</v>
      </c>
      <c r="I420" s="303">
        <v>2</v>
      </c>
      <c r="J420" s="303">
        <v>0.12</v>
      </c>
      <c r="K420" s="269">
        <v>1.625</v>
      </c>
      <c r="L420" s="303"/>
      <c r="M420" s="304"/>
      <c r="N420" s="304"/>
      <c r="O420" s="321">
        <f t="shared" si="54"/>
        <v>1.7450000000000001</v>
      </c>
      <c r="P420" s="322">
        <f t="shared" si="55"/>
        <v>2.4E-2</v>
      </c>
      <c r="Q420" s="322"/>
      <c r="R420" s="303">
        <f t="shared" si="56"/>
        <v>1.7210000000000001</v>
      </c>
      <c r="S420" s="303" t="str">
        <f t="shared" si="57"/>
        <v>-</v>
      </c>
      <c r="T420" s="303" t="str">
        <f t="shared" si="58"/>
        <v>-</v>
      </c>
      <c r="U420" s="303">
        <f t="shared" si="59"/>
        <v>6.88</v>
      </c>
      <c r="V420" s="303" t="str">
        <f t="shared" si="60"/>
        <v>-</v>
      </c>
      <c r="W420" s="303" t="str">
        <f t="shared" si="61"/>
        <v>-</v>
      </c>
      <c r="X420" s="303" t="str">
        <f t="shared" si="62"/>
        <v>-</v>
      </c>
    </row>
    <row r="421" spans="3:24">
      <c r="C421" s="277"/>
      <c r="D421" s="290" t="s">
        <v>650</v>
      </c>
      <c r="E421" s="303" t="s">
        <v>909</v>
      </c>
      <c r="F421" s="303">
        <v>12</v>
      </c>
      <c r="G421" s="303">
        <v>1</v>
      </c>
      <c r="H421" s="303">
        <v>36</v>
      </c>
      <c r="I421" s="303">
        <v>2</v>
      </c>
      <c r="J421" s="303"/>
      <c r="K421" s="269">
        <v>0.59</v>
      </c>
      <c r="L421" s="303"/>
      <c r="M421" s="304"/>
      <c r="N421" s="304"/>
      <c r="O421" s="321">
        <f t="shared" si="54"/>
        <v>0.59</v>
      </c>
      <c r="P421" s="322">
        <f t="shared" si="55"/>
        <v>0</v>
      </c>
      <c r="Q421" s="322"/>
      <c r="R421" s="303">
        <f t="shared" si="56"/>
        <v>0.59</v>
      </c>
      <c r="S421" s="303" t="str">
        <f t="shared" si="57"/>
        <v>-</v>
      </c>
      <c r="T421" s="303" t="str">
        <f t="shared" si="58"/>
        <v>-</v>
      </c>
      <c r="U421" s="303">
        <f t="shared" si="59"/>
        <v>42.48</v>
      </c>
      <c r="V421" s="303" t="str">
        <f t="shared" si="60"/>
        <v>-</v>
      </c>
      <c r="W421" s="303" t="str">
        <f t="shared" si="61"/>
        <v>-</v>
      </c>
      <c r="X421" s="303" t="str">
        <f t="shared" si="62"/>
        <v>-</v>
      </c>
    </row>
    <row r="422" spans="3:24">
      <c r="C422" s="277"/>
      <c r="D422" s="290" t="s">
        <v>632</v>
      </c>
      <c r="E422" s="303" t="s">
        <v>907</v>
      </c>
      <c r="F422" s="303">
        <v>8</v>
      </c>
      <c r="G422" s="303">
        <v>1</v>
      </c>
      <c r="H422" s="303">
        <v>86</v>
      </c>
      <c r="I422" s="303">
        <v>2</v>
      </c>
      <c r="J422" s="303">
        <v>0.18</v>
      </c>
      <c r="K422" s="269">
        <v>0.5</v>
      </c>
      <c r="L422" s="303">
        <v>0.18</v>
      </c>
      <c r="M422" s="304">
        <v>0.5</v>
      </c>
      <c r="N422" s="304">
        <v>0.16</v>
      </c>
      <c r="O422" s="321">
        <f t="shared" si="54"/>
        <v>1.5199999999999998</v>
      </c>
      <c r="P422" s="322">
        <f t="shared" si="55"/>
        <v>0.08</v>
      </c>
      <c r="Q422" s="322"/>
      <c r="R422" s="303">
        <f t="shared" si="56"/>
        <v>1.4399999999999997</v>
      </c>
      <c r="S422" s="303">
        <f t="shared" si="57"/>
        <v>247.68</v>
      </c>
      <c r="T422" s="303" t="str">
        <f t="shared" si="58"/>
        <v>-</v>
      </c>
      <c r="U422" s="303" t="str">
        <f t="shared" si="59"/>
        <v>-</v>
      </c>
      <c r="V422" s="303" t="str">
        <f t="shared" si="60"/>
        <v>-</v>
      </c>
      <c r="W422" s="303" t="str">
        <f t="shared" si="61"/>
        <v>-</v>
      </c>
      <c r="X422" s="303" t="str">
        <f t="shared" si="62"/>
        <v>-</v>
      </c>
    </row>
    <row r="423" spans="3:24">
      <c r="C423" s="277"/>
      <c r="D423" s="290" t="s">
        <v>916</v>
      </c>
      <c r="E423" s="303" t="s">
        <v>909</v>
      </c>
      <c r="F423" s="303">
        <v>12</v>
      </c>
      <c r="G423" s="303">
        <v>1</v>
      </c>
      <c r="H423" s="303">
        <v>4</v>
      </c>
      <c r="I423" s="303">
        <v>2</v>
      </c>
      <c r="J423" s="303"/>
      <c r="K423" s="269">
        <v>2.85</v>
      </c>
      <c r="L423" s="303"/>
      <c r="M423" s="304"/>
      <c r="N423" s="304"/>
      <c r="O423" s="321">
        <f t="shared" si="54"/>
        <v>2.85</v>
      </c>
      <c r="P423" s="322">
        <f t="shared" si="55"/>
        <v>0</v>
      </c>
      <c r="Q423" s="322"/>
      <c r="R423" s="303">
        <f t="shared" si="56"/>
        <v>2.85</v>
      </c>
      <c r="S423" s="303" t="str">
        <f t="shared" si="57"/>
        <v>-</v>
      </c>
      <c r="T423" s="303" t="str">
        <f t="shared" si="58"/>
        <v>-</v>
      </c>
      <c r="U423" s="303">
        <f t="shared" si="59"/>
        <v>22.8</v>
      </c>
      <c r="V423" s="303" t="str">
        <f t="shared" si="60"/>
        <v>-</v>
      </c>
      <c r="W423" s="303" t="str">
        <f t="shared" si="61"/>
        <v>-</v>
      </c>
      <c r="X423" s="303" t="str">
        <f t="shared" si="62"/>
        <v>-</v>
      </c>
    </row>
    <row r="424" spans="3:24">
      <c r="C424" s="277"/>
      <c r="D424" s="290"/>
      <c r="E424" s="303"/>
      <c r="F424" s="303"/>
      <c r="G424" s="303"/>
      <c r="H424" s="303"/>
      <c r="I424" s="303"/>
      <c r="J424" s="303"/>
      <c r="K424" s="269"/>
      <c r="L424" s="303"/>
      <c r="M424" s="304"/>
      <c r="N424" s="304"/>
      <c r="O424" s="321">
        <f t="shared" si="54"/>
        <v>0</v>
      </c>
      <c r="P424" s="322">
        <f t="shared" si="55"/>
        <v>0</v>
      </c>
      <c r="Q424" s="322"/>
      <c r="R424" s="303">
        <f t="shared" si="56"/>
        <v>0</v>
      </c>
      <c r="S424" s="303" t="str">
        <f t="shared" si="57"/>
        <v>-</v>
      </c>
      <c r="T424" s="303" t="str">
        <f t="shared" si="58"/>
        <v>-</v>
      </c>
      <c r="U424" s="303" t="str">
        <f t="shared" si="59"/>
        <v>-</v>
      </c>
      <c r="V424" s="303" t="str">
        <f t="shared" si="60"/>
        <v>-</v>
      </c>
      <c r="W424" s="303" t="str">
        <f t="shared" si="61"/>
        <v>-</v>
      </c>
      <c r="X424" s="303" t="str">
        <f t="shared" si="62"/>
        <v>-</v>
      </c>
    </row>
    <row r="425" spans="3:24">
      <c r="C425" s="277"/>
      <c r="D425" s="290"/>
      <c r="E425" s="303"/>
      <c r="F425" s="303"/>
      <c r="G425" s="303"/>
      <c r="H425" s="303"/>
      <c r="I425" s="303"/>
      <c r="J425" s="303"/>
      <c r="K425" s="269"/>
      <c r="L425" s="303"/>
      <c r="M425" s="304"/>
      <c r="N425" s="304"/>
      <c r="O425" s="321">
        <f t="shared" si="54"/>
        <v>0</v>
      </c>
      <c r="P425" s="322">
        <f t="shared" si="55"/>
        <v>0</v>
      </c>
      <c r="Q425" s="322"/>
      <c r="R425" s="303">
        <f t="shared" si="56"/>
        <v>0</v>
      </c>
      <c r="S425" s="303" t="str">
        <f t="shared" si="57"/>
        <v>-</v>
      </c>
      <c r="T425" s="303" t="str">
        <f t="shared" si="58"/>
        <v>-</v>
      </c>
      <c r="U425" s="303" t="str">
        <f t="shared" si="59"/>
        <v>-</v>
      </c>
      <c r="V425" s="303" t="str">
        <f t="shared" si="60"/>
        <v>-</v>
      </c>
      <c r="W425" s="303" t="str">
        <f t="shared" si="61"/>
        <v>-</v>
      </c>
      <c r="X425" s="303" t="str">
        <f t="shared" si="62"/>
        <v>-</v>
      </c>
    </row>
    <row r="426" spans="3:24">
      <c r="C426" s="277">
        <v>47</v>
      </c>
      <c r="D426" s="268" t="s">
        <v>861</v>
      </c>
      <c r="E426" s="303" t="s">
        <v>908</v>
      </c>
      <c r="F426" s="303">
        <v>12</v>
      </c>
      <c r="G426" s="303">
        <v>1</v>
      </c>
      <c r="H426" s="303">
        <v>6</v>
      </c>
      <c r="I426" s="303">
        <v>2</v>
      </c>
      <c r="J426" s="303">
        <v>0.12</v>
      </c>
      <c r="K426" s="269">
        <v>17.975000000000001</v>
      </c>
      <c r="L426" s="303">
        <v>0.12</v>
      </c>
      <c r="M426" s="304"/>
      <c r="N426" s="304"/>
      <c r="O426" s="321">
        <f t="shared" si="54"/>
        <v>18.215000000000003</v>
      </c>
      <c r="P426" s="322">
        <f t="shared" si="55"/>
        <v>4.8000000000000001E-2</v>
      </c>
      <c r="Q426" s="322"/>
      <c r="R426" s="303">
        <f t="shared" si="56"/>
        <v>18.167000000000005</v>
      </c>
      <c r="S426" s="303" t="str">
        <f t="shared" si="57"/>
        <v>-</v>
      </c>
      <c r="T426" s="303" t="str">
        <f t="shared" si="58"/>
        <v>-</v>
      </c>
      <c r="U426" s="303">
        <f t="shared" si="59"/>
        <v>218</v>
      </c>
      <c r="V426" s="303" t="str">
        <f t="shared" si="60"/>
        <v>-</v>
      </c>
      <c r="W426" s="303" t="str">
        <f t="shared" si="61"/>
        <v>-</v>
      </c>
      <c r="X426" s="303" t="str">
        <f t="shared" si="62"/>
        <v>-</v>
      </c>
    </row>
    <row r="427" spans="3:24">
      <c r="C427" s="277"/>
      <c r="D427" s="270" t="s">
        <v>862</v>
      </c>
      <c r="E427" s="303" t="s">
        <v>909</v>
      </c>
      <c r="F427" s="303">
        <v>12</v>
      </c>
      <c r="G427" s="303">
        <v>1</v>
      </c>
      <c r="H427" s="303">
        <v>2</v>
      </c>
      <c r="I427" s="303">
        <v>2</v>
      </c>
      <c r="J427" s="303"/>
      <c r="K427" s="269">
        <v>4.6749999999999998</v>
      </c>
      <c r="L427" s="303"/>
      <c r="M427" s="304"/>
      <c r="N427" s="304"/>
      <c r="O427" s="321">
        <f t="shared" si="54"/>
        <v>4.6749999999999998</v>
      </c>
      <c r="P427" s="322">
        <f t="shared" si="55"/>
        <v>0</v>
      </c>
      <c r="Q427" s="322"/>
      <c r="R427" s="303">
        <f t="shared" si="56"/>
        <v>4.6749999999999998</v>
      </c>
      <c r="S427" s="303" t="str">
        <f t="shared" si="57"/>
        <v>-</v>
      </c>
      <c r="T427" s="303" t="str">
        <f t="shared" si="58"/>
        <v>-</v>
      </c>
      <c r="U427" s="303">
        <f t="shared" si="59"/>
        <v>18.7</v>
      </c>
      <c r="V427" s="303" t="str">
        <f t="shared" si="60"/>
        <v>-</v>
      </c>
      <c r="W427" s="303" t="str">
        <f t="shared" si="61"/>
        <v>-</v>
      </c>
      <c r="X427" s="303" t="str">
        <f t="shared" si="62"/>
        <v>-</v>
      </c>
    </row>
    <row r="428" spans="3:24">
      <c r="C428" s="277"/>
      <c r="D428" s="270" t="s">
        <v>837</v>
      </c>
      <c r="E428" s="303" t="s">
        <v>909</v>
      </c>
      <c r="F428" s="303">
        <v>16</v>
      </c>
      <c r="G428" s="303">
        <v>1</v>
      </c>
      <c r="H428" s="303">
        <v>2</v>
      </c>
      <c r="I428" s="303">
        <v>2</v>
      </c>
      <c r="J428" s="303"/>
      <c r="K428" s="269">
        <v>2.75</v>
      </c>
      <c r="L428" s="303"/>
      <c r="M428" s="304"/>
      <c r="N428" s="304"/>
      <c r="O428" s="321">
        <f t="shared" si="54"/>
        <v>2.75</v>
      </c>
      <c r="P428" s="322">
        <f t="shared" si="55"/>
        <v>0</v>
      </c>
      <c r="Q428" s="322"/>
      <c r="R428" s="303">
        <f t="shared" si="56"/>
        <v>2.75</v>
      </c>
      <c r="S428" s="303" t="str">
        <f t="shared" si="57"/>
        <v>-</v>
      </c>
      <c r="T428" s="303" t="str">
        <f t="shared" si="58"/>
        <v>-</v>
      </c>
      <c r="U428" s="303" t="str">
        <f t="shared" si="59"/>
        <v>-</v>
      </c>
      <c r="V428" s="303">
        <f t="shared" si="60"/>
        <v>11</v>
      </c>
      <c r="W428" s="303" t="str">
        <f t="shared" si="61"/>
        <v>-</v>
      </c>
      <c r="X428" s="303" t="str">
        <f t="shared" si="62"/>
        <v>-</v>
      </c>
    </row>
    <row r="429" spans="3:24">
      <c r="C429" s="277"/>
      <c r="D429" s="270" t="s">
        <v>837</v>
      </c>
      <c r="E429" s="303" t="s">
        <v>909</v>
      </c>
      <c r="F429" s="303">
        <v>16</v>
      </c>
      <c r="G429" s="303">
        <v>1</v>
      </c>
      <c r="H429" s="303">
        <v>1</v>
      </c>
      <c r="I429" s="303">
        <v>2</v>
      </c>
      <c r="J429" s="303"/>
      <c r="K429" s="269">
        <v>5.6</v>
      </c>
      <c r="L429" s="303"/>
      <c r="M429" s="304"/>
      <c r="N429" s="304"/>
      <c r="O429" s="321">
        <f t="shared" si="54"/>
        <v>5.6</v>
      </c>
      <c r="P429" s="322">
        <f t="shared" si="55"/>
        <v>0</v>
      </c>
      <c r="Q429" s="322"/>
      <c r="R429" s="303">
        <f t="shared" si="56"/>
        <v>5.6</v>
      </c>
      <c r="S429" s="303" t="str">
        <f t="shared" si="57"/>
        <v>-</v>
      </c>
      <c r="T429" s="303" t="str">
        <f t="shared" si="58"/>
        <v>-</v>
      </c>
      <c r="U429" s="303" t="str">
        <f t="shared" si="59"/>
        <v>-</v>
      </c>
      <c r="V429" s="303">
        <f t="shared" si="60"/>
        <v>11.2</v>
      </c>
      <c r="W429" s="303" t="str">
        <f t="shared" si="61"/>
        <v>-</v>
      </c>
      <c r="X429" s="303" t="str">
        <f t="shared" si="62"/>
        <v>-</v>
      </c>
    </row>
    <row r="430" spans="3:24">
      <c r="C430" s="277"/>
      <c r="D430" s="270" t="s">
        <v>863</v>
      </c>
      <c r="E430" s="303" t="s">
        <v>910</v>
      </c>
      <c r="F430" s="303">
        <v>16</v>
      </c>
      <c r="G430" s="303">
        <v>1</v>
      </c>
      <c r="H430" s="303">
        <v>2</v>
      </c>
      <c r="I430" s="303">
        <v>2</v>
      </c>
      <c r="J430" s="303">
        <v>0.16</v>
      </c>
      <c r="K430" s="269">
        <v>1.7250000000000001</v>
      </c>
      <c r="L430" s="303"/>
      <c r="M430" s="304"/>
      <c r="N430" s="304"/>
      <c r="O430" s="321">
        <f t="shared" si="54"/>
        <v>1.885</v>
      </c>
      <c r="P430" s="322">
        <f t="shared" si="55"/>
        <v>3.2000000000000001E-2</v>
      </c>
      <c r="Q430" s="322"/>
      <c r="R430" s="303">
        <f t="shared" si="56"/>
        <v>1.853</v>
      </c>
      <c r="S430" s="303" t="str">
        <f t="shared" si="57"/>
        <v>-</v>
      </c>
      <c r="T430" s="303" t="str">
        <f t="shared" si="58"/>
        <v>-</v>
      </c>
      <c r="U430" s="303" t="str">
        <f t="shared" si="59"/>
        <v>-</v>
      </c>
      <c r="V430" s="303">
        <f t="shared" si="60"/>
        <v>7.41</v>
      </c>
      <c r="W430" s="303" t="str">
        <f t="shared" si="61"/>
        <v>-</v>
      </c>
      <c r="X430" s="303" t="str">
        <f t="shared" si="62"/>
        <v>-</v>
      </c>
    </row>
    <row r="431" spans="3:24">
      <c r="C431" s="277"/>
      <c r="D431" s="270" t="s">
        <v>863</v>
      </c>
      <c r="E431" s="303" t="s">
        <v>910</v>
      </c>
      <c r="F431" s="303">
        <v>16</v>
      </c>
      <c r="G431" s="303">
        <v>1</v>
      </c>
      <c r="H431" s="303">
        <v>1</v>
      </c>
      <c r="I431" s="303">
        <v>2</v>
      </c>
      <c r="J431" s="303">
        <v>0.16</v>
      </c>
      <c r="K431" s="269">
        <v>2.2250000000000001</v>
      </c>
      <c r="L431" s="303"/>
      <c r="M431" s="304"/>
      <c r="N431" s="304"/>
      <c r="O431" s="321">
        <f t="shared" si="54"/>
        <v>2.3850000000000002</v>
      </c>
      <c r="P431" s="322">
        <f t="shared" si="55"/>
        <v>3.2000000000000001E-2</v>
      </c>
      <c r="Q431" s="322"/>
      <c r="R431" s="303">
        <f t="shared" si="56"/>
        <v>2.3530000000000002</v>
      </c>
      <c r="S431" s="303" t="str">
        <f t="shared" si="57"/>
        <v>-</v>
      </c>
      <c r="T431" s="303" t="str">
        <f t="shared" si="58"/>
        <v>-</v>
      </c>
      <c r="U431" s="303" t="str">
        <f t="shared" si="59"/>
        <v>-</v>
      </c>
      <c r="V431" s="303">
        <f t="shared" si="60"/>
        <v>4.71</v>
      </c>
      <c r="W431" s="303" t="str">
        <f t="shared" si="61"/>
        <v>-</v>
      </c>
      <c r="X431" s="303" t="str">
        <f t="shared" si="62"/>
        <v>-</v>
      </c>
    </row>
    <row r="432" spans="3:24">
      <c r="C432" s="277"/>
      <c r="D432" s="270" t="s">
        <v>864</v>
      </c>
      <c r="E432" s="303" t="s">
        <v>909</v>
      </c>
      <c r="F432" s="303">
        <v>12</v>
      </c>
      <c r="G432" s="303">
        <v>1</v>
      </c>
      <c r="H432" s="303">
        <v>2</v>
      </c>
      <c r="I432" s="303">
        <v>2</v>
      </c>
      <c r="J432" s="303"/>
      <c r="K432" s="269">
        <v>2.85</v>
      </c>
      <c r="L432" s="303"/>
      <c r="M432" s="304"/>
      <c r="N432" s="304"/>
      <c r="O432" s="321">
        <f t="shared" si="54"/>
        <v>2.85</v>
      </c>
      <c r="P432" s="322">
        <f t="shared" si="55"/>
        <v>0</v>
      </c>
      <c r="Q432" s="322"/>
      <c r="R432" s="303">
        <f t="shared" si="56"/>
        <v>2.85</v>
      </c>
      <c r="S432" s="303" t="str">
        <f t="shared" si="57"/>
        <v>-</v>
      </c>
      <c r="T432" s="303" t="str">
        <f t="shared" si="58"/>
        <v>-</v>
      </c>
      <c r="U432" s="303">
        <f t="shared" si="59"/>
        <v>11.4</v>
      </c>
      <c r="V432" s="303" t="str">
        <f t="shared" si="60"/>
        <v>-</v>
      </c>
      <c r="W432" s="303" t="str">
        <f t="shared" si="61"/>
        <v>-</v>
      </c>
      <c r="X432" s="303" t="str">
        <f t="shared" si="62"/>
        <v>-</v>
      </c>
    </row>
    <row r="433" spans="3:24">
      <c r="C433" s="277"/>
      <c r="D433" s="270" t="s">
        <v>864</v>
      </c>
      <c r="E433" s="303" t="s">
        <v>909</v>
      </c>
      <c r="F433" s="303">
        <v>16</v>
      </c>
      <c r="G433" s="303">
        <v>1</v>
      </c>
      <c r="H433" s="303">
        <v>3</v>
      </c>
      <c r="I433" s="303">
        <v>2</v>
      </c>
      <c r="J433" s="303"/>
      <c r="K433" s="269">
        <v>5.05</v>
      </c>
      <c r="L433" s="303"/>
      <c r="M433" s="304"/>
      <c r="N433" s="304"/>
      <c r="O433" s="321">
        <f t="shared" si="54"/>
        <v>5.05</v>
      </c>
      <c r="P433" s="322">
        <f t="shared" si="55"/>
        <v>0</v>
      </c>
      <c r="Q433" s="322"/>
      <c r="R433" s="303">
        <f t="shared" si="56"/>
        <v>5.05</v>
      </c>
      <c r="S433" s="303" t="str">
        <f t="shared" si="57"/>
        <v>-</v>
      </c>
      <c r="T433" s="303" t="str">
        <f t="shared" si="58"/>
        <v>-</v>
      </c>
      <c r="U433" s="303" t="str">
        <f t="shared" si="59"/>
        <v>-</v>
      </c>
      <c r="V433" s="303">
        <f t="shared" si="60"/>
        <v>30.3</v>
      </c>
      <c r="W433" s="303" t="str">
        <f t="shared" si="61"/>
        <v>-</v>
      </c>
      <c r="X433" s="303" t="str">
        <f t="shared" si="62"/>
        <v>-</v>
      </c>
    </row>
    <row r="434" spans="3:24">
      <c r="C434" s="277"/>
      <c r="D434" s="270" t="s">
        <v>650</v>
      </c>
      <c r="E434" s="303" t="s">
        <v>909</v>
      </c>
      <c r="F434" s="303">
        <v>12</v>
      </c>
      <c r="G434" s="303">
        <v>1</v>
      </c>
      <c r="H434" s="303">
        <v>60</v>
      </c>
      <c r="I434" s="303">
        <v>2</v>
      </c>
      <c r="J434" s="303"/>
      <c r="K434" s="269">
        <v>0.59</v>
      </c>
      <c r="L434" s="303"/>
      <c r="M434" s="304"/>
      <c r="N434" s="304"/>
      <c r="O434" s="321">
        <f t="shared" si="54"/>
        <v>0.59</v>
      </c>
      <c r="P434" s="322">
        <f t="shared" si="55"/>
        <v>0</v>
      </c>
      <c r="Q434" s="322"/>
      <c r="R434" s="303">
        <f t="shared" si="56"/>
        <v>0.59</v>
      </c>
      <c r="S434" s="303" t="str">
        <f t="shared" si="57"/>
        <v>-</v>
      </c>
      <c r="T434" s="303" t="str">
        <f t="shared" si="58"/>
        <v>-</v>
      </c>
      <c r="U434" s="303">
        <f t="shared" si="59"/>
        <v>70.8</v>
      </c>
      <c r="V434" s="303" t="str">
        <f t="shared" si="60"/>
        <v>-</v>
      </c>
      <c r="W434" s="303" t="str">
        <f t="shared" si="61"/>
        <v>-</v>
      </c>
      <c r="X434" s="303" t="str">
        <f t="shared" si="62"/>
        <v>-</v>
      </c>
    </row>
    <row r="435" spans="3:24">
      <c r="C435" s="277"/>
      <c r="D435" s="270" t="s">
        <v>865</v>
      </c>
      <c r="E435" s="303" t="s">
        <v>907</v>
      </c>
      <c r="F435" s="303">
        <v>8</v>
      </c>
      <c r="G435" s="303">
        <v>1</v>
      </c>
      <c r="H435" s="303">
        <v>89</v>
      </c>
      <c r="I435" s="303">
        <v>2</v>
      </c>
      <c r="J435" s="303">
        <v>0.18</v>
      </c>
      <c r="K435" s="269">
        <v>0.4</v>
      </c>
      <c r="L435" s="303">
        <v>0.18</v>
      </c>
      <c r="M435" s="303">
        <v>0.4</v>
      </c>
      <c r="N435" s="303">
        <v>0.16</v>
      </c>
      <c r="O435" s="321">
        <f t="shared" si="54"/>
        <v>1.32</v>
      </c>
      <c r="P435" s="322">
        <f t="shared" si="55"/>
        <v>0.08</v>
      </c>
      <c r="Q435" s="322"/>
      <c r="R435" s="303">
        <f t="shared" si="56"/>
        <v>1.24</v>
      </c>
      <c r="S435" s="303">
        <f t="shared" si="57"/>
        <v>220.72</v>
      </c>
      <c r="T435" s="303" t="str">
        <f t="shared" si="58"/>
        <v>-</v>
      </c>
      <c r="U435" s="303" t="str">
        <f t="shared" si="59"/>
        <v>-</v>
      </c>
      <c r="V435" s="303" t="str">
        <f t="shared" si="60"/>
        <v>-</v>
      </c>
      <c r="W435" s="303" t="str">
        <f t="shared" si="61"/>
        <v>-</v>
      </c>
      <c r="X435" s="303" t="str">
        <f t="shared" si="62"/>
        <v>-</v>
      </c>
    </row>
    <row r="436" spans="3:24">
      <c r="C436" s="277"/>
      <c r="D436" s="270" t="s">
        <v>866</v>
      </c>
      <c r="E436" s="303" t="s">
        <v>907</v>
      </c>
      <c r="F436" s="303">
        <v>10</v>
      </c>
      <c r="G436" s="303">
        <v>1</v>
      </c>
      <c r="H436" s="303">
        <v>58</v>
      </c>
      <c r="I436" s="303">
        <v>2</v>
      </c>
      <c r="J436" s="303">
        <v>0.18</v>
      </c>
      <c r="K436" s="269">
        <v>0.4</v>
      </c>
      <c r="L436" s="303">
        <v>0.18</v>
      </c>
      <c r="M436" s="303">
        <v>0.4</v>
      </c>
      <c r="N436" s="303">
        <v>0.18</v>
      </c>
      <c r="O436" s="321">
        <f t="shared" si="54"/>
        <v>1.34</v>
      </c>
      <c r="P436" s="322">
        <f t="shared" si="55"/>
        <v>0.1</v>
      </c>
      <c r="Q436" s="322"/>
      <c r="R436" s="303">
        <f t="shared" si="56"/>
        <v>1.24</v>
      </c>
      <c r="S436" s="303" t="str">
        <f t="shared" si="57"/>
        <v>-</v>
      </c>
      <c r="T436" s="303">
        <f t="shared" si="58"/>
        <v>143.84</v>
      </c>
      <c r="U436" s="303" t="str">
        <f t="shared" si="59"/>
        <v>-</v>
      </c>
      <c r="V436" s="303" t="str">
        <f t="shared" si="60"/>
        <v>-</v>
      </c>
      <c r="W436" s="303" t="str">
        <f t="shared" si="61"/>
        <v>-</v>
      </c>
      <c r="X436" s="303" t="str">
        <f t="shared" si="62"/>
        <v>-</v>
      </c>
    </row>
    <row r="437" spans="3:24">
      <c r="C437" s="277"/>
      <c r="D437" s="270"/>
      <c r="E437" s="303"/>
      <c r="F437" s="303"/>
      <c r="G437" s="303"/>
      <c r="H437" s="303"/>
      <c r="I437" s="303"/>
      <c r="J437" s="303"/>
      <c r="K437" s="269"/>
      <c r="L437" s="303"/>
      <c r="M437" s="304"/>
      <c r="N437" s="304"/>
      <c r="O437" s="321">
        <f t="shared" si="54"/>
        <v>0</v>
      </c>
      <c r="P437" s="322">
        <f t="shared" si="55"/>
        <v>0</v>
      </c>
      <c r="Q437" s="322"/>
      <c r="R437" s="303">
        <f t="shared" si="56"/>
        <v>0</v>
      </c>
      <c r="S437" s="303" t="str">
        <f t="shared" si="57"/>
        <v>-</v>
      </c>
      <c r="T437" s="303" t="str">
        <f t="shared" si="58"/>
        <v>-</v>
      </c>
      <c r="U437" s="303" t="str">
        <f t="shared" si="59"/>
        <v>-</v>
      </c>
      <c r="V437" s="303" t="str">
        <f t="shared" si="60"/>
        <v>-</v>
      </c>
      <c r="W437" s="303" t="str">
        <f t="shared" si="61"/>
        <v>-</v>
      </c>
      <c r="X437" s="303" t="str">
        <f t="shared" si="62"/>
        <v>-</v>
      </c>
    </row>
    <row r="438" spans="3:24" s="327" customFormat="1">
      <c r="C438" s="301">
        <v>48</v>
      </c>
      <c r="D438" s="268" t="s">
        <v>867</v>
      </c>
      <c r="E438" s="303" t="s">
        <v>908</v>
      </c>
      <c r="F438" s="303">
        <v>16</v>
      </c>
      <c r="G438" s="303">
        <v>1</v>
      </c>
      <c r="H438" s="303">
        <v>6</v>
      </c>
      <c r="I438" s="303">
        <v>2</v>
      </c>
      <c r="J438" s="303">
        <v>0.16</v>
      </c>
      <c r="K438" s="269">
        <v>9.5839999999999996</v>
      </c>
      <c r="L438" s="303">
        <v>0.16</v>
      </c>
      <c r="M438" s="304"/>
      <c r="N438" s="304"/>
      <c r="O438" s="321">
        <f t="shared" si="54"/>
        <v>9.9039999999999999</v>
      </c>
      <c r="P438" s="322">
        <f t="shared" si="55"/>
        <v>6.4000000000000001E-2</v>
      </c>
      <c r="Q438" s="322"/>
      <c r="R438" s="303">
        <f t="shared" si="56"/>
        <v>9.84</v>
      </c>
      <c r="S438" s="303" t="str">
        <f t="shared" si="57"/>
        <v>-</v>
      </c>
      <c r="T438" s="303" t="str">
        <f t="shared" si="58"/>
        <v>-</v>
      </c>
      <c r="U438" s="303" t="str">
        <f t="shared" si="59"/>
        <v>-</v>
      </c>
      <c r="V438" s="303">
        <f t="shared" si="60"/>
        <v>118.08</v>
      </c>
      <c r="W438" s="303" t="str">
        <f t="shared" si="61"/>
        <v>-</v>
      </c>
      <c r="X438" s="303" t="str">
        <f t="shared" si="62"/>
        <v>-</v>
      </c>
    </row>
    <row r="439" spans="3:24">
      <c r="C439" s="267"/>
      <c r="D439" s="270" t="s">
        <v>841</v>
      </c>
      <c r="E439" s="303" t="s">
        <v>910</v>
      </c>
      <c r="F439" s="303">
        <v>16</v>
      </c>
      <c r="G439" s="303">
        <v>1</v>
      </c>
      <c r="H439" s="303">
        <v>2</v>
      </c>
      <c r="I439" s="303">
        <v>2</v>
      </c>
      <c r="J439" s="303">
        <v>0.16</v>
      </c>
      <c r="K439" s="269">
        <v>1.5249999999999999</v>
      </c>
      <c r="L439" s="303"/>
      <c r="M439" s="304"/>
      <c r="N439" s="304"/>
      <c r="O439" s="321">
        <f t="shared" si="54"/>
        <v>1.6849999999999998</v>
      </c>
      <c r="P439" s="322">
        <f t="shared" si="55"/>
        <v>3.2000000000000001E-2</v>
      </c>
      <c r="Q439" s="322"/>
      <c r="R439" s="303">
        <f t="shared" si="56"/>
        <v>1.6529999999999998</v>
      </c>
      <c r="S439" s="303" t="str">
        <f t="shared" si="57"/>
        <v>-</v>
      </c>
      <c r="T439" s="303" t="str">
        <f t="shared" si="58"/>
        <v>-</v>
      </c>
      <c r="U439" s="303" t="str">
        <f t="shared" si="59"/>
        <v>-</v>
      </c>
      <c r="V439" s="303">
        <f t="shared" si="60"/>
        <v>6.61</v>
      </c>
      <c r="W439" s="303" t="str">
        <f t="shared" si="61"/>
        <v>-</v>
      </c>
      <c r="X439" s="303" t="str">
        <f t="shared" si="62"/>
        <v>-</v>
      </c>
    </row>
    <row r="440" spans="3:24">
      <c r="C440" s="267"/>
      <c r="D440" s="270" t="s">
        <v>868</v>
      </c>
      <c r="E440" s="303" t="s">
        <v>909</v>
      </c>
      <c r="F440" s="303">
        <v>16</v>
      </c>
      <c r="G440" s="303">
        <v>1</v>
      </c>
      <c r="H440" s="303">
        <v>3</v>
      </c>
      <c r="I440" s="303">
        <v>2</v>
      </c>
      <c r="J440" s="303"/>
      <c r="K440" s="269">
        <v>2.75</v>
      </c>
      <c r="L440" s="303"/>
      <c r="M440" s="304"/>
      <c r="N440" s="304"/>
      <c r="O440" s="321">
        <f t="shared" si="54"/>
        <v>2.75</v>
      </c>
      <c r="P440" s="322">
        <f t="shared" si="55"/>
        <v>0</v>
      </c>
      <c r="Q440" s="322"/>
      <c r="R440" s="303">
        <f t="shared" si="56"/>
        <v>2.75</v>
      </c>
      <c r="S440" s="303" t="str">
        <f t="shared" si="57"/>
        <v>-</v>
      </c>
      <c r="T440" s="303" t="str">
        <f t="shared" si="58"/>
        <v>-</v>
      </c>
      <c r="U440" s="303" t="str">
        <f t="shared" si="59"/>
        <v>-</v>
      </c>
      <c r="V440" s="303">
        <f t="shared" si="60"/>
        <v>16.5</v>
      </c>
      <c r="W440" s="303" t="str">
        <f t="shared" si="61"/>
        <v>-</v>
      </c>
      <c r="X440" s="303" t="str">
        <f t="shared" si="62"/>
        <v>-</v>
      </c>
    </row>
    <row r="441" spans="3:24">
      <c r="C441" s="267"/>
      <c r="D441" s="270" t="s">
        <v>869</v>
      </c>
      <c r="E441" s="303" t="s">
        <v>910</v>
      </c>
      <c r="F441" s="303">
        <v>16</v>
      </c>
      <c r="G441" s="303">
        <v>1</v>
      </c>
      <c r="H441" s="303">
        <v>2</v>
      </c>
      <c r="I441" s="303">
        <v>2</v>
      </c>
      <c r="J441" s="303">
        <v>0.16</v>
      </c>
      <c r="K441" s="269">
        <v>1.7250000000000001</v>
      </c>
      <c r="L441" s="303"/>
      <c r="M441" s="304"/>
      <c r="N441" s="304"/>
      <c r="O441" s="321">
        <f t="shared" si="54"/>
        <v>1.885</v>
      </c>
      <c r="P441" s="322">
        <f t="shared" si="55"/>
        <v>3.2000000000000001E-2</v>
      </c>
      <c r="Q441" s="322"/>
      <c r="R441" s="303">
        <f t="shared" si="56"/>
        <v>1.853</v>
      </c>
      <c r="S441" s="303" t="str">
        <f t="shared" si="57"/>
        <v>-</v>
      </c>
      <c r="T441" s="303" t="str">
        <f t="shared" si="58"/>
        <v>-</v>
      </c>
      <c r="U441" s="303" t="str">
        <f t="shared" si="59"/>
        <v>-</v>
      </c>
      <c r="V441" s="303">
        <f t="shared" si="60"/>
        <v>7.41</v>
      </c>
      <c r="W441" s="303" t="str">
        <f t="shared" si="61"/>
        <v>-</v>
      </c>
      <c r="X441" s="303" t="str">
        <f t="shared" si="62"/>
        <v>-</v>
      </c>
    </row>
    <row r="442" spans="3:24">
      <c r="C442" s="267"/>
      <c r="D442" s="270" t="s">
        <v>650</v>
      </c>
      <c r="E442" s="303" t="s">
        <v>909</v>
      </c>
      <c r="F442" s="303">
        <v>16</v>
      </c>
      <c r="G442" s="303">
        <v>1</v>
      </c>
      <c r="H442" s="303">
        <v>24</v>
      </c>
      <c r="I442" s="303">
        <v>2</v>
      </c>
      <c r="J442" s="303"/>
      <c r="K442" s="269">
        <v>0.59</v>
      </c>
      <c r="L442" s="303"/>
      <c r="M442" s="304"/>
      <c r="N442" s="304"/>
      <c r="O442" s="321">
        <f t="shared" si="54"/>
        <v>0.59</v>
      </c>
      <c r="P442" s="322">
        <f t="shared" si="55"/>
        <v>0</v>
      </c>
      <c r="Q442" s="322"/>
      <c r="R442" s="303">
        <f t="shared" si="56"/>
        <v>0.59</v>
      </c>
      <c r="S442" s="303" t="str">
        <f t="shared" si="57"/>
        <v>-</v>
      </c>
      <c r="T442" s="303" t="str">
        <f t="shared" si="58"/>
        <v>-</v>
      </c>
      <c r="U442" s="303" t="str">
        <f t="shared" si="59"/>
        <v>-</v>
      </c>
      <c r="V442" s="303">
        <f t="shared" si="60"/>
        <v>28.32</v>
      </c>
      <c r="W442" s="303" t="str">
        <f t="shared" si="61"/>
        <v>-</v>
      </c>
      <c r="X442" s="303" t="str">
        <f t="shared" si="62"/>
        <v>-</v>
      </c>
    </row>
    <row r="443" spans="3:24">
      <c r="C443" s="267"/>
      <c r="D443" s="270" t="s">
        <v>632</v>
      </c>
      <c r="E443" s="303" t="s">
        <v>907</v>
      </c>
      <c r="F443" s="303">
        <v>8</v>
      </c>
      <c r="G443" s="303">
        <v>1</v>
      </c>
      <c r="H443" s="303">
        <v>68</v>
      </c>
      <c r="I443" s="303">
        <v>2</v>
      </c>
      <c r="J443" s="303">
        <v>0.18</v>
      </c>
      <c r="K443" s="269">
        <v>0.55000000000000004</v>
      </c>
      <c r="L443" s="303">
        <v>0.18</v>
      </c>
      <c r="M443" s="303">
        <v>0.55000000000000004</v>
      </c>
      <c r="N443" s="303">
        <v>0.16</v>
      </c>
      <c r="O443" s="321">
        <f t="shared" si="54"/>
        <v>1.6199999999999999</v>
      </c>
      <c r="P443" s="322">
        <f t="shared" si="55"/>
        <v>0.08</v>
      </c>
      <c r="Q443" s="322"/>
      <c r="R443" s="303">
        <f t="shared" si="56"/>
        <v>1.5399999999999998</v>
      </c>
      <c r="S443" s="303">
        <f t="shared" si="57"/>
        <v>209.44</v>
      </c>
      <c r="T443" s="303" t="str">
        <f t="shared" si="58"/>
        <v>-</v>
      </c>
      <c r="U443" s="303" t="str">
        <f t="shared" si="59"/>
        <v>-</v>
      </c>
      <c r="V443" s="303" t="str">
        <f t="shared" si="60"/>
        <v>-</v>
      </c>
      <c r="W443" s="303" t="str">
        <f t="shared" si="61"/>
        <v>-</v>
      </c>
      <c r="X443" s="303" t="str">
        <f t="shared" si="62"/>
        <v>-</v>
      </c>
    </row>
    <row r="444" spans="3:24">
      <c r="C444" s="267"/>
      <c r="D444" s="270" t="s">
        <v>917</v>
      </c>
      <c r="E444" s="303" t="s">
        <v>909</v>
      </c>
      <c r="F444" s="303">
        <v>16</v>
      </c>
      <c r="G444" s="303">
        <v>1</v>
      </c>
      <c r="H444" s="303">
        <v>2</v>
      </c>
      <c r="I444" s="303">
        <v>2</v>
      </c>
      <c r="J444" s="303"/>
      <c r="K444" s="269">
        <v>3.1850000000000001</v>
      </c>
      <c r="L444" s="303"/>
      <c r="M444" s="304"/>
      <c r="N444" s="304"/>
      <c r="O444" s="321">
        <f t="shared" si="54"/>
        <v>3.1850000000000001</v>
      </c>
      <c r="P444" s="322">
        <f t="shared" si="55"/>
        <v>0</v>
      </c>
      <c r="Q444" s="322"/>
      <c r="R444" s="303">
        <f t="shared" si="56"/>
        <v>3.1850000000000001</v>
      </c>
      <c r="S444" s="303" t="str">
        <f t="shared" si="57"/>
        <v>-</v>
      </c>
      <c r="T444" s="303" t="str">
        <f t="shared" si="58"/>
        <v>-</v>
      </c>
      <c r="U444" s="303" t="str">
        <f t="shared" si="59"/>
        <v>-</v>
      </c>
      <c r="V444" s="303">
        <f t="shared" si="60"/>
        <v>12.74</v>
      </c>
      <c r="W444" s="303" t="str">
        <f t="shared" si="61"/>
        <v>-</v>
      </c>
      <c r="X444" s="303" t="str">
        <f t="shared" si="62"/>
        <v>-</v>
      </c>
    </row>
    <row r="445" spans="3:24">
      <c r="C445" s="267">
        <v>49</v>
      </c>
      <c r="D445" s="268" t="s">
        <v>870</v>
      </c>
      <c r="E445" s="303" t="s">
        <v>908</v>
      </c>
      <c r="F445" s="303">
        <v>12</v>
      </c>
      <c r="G445" s="303">
        <v>1</v>
      </c>
      <c r="H445" s="303">
        <v>6</v>
      </c>
      <c r="I445" s="303">
        <v>2</v>
      </c>
      <c r="J445" s="303">
        <v>0.12</v>
      </c>
      <c r="K445" s="303">
        <v>15.25</v>
      </c>
      <c r="L445" s="303">
        <v>0.12</v>
      </c>
      <c r="M445" s="304"/>
      <c r="N445" s="304"/>
      <c r="O445" s="321">
        <f t="shared" si="54"/>
        <v>15.489999999999998</v>
      </c>
      <c r="P445" s="322">
        <f t="shared" si="55"/>
        <v>4.8000000000000001E-2</v>
      </c>
      <c r="Q445" s="322"/>
      <c r="R445" s="303">
        <f t="shared" si="56"/>
        <v>15.441999999999998</v>
      </c>
      <c r="S445" s="303" t="str">
        <f t="shared" si="57"/>
        <v>-</v>
      </c>
      <c r="T445" s="303" t="str">
        <f t="shared" si="58"/>
        <v>-</v>
      </c>
      <c r="U445" s="303">
        <f t="shared" si="59"/>
        <v>185.3</v>
      </c>
      <c r="V445" s="303" t="str">
        <f t="shared" si="60"/>
        <v>-</v>
      </c>
      <c r="W445" s="303" t="str">
        <f t="shared" si="61"/>
        <v>-</v>
      </c>
      <c r="X445" s="303" t="str">
        <f t="shared" si="62"/>
        <v>-</v>
      </c>
    </row>
    <row r="446" spans="3:24">
      <c r="C446" s="267"/>
      <c r="D446" s="270" t="s">
        <v>871</v>
      </c>
      <c r="E446" s="303" t="s">
        <v>909</v>
      </c>
      <c r="F446" s="303">
        <v>12</v>
      </c>
      <c r="G446" s="303">
        <v>1</v>
      </c>
      <c r="H446" s="303">
        <v>2</v>
      </c>
      <c r="I446" s="303">
        <v>2</v>
      </c>
      <c r="J446" s="303"/>
      <c r="K446" s="302">
        <v>2.75</v>
      </c>
      <c r="L446" s="303"/>
      <c r="M446" s="304"/>
      <c r="N446" s="304"/>
      <c r="O446" s="321">
        <f t="shared" si="54"/>
        <v>2.75</v>
      </c>
      <c r="P446" s="322">
        <f t="shared" si="55"/>
        <v>0</v>
      </c>
      <c r="Q446" s="322"/>
      <c r="R446" s="303">
        <f t="shared" si="56"/>
        <v>2.75</v>
      </c>
      <c r="S446" s="303" t="str">
        <f t="shared" si="57"/>
        <v>-</v>
      </c>
      <c r="T446" s="303" t="str">
        <f t="shared" si="58"/>
        <v>-</v>
      </c>
      <c r="U446" s="303">
        <f t="shared" si="59"/>
        <v>11</v>
      </c>
      <c r="V446" s="303" t="str">
        <f t="shared" si="60"/>
        <v>-</v>
      </c>
      <c r="W446" s="303" t="str">
        <f t="shared" si="61"/>
        <v>-</v>
      </c>
      <c r="X446" s="303" t="str">
        <f t="shared" si="62"/>
        <v>-</v>
      </c>
    </row>
    <row r="447" spans="3:24">
      <c r="C447" s="267"/>
      <c r="D447" s="270" t="s">
        <v>840</v>
      </c>
      <c r="E447" s="303" t="s">
        <v>909</v>
      </c>
      <c r="F447" s="303">
        <v>12</v>
      </c>
      <c r="G447" s="303">
        <v>1</v>
      </c>
      <c r="H447" s="303">
        <v>2</v>
      </c>
      <c r="I447" s="303">
        <v>2</v>
      </c>
      <c r="J447" s="303"/>
      <c r="K447" s="336">
        <v>5</v>
      </c>
      <c r="L447" s="303"/>
      <c r="M447" s="304"/>
      <c r="N447" s="304"/>
      <c r="O447" s="321">
        <f t="shared" si="54"/>
        <v>5</v>
      </c>
      <c r="P447" s="322">
        <f t="shared" si="55"/>
        <v>0</v>
      </c>
      <c r="Q447" s="322"/>
      <c r="R447" s="303">
        <f t="shared" si="56"/>
        <v>5</v>
      </c>
      <c r="S447" s="303" t="str">
        <f t="shared" si="57"/>
        <v>-</v>
      </c>
      <c r="T447" s="303" t="str">
        <f t="shared" si="58"/>
        <v>-</v>
      </c>
      <c r="U447" s="303">
        <f t="shared" si="59"/>
        <v>20</v>
      </c>
      <c r="V447" s="303" t="str">
        <f t="shared" si="60"/>
        <v>-</v>
      </c>
      <c r="W447" s="303" t="str">
        <f t="shared" si="61"/>
        <v>-</v>
      </c>
      <c r="X447" s="303" t="str">
        <f t="shared" si="62"/>
        <v>-</v>
      </c>
    </row>
    <row r="448" spans="3:24">
      <c r="C448" s="267"/>
      <c r="D448" s="270" t="s">
        <v>872</v>
      </c>
      <c r="E448" s="303" t="s">
        <v>909</v>
      </c>
      <c r="F448" s="303">
        <v>12</v>
      </c>
      <c r="G448" s="303">
        <v>1</v>
      </c>
      <c r="H448" s="303">
        <v>2</v>
      </c>
      <c r="I448" s="303">
        <v>2</v>
      </c>
      <c r="J448" s="303"/>
      <c r="K448" s="337">
        <v>2.85</v>
      </c>
      <c r="L448" s="303"/>
      <c r="M448" s="304"/>
      <c r="N448" s="304"/>
      <c r="O448" s="321">
        <f t="shared" si="54"/>
        <v>2.85</v>
      </c>
      <c r="P448" s="322">
        <f t="shared" si="55"/>
        <v>0</v>
      </c>
      <c r="Q448" s="322"/>
      <c r="R448" s="303">
        <f t="shared" si="56"/>
        <v>2.85</v>
      </c>
      <c r="S448" s="303" t="str">
        <f t="shared" si="57"/>
        <v>-</v>
      </c>
      <c r="T448" s="303" t="str">
        <f t="shared" si="58"/>
        <v>-</v>
      </c>
      <c r="U448" s="303">
        <f t="shared" si="59"/>
        <v>11.4</v>
      </c>
      <c r="V448" s="303" t="str">
        <f t="shared" si="60"/>
        <v>-</v>
      </c>
      <c r="W448" s="303" t="str">
        <f t="shared" si="61"/>
        <v>-</v>
      </c>
      <c r="X448" s="303" t="str">
        <f t="shared" si="62"/>
        <v>-</v>
      </c>
    </row>
    <row r="449" spans="1:25">
      <c r="C449" s="267"/>
      <c r="D449" s="270" t="s">
        <v>873</v>
      </c>
      <c r="E449" s="303" t="s">
        <v>909</v>
      </c>
      <c r="F449" s="303">
        <v>12</v>
      </c>
      <c r="G449" s="303">
        <v>1</v>
      </c>
      <c r="H449" s="303">
        <v>2</v>
      </c>
      <c r="I449" s="303">
        <v>2</v>
      </c>
      <c r="J449" s="303"/>
      <c r="K449" s="303">
        <v>3.17</v>
      </c>
      <c r="L449" s="303"/>
      <c r="M449" s="304"/>
      <c r="N449" s="304"/>
      <c r="O449" s="321">
        <f t="shared" si="54"/>
        <v>3.17</v>
      </c>
      <c r="P449" s="322">
        <f t="shared" si="55"/>
        <v>0</v>
      </c>
      <c r="Q449" s="322"/>
      <c r="R449" s="303">
        <f t="shared" si="56"/>
        <v>3.17</v>
      </c>
      <c r="S449" s="303" t="str">
        <f t="shared" si="57"/>
        <v>-</v>
      </c>
      <c r="T449" s="303" t="str">
        <f t="shared" si="58"/>
        <v>-</v>
      </c>
      <c r="U449" s="303">
        <f t="shared" si="59"/>
        <v>12.68</v>
      </c>
      <c r="V449" s="303" t="str">
        <f t="shared" si="60"/>
        <v>-</v>
      </c>
      <c r="W449" s="303" t="str">
        <f t="shared" si="61"/>
        <v>-</v>
      </c>
      <c r="X449" s="303" t="str">
        <f t="shared" si="62"/>
        <v>-</v>
      </c>
    </row>
    <row r="450" spans="1:25">
      <c r="C450" s="267"/>
      <c r="D450" s="270" t="s">
        <v>650</v>
      </c>
      <c r="E450" s="303" t="s">
        <v>909</v>
      </c>
      <c r="F450" s="303">
        <v>12</v>
      </c>
      <c r="G450" s="303">
        <v>1</v>
      </c>
      <c r="H450" s="303">
        <v>42</v>
      </c>
      <c r="I450" s="303">
        <v>2</v>
      </c>
      <c r="J450" s="303"/>
      <c r="K450" s="337">
        <v>0.59</v>
      </c>
      <c r="L450" s="303"/>
      <c r="M450" s="304"/>
      <c r="N450" s="304"/>
      <c r="O450" s="321">
        <f t="shared" si="54"/>
        <v>0.59</v>
      </c>
      <c r="P450" s="322">
        <f t="shared" si="55"/>
        <v>0</v>
      </c>
      <c r="Q450" s="322"/>
      <c r="R450" s="303">
        <f t="shared" si="56"/>
        <v>0.59</v>
      </c>
      <c r="S450" s="303" t="str">
        <f t="shared" si="57"/>
        <v>-</v>
      </c>
      <c r="T450" s="303" t="str">
        <f t="shared" si="58"/>
        <v>-</v>
      </c>
      <c r="U450" s="303">
        <f t="shared" si="59"/>
        <v>49.56</v>
      </c>
      <c r="V450" s="303" t="str">
        <f t="shared" si="60"/>
        <v>-</v>
      </c>
      <c r="W450" s="303" t="str">
        <f t="shared" si="61"/>
        <v>-</v>
      </c>
      <c r="X450" s="303" t="str">
        <f t="shared" si="62"/>
        <v>-</v>
      </c>
    </row>
    <row r="451" spans="1:25">
      <c r="C451" s="267"/>
      <c r="D451" s="270" t="s">
        <v>632</v>
      </c>
      <c r="E451" s="303" t="s">
        <v>907</v>
      </c>
      <c r="F451" s="303">
        <v>8</v>
      </c>
      <c r="G451" s="303">
        <v>1</v>
      </c>
      <c r="H451" s="303">
        <v>120</v>
      </c>
      <c r="I451" s="303">
        <v>2</v>
      </c>
      <c r="J451" s="303">
        <v>0.18</v>
      </c>
      <c r="K451" s="269">
        <v>0.4</v>
      </c>
      <c r="L451" s="303">
        <v>0.18</v>
      </c>
      <c r="M451" s="303">
        <v>0.4</v>
      </c>
      <c r="N451" s="303">
        <v>0.16</v>
      </c>
      <c r="O451" s="321">
        <f t="shared" si="54"/>
        <v>1.32</v>
      </c>
      <c r="P451" s="322">
        <f t="shared" si="55"/>
        <v>0.08</v>
      </c>
      <c r="Q451" s="322"/>
      <c r="R451" s="303">
        <f t="shared" si="56"/>
        <v>1.24</v>
      </c>
      <c r="S451" s="303">
        <f t="shared" si="57"/>
        <v>297.60000000000002</v>
      </c>
      <c r="T451" s="303" t="str">
        <f t="shared" si="58"/>
        <v>-</v>
      </c>
      <c r="U451" s="303" t="str">
        <f t="shared" si="59"/>
        <v>-</v>
      </c>
      <c r="V451" s="303" t="str">
        <f t="shared" si="60"/>
        <v>-</v>
      </c>
      <c r="W451" s="303" t="str">
        <f t="shared" si="61"/>
        <v>-</v>
      </c>
      <c r="X451" s="303" t="str">
        <f t="shared" si="62"/>
        <v>-</v>
      </c>
    </row>
    <row r="452" spans="1:25">
      <c r="C452" s="312"/>
      <c r="D452" s="270"/>
      <c r="E452" s="303"/>
      <c r="F452" s="303"/>
      <c r="G452" s="303"/>
      <c r="H452" s="303"/>
      <c r="I452" s="303"/>
      <c r="J452" s="303"/>
      <c r="K452" s="303"/>
      <c r="L452" s="303"/>
      <c r="M452" s="304"/>
      <c r="N452" s="304"/>
      <c r="O452" s="321">
        <f>J452+K452+L452+M452+N452</f>
        <v>0</v>
      </c>
      <c r="P452" s="322">
        <f>IF(E452="Ring",F452*2*5,IF(E452="U Shape",F452*2*2,IF(E452="L Shape",F452*2*1,IF(E452="Streight",F452*2*0,IF(E452="Trianguler",F452*2*4,IF(E452="Z Shape",F452*2*2))))))/1000</f>
        <v>0</v>
      </c>
      <c r="Q452" s="322"/>
      <c r="R452" s="303">
        <f>O452-P452</f>
        <v>0</v>
      </c>
      <c r="S452" s="303" t="str">
        <f>IF(F452=8,ROUND(PRODUCT(G452:I452,R452),2),"-")</f>
        <v>-</v>
      </c>
      <c r="T452" s="303" t="str">
        <f>IF(F452=10,ROUND(PRODUCT(G452:I452,R452),2),"-")</f>
        <v>-</v>
      </c>
      <c r="U452" s="303" t="str">
        <f>IF(F452=12,ROUND(PRODUCT(G452:I452,R452),2),"-")</f>
        <v>-</v>
      </c>
      <c r="V452" s="303" t="str">
        <f>IF(F452=16,ROUND(PRODUCT(G452:I452,R452),2),"-")</f>
        <v>-</v>
      </c>
      <c r="W452" s="303" t="str">
        <f>IF(F452=20,ROUND(PRODUCT(G452:I452,R452),2),"-")</f>
        <v>-</v>
      </c>
      <c r="X452" s="303" t="str">
        <f>IF(F452=25,ROUND(PRODUCT(G452:I452,R452),2),"-")</f>
        <v>-</v>
      </c>
    </row>
    <row r="453" spans="1:25">
      <c r="C453" s="312">
        <v>51</v>
      </c>
      <c r="D453" s="268" t="s">
        <v>874</v>
      </c>
      <c r="E453" s="303" t="s">
        <v>908</v>
      </c>
      <c r="F453" s="303">
        <v>12</v>
      </c>
      <c r="G453" s="303">
        <v>1</v>
      </c>
      <c r="H453" s="303">
        <v>6</v>
      </c>
      <c r="I453" s="303">
        <v>2</v>
      </c>
      <c r="J453" s="303">
        <v>0.12</v>
      </c>
      <c r="K453" s="303">
        <v>5.0650000000000004</v>
      </c>
      <c r="L453" s="303">
        <v>0.12</v>
      </c>
      <c r="M453" s="304"/>
      <c r="N453" s="304"/>
      <c r="O453" s="321">
        <f>J453+K453+L453+M453+N453</f>
        <v>5.3050000000000006</v>
      </c>
      <c r="P453" s="322">
        <f>IF(E453="Ring",F453*2*5,IF(E453="U Shape",F453*2*2,IF(E453="L Shape",F453*2*1,IF(E453="Streight",F453*2*0,IF(E453="Trianguler",F453*2*4,IF(E453="Z Shape",F453*2*2))))))/1000</f>
        <v>4.8000000000000001E-2</v>
      </c>
      <c r="Q453" s="322"/>
      <c r="R453" s="303">
        <f>O453-P453</f>
        <v>5.2570000000000006</v>
      </c>
      <c r="S453" s="303" t="str">
        <f>IF(F453=8,ROUND(PRODUCT(G453:I453,R453),2),"-")</f>
        <v>-</v>
      </c>
      <c r="T453" s="303" t="str">
        <f>IF(F453=10,ROUND(PRODUCT(G453:I453,R453),2),"-")</f>
        <v>-</v>
      </c>
      <c r="U453" s="303">
        <f>IF(F453=12,ROUND(PRODUCT(G453:I453,R453),2),"-")</f>
        <v>63.08</v>
      </c>
      <c r="V453" s="303" t="str">
        <f>IF(F453=16,ROUND(PRODUCT(G453:I453,R453),2),"-")</f>
        <v>-</v>
      </c>
      <c r="W453" s="303" t="str">
        <f>IF(F453=20,ROUND(PRODUCT(G453:I453,R453),2),"-")</f>
        <v>-</v>
      </c>
      <c r="X453" s="303" t="str">
        <f>IF(F453=25,ROUND(PRODUCT(G453:I453,R453),2),"-")</f>
        <v>-</v>
      </c>
    </row>
    <row r="454" spans="1:25">
      <c r="C454" s="313"/>
      <c r="D454" s="270" t="s">
        <v>632</v>
      </c>
      <c r="E454" s="303" t="s">
        <v>907</v>
      </c>
      <c r="F454" s="303">
        <v>8</v>
      </c>
      <c r="G454" s="303">
        <v>1</v>
      </c>
      <c r="H454" s="303">
        <v>48</v>
      </c>
      <c r="I454" s="303">
        <v>2</v>
      </c>
      <c r="J454" s="303">
        <v>0.18</v>
      </c>
      <c r="K454" s="269">
        <v>0.4</v>
      </c>
      <c r="L454" s="303">
        <v>0.18</v>
      </c>
      <c r="M454" s="303">
        <v>0.4</v>
      </c>
      <c r="N454" s="303">
        <v>0.16</v>
      </c>
      <c r="O454" s="321">
        <f>J454+K454+L454+M454+N454</f>
        <v>1.32</v>
      </c>
      <c r="P454" s="322">
        <f>IF(E454="Ring",F454*2*5,IF(E454="U Shape",F454*2*2,IF(E454="L Shape",F454*2*1,IF(E454="Streight",F454*2*0,IF(E454="Trianguler",F454*2*4,IF(E454="Z Shape",F454*2*2))))))/1000</f>
        <v>0.08</v>
      </c>
      <c r="Q454" s="322"/>
      <c r="R454" s="303">
        <f>O454-P454</f>
        <v>1.24</v>
      </c>
      <c r="S454" s="303">
        <f>IF(F454=8,ROUND(PRODUCT(G454:I454,R454),2),"-")</f>
        <v>119.04</v>
      </c>
      <c r="T454" s="303" t="str">
        <f>IF(F454=10,ROUND(PRODUCT(G454:I454,R454),2),"-")</f>
        <v>-</v>
      </c>
      <c r="U454" s="303" t="str">
        <f>IF(F454=12,ROUND(PRODUCT(G454:I454,R454),2),"-")</f>
        <v>-</v>
      </c>
      <c r="V454" s="303" t="str">
        <f>IF(F454=16,ROUND(PRODUCT(G454:I454,R454),2),"-")</f>
        <v>-</v>
      </c>
      <c r="W454" s="303" t="str">
        <f>IF(F454=20,ROUND(PRODUCT(G454:I454,R454),2),"-")</f>
        <v>-</v>
      </c>
      <c r="X454" s="303" t="str">
        <f>IF(F454=25,ROUND(PRODUCT(G454:I454,R454),2),"-")</f>
        <v>-</v>
      </c>
    </row>
    <row r="455" spans="1:25">
      <c r="C455" s="313"/>
      <c r="D455" s="270"/>
      <c r="E455" s="303"/>
      <c r="F455" s="303"/>
      <c r="G455" s="303"/>
      <c r="H455" s="303"/>
      <c r="I455" s="303"/>
      <c r="J455" s="303"/>
      <c r="K455" s="269"/>
      <c r="L455" s="303"/>
      <c r="M455" s="303"/>
      <c r="N455" s="303"/>
      <c r="O455" s="321">
        <f t="shared" ref="O455:O460" si="63">J455+K455+L455+M455+N455</f>
        <v>0</v>
      </c>
      <c r="P455" s="322">
        <f t="shared" ref="P455:P460" si="64">IF(E455="Ring",F455*2*5,IF(E455="U Shape",F455*2*2,IF(E455="L Shape",F455*2*1,IF(E455="Streight",F455*2*0,IF(E455="Trianguler",F455*2*4,IF(E455="Z Shape",F455*2*2))))))/1000</f>
        <v>0</v>
      </c>
      <c r="Q455" s="322"/>
      <c r="R455" s="303">
        <f t="shared" ref="R455:R460" si="65">O455-P455</f>
        <v>0</v>
      </c>
      <c r="S455" s="303" t="str">
        <f t="shared" ref="S455:S460" si="66">IF(F455=8,ROUND(PRODUCT(G455:I455,R455),2),"-")</f>
        <v>-</v>
      </c>
      <c r="T455" s="303" t="str">
        <f t="shared" ref="T455:T460" si="67">IF(F455=10,ROUND(PRODUCT(G455:I455,R455),2),"-")</f>
        <v>-</v>
      </c>
      <c r="U455" s="303" t="str">
        <f t="shared" ref="U455:U460" si="68">IF(F455=12,ROUND(PRODUCT(G455:I455,R455),2),"-")</f>
        <v>-</v>
      </c>
      <c r="V455" s="303" t="str">
        <f t="shared" ref="V455:V460" si="69">IF(F455=16,ROUND(PRODUCT(G455:I455,R455),2),"-")</f>
        <v>-</v>
      </c>
      <c r="W455" s="303" t="str">
        <f t="shared" ref="W455:W460" si="70">IF(F455=20,ROUND(PRODUCT(G455:I455,R455),2),"-")</f>
        <v>-</v>
      </c>
      <c r="X455" s="303" t="str">
        <f t="shared" ref="X455:X460" si="71">IF(F455=25,ROUND(PRODUCT(G455:I455,R455),2),"-")</f>
        <v>-</v>
      </c>
    </row>
    <row r="456" spans="1:25">
      <c r="C456" s="313"/>
      <c r="D456" s="283" t="s">
        <v>934</v>
      </c>
      <c r="E456" s="303"/>
      <c r="F456" s="303"/>
      <c r="G456" s="303"/>
      <c r="H456" s="303"/>
      <c r="I456" s="303"/>
      <c r="J456" s="303"/>
      <c r="K456" s="303"/>
      <c r="L456" s="303"/>
      <c r="M456" s="304"/>
      <c r="N456" s="304"/>
      <c r="O456" s="321">
        <f t="shared" si="63"/>
        <v>0</v>
      </c>
      <c r="P456" s="322">
        <f t="shared" si="64"/>
        <v>0</v>
      </c>
      <c r="Q456" s="322"/>
      <c r="R456" s="303">
        <f t="shared" si="65"/>
        <v>0</v>
      </c>
      <c r="S456" s="303" t="str">
        <f t="shared" si="66"/>
        <v>-</v>
      </c>
      <c r="T456" s="303" t="str">
        <f t="shared" si="67"/>
        <v>-</v>
      </c>
      <c r="U456" s="303" t="str">
        <f t="shared" si="68"/>
        <v>-</v>
      </c>
      <c r="V456" s="303" t="str">
        <f t="shared" si="69"/>
        <v>-</v>
      </c>
      <c r="W456" s="303" t="str">
        <f t="shared" si="70"/>
        <v>-</v>
      </c>
      <c r="X456" s="303" t="str">
        <f t="shared" si="71"/>
        <v>-</v>
      </c>
    </row>
    <row r="457" spans="1:25">
      <c r="C457" s="313"/>
      <c r="D457" s="305" t="s">
        <v>932</v>
      </c>
      <c r="E457" s="303" t="s">
        <v>908</v>
      </c>
      <c r="F457" s="303">
        <v>12</v>
      </c>
      <c r="G457" s="303">
        <f>1</f>
        <v>1</v>
      </c>
      <c r="H457" s="303">
        <v>4</v>
      </c>
      <c r="I457" s="303">
        <v>36</v>
      </c>
      <c r="J457" s="303">
        <v>0.2</v>
      </c>
      <c r="K457" s="303">
        <v>0.78</v>
      </c>
      <c r="L457" s="303">
        <v>0.2</v>
      </c>
      <c r="M457" s="304"/>
      <c r="N457" s="304"/>
      <c r="O457" s="321">
        <f t="shared" si="63"/>
        <v>1.18</v>
      </c>
      <c r="P457" s="322">
        <f t="shared" si="64"/>
        <v>4.8000000000000001E-2</v>
      </c>
      <c r="Q457" s="322"/>
      <c r="R457" s="303">
        <f t="shared" si="65"/>
        <v>1.1319999999999999</v>
      </c>
      <c r="S457" s="303" t="str">
        <f t="shared" si="66"/>
        <v>-</v>
      </c>
      <c r="T457" s="303" t="str">
        <f t="shared" si="67"/>
        <v>-</v>
      </c>
      <c r="U457" s="303">
        <f t="shared" si="68"/>
        <v>163.01</v>
      </c>
      <c r="V457" s="303" t="str">
        <f t="shared" si="69"/>
        <v>-</v>
      </c>
      <c r="W457" s="303" t="str">
        <f t="shared" si="70"/>
        <v>-</v>
      </c>
      <c r="X457" s="303" t="str">
        <f t="shared" si="71"/>
        <v>-</v>
      </c>
    </row>
    <row r="458" spans="1:25">
      <c r="C458" s="313"/>
      <c r="D458" s="305" t="s">
        <v>933</v>
      </c>
      <c r="E458" s="303" t="s">
        <v>907</v>
      </c>
      <c r="F458" s="303">
        <v>8</v>
      </c>
      <c r="G458" s="303">
        <f>1</f>
        <v>1</v>
      </c>
      <c r="H458" s="303">
        <v>3</v>
      </c>
      <c r="I458" s="303">
        <v>36</v>
      </c>
      <c r="J458" s="303">
        <v>0.18</v>
      </c>
      <c r="K458" s="303">
        <v>0.4</v>
      </c>
      <c r="L458" s="303">
        <v>0.18</v>
      </c>
      <c r="M458" s="304">
        <v>0.4</v>
      </c>
      <c r="N458" s="304">
        <v>0.16</v>
      </c>
      <c r="O458" s="321">
        <f t="shared" si="63"/>
        <v>1.32</v>
      </c>
      <c r="P458" s="322">
        <f t="shared" si="64"/>
        <v>0.08</v>
      </c>
      <c r="Q458" s="322"/>
      <c r="R458" s="303">
        <f t="shared" si="65"/>
        <v>1.24</v>
      </c>
      <c r="S458" s="303">
        <f t="shared" si="66"/>
        <v>133.91999999999999</v>
      </c>
      <c r="T458" s="303" t="str">
        <f t="shared" si="67"/>
        <v>-</v>
      </c>
      <c r="U458" s="303" t="str">
        <f t="shared" si="68"/>
        <v>-</v>
      </c>
      <c r="V458" s="303" t="str">
        <f t="shared" si="69"/>
        <v>-</v>
      </c>
      <c r="W458" s="303" t="str">
        <f t="shared" si="70"/>
        <v>-</v>
      </c>
      <c r="X458" s="303" t="str">
        <f t="shared" si="71"/>
        <v>-</v>
      </c>
    </row>
    <row r="459" spans="1:25">
      <c r="C459" s="313"/>
      <c r="D459" s="270"/>
      <c r="E459" s="303"/>
      <c r="F459" s="303"/>
      <c r="G459" s="303"/>
      <c r="H459" s="303"/>
      <c r="I459" s="303"/>
      <c r="J459" s="303"/>
      <c r="K459" s="269"/>
      <c r="L459" s="303"/>
      <c r="M459" s="303"/>
      <c r="N459" s="303"/>
      <c r="O459" s="321">
        <f t="shared" si="63"/>
        <v>0</v>
      </c>
      <c r="P459" s="322">
        <f t="shared" si="64"/>
        <v>0</v>
      </c>
      <c r="Q459" s="322"/>
      <c r="R459" s="303">
        <f t="shared" si="65"/>
        <v>0</v>
      </c>
      <c r="S459" s="303" t="str">
        <f t="shared" si="66"/>
        <v>-</v>
      </c>
      <c r="T459" s="303" t="str">
        <f t="shared" si="67"/>
        <v>-</v>
      </c>
      <c r="U459" s="303" t="str">
        <f t="shared" si="68"/>
        <v>-</v>
      </c>
      <c r="V459" s="303" t="str">
        <f t="shared" si="69"/>
        <v>-</v>
      </c>
      <c r="W459" s="303" t="str">
        <f t="shared" si="70"/>
        <v>-</v>
      </c>
      <c r="X459" s="303" t="str">
        <f t="shared" si="71"/>
        <v>-</v>
      </c>
    </row>
    <row r="460" spans="1:25" s="339" customFormat="1">
      <c r="A460" s="263"/>
      <c r="B460" s="263"/>
      <c r="C460" s="338"/>
      <c r="D460" s="306" t="s">
        <v>875</v>
      </c>
      <c r="E460" s="307" t="s">
        <v>909</v>
      </c>
      <c r="F460" s="307">
        <v>16</v>
      </c>
      <c r="G460" s="307">
        <v>1</v>
      </c>
      <c r="H460" s="307">
        <v>700</v>
      </c>
      <c r="I460" s="307">
        <v>1</v>
      </c>
      <c r="J460" s="307"/>
      <c r="K460" s="308">
        <v>0.18</v>
      </c>
      <c r="L460" s="307"/>
      <c r="M460" s="307"/>
      <c r="N460" s="307"/>
      <c r="O460" s="321">
        <f t="shared" si="63"/>
        <v>0.18</v>
      </c>
      <c r="P460" s="322">
        <f t="shared" si="64"/>
        <v>0</v>
      </c>
      <c r="Q460" s="322"/>
      <c r="R460" s="303">
        <f t="shared" si="65"/>
        <v>0.18</v>
      </c>
      <c r="S460" s="303" t="str">
        <f t="shared" si="66"/>
        <v>-</v>
      </c>
      <c r="T460" s="303" t="str">
        <f t="shared" si="67"/>
        <v>-</v>
      </c>
      <c r="U460" s="303" t="str">
        <f t="shared" si="68"/>
        <v>-</v>
      </c>
      <c r="V460" s="303">
        <f t="shared" si="69"/>
        <v>126</v>
      </c>
      <c r="W460" s="303" t="str">
        <f t="shared" si="70"/>
        <v>-</v>
      </c>
      <c r="X460" s="303" t="str">
        <f t="shared" si="71"/>
        <v>-</v>
      </c>
    </row>
    <row r="461" spans="1:25">
      <c r="C461" s="1426" t="s">
        <v>876</v>
      </c>
      <c r="D461" s="1426"/>
      <c r="E461" s="340"/>
      <c r="F461" s="340"/>
      <c r="G461" s="341"/>
      <c r="H461" s="341"/>
      <c r="I461" s="341"/>
      <c r="J461" s="341"/>
      <c r="K461" s="342"/>
      <c r="L461" s="342"/>
      <c r="M461" s="342"/>
      <c r="N461" s="342"/>
      <c r="O461" s="342"/>
      <c r="P461" s="342"/>
      <c r="Q461" s="342"/>
      <c r="R461" s="342"/>
      <c r="S461" s="343">
        <f t="shared" ref="S461:X461" si="72">SUM(S6:S460)</f>
        <v>11664</v>
      </c>
      <c r="T461" s="343">
        <f t="shared" si="72"/>
        <v>885.36</v>
      </c>
      <c r="U461" s="343">
        <f t="shared" si="72"/>
        <v>9464.7800000000025</v>
      </c>
      <c r="V461" s="343">
        <f t="shared" si="72"/>
        <v>1741.9300000000003</v>
      </c>
      <c r="W461" s="343">
        <f t="shared" si="72"/>
        <v>0</v>
      </c>
      <c r="X461" s="343">
        <f t="shared" si="72"/>
        <v>0</v>
      </c>
      <c r="Y461" s="344"/>
    </row>
    <row r="462" spans="1:25">
      <c r="C462" s="1426" t="s">
        <v>877</v>
      </c>
      <c r="D462" s="1426"/>
      <c r="E462" s="341"/>
      <c r="F462" s="341"/>
      <c r="G462" s="341"/>
      <c r="H462" s="341"/>
      <c r="I462" s="341"/>
      <c r="J462" s="341"/>
      <c r="K462" s="345"/>
      <c r="L462" s="345"/>
      <c r="M462" s="345"/>
      <c r="N462" s="345"/>
      <c r="O462" s="345"/>
      <c r="P462" s="345"/>
      <c r="Q462" s="345"/>
      <c r="R462" s="345"/>
      <c r="S462" s="309">
        <f>ROUND(PI()/4*POWER(8/1000,2)*7850,3)</f>
        <v>0.39500000000000002</v>
      </c>
      <c r="T462" s="309">
        <f>ROUND(PI()/4*POWER(10/1000,2)*7850,3)</f>
        <v>0.61699999999999999</v>
      </c>
      <c r="U462" s="309">
        <f>ROUND(PI()/4*POWER(12/1000,2)*7850,3)</f>
        <v>0.88800000000000001</v>
      </c>
      <c r="V462" s="309">
        <f>ROUND(PI()/4*POWER(16/1000,2)*7850,2)</f>
        <v>1.58</v>
      </c>
      <c r="W462" s="309">
        <f>ROUND(PI()/4*POWER(20/1000,2)*7850,2)</f>
        <v>2.4700000000000002</v>
      </c>
      <c r="X462" s="309">
        <f>ROUND(PI()/4*POWER(25/1000,2)*7850,2)</f>
        <v>3.85</v>
      </c>
      <c r="Y462" s="344"/>
    </row>
    <row r="463" spans="1:25">
      <c r="C463" s="1426" t="s">
        <v>878</v>
      </c>
      <c r="D463" s="1426"/>
      <c r="E463" s="341"/>
      <c r="F463" s="341"/>
      <c r="G463" s="341"/>
      <c r="H463" s="341"/>
      <c r="I463" s="341"/>
      <c r="J463" s="341"/>
      <c r="K463" s="345"/>
      <c r="L463" s="345"/>
      <c r="M463" s="345"/>
      <c r="N463" s="345"/>
      <c r="O463" s="345"/>
      <c r="P463" s="345"/>
      <c r="Q463" s="345"/>
      <c r="R463" s="345"/>
      <c r="S463" s="310">
        <f t="shared" ref="S463:X463" si="73">PRODUCT(S461:S462)</f>
        <v>4607.2800000000007</v>
      </c>
      <c r="T463" s="310">
        <f t="shared" si="73"/>
        <v>546.26711999999998</v>
      </c>
      <c r="U463" s="310">
        <f t="shared" si="73"/>
        <v>8404.7246400000022</v>
      </c>
      <c r="V463" s="310">
        <f t="shared" si="73"/>
        <v>2752.2494000000006</v>
      </c>
      <c r="W463" s="310">
        <f t="shared" si="73"/>
        <v>0</v>
      </c>
      <c r="X463" s="310">
        <f t="shared" si="73"/>
        <v>0</v>
      </c>
      <c r="Y463" s="344"/>
    </row>
    <row r="464" spans="1:25">
      <c r="C464" s="1426" t="s">
        <v>879</v>
      </c>
      <c r="D464" s="1426"/>
      <c r="E464" s="341"/>
      <c r="F464" s="341"/>
      <c r="G464" s="341"/>
      <c r="H464" s="341"/>
      <c r="I464" s="341"/>
      <c r="J464" s="341"/>
      <c r="K464" s="345"/>
      <c r="L464" s="345"/>
      <c r="M464" s="345"/>
      <c r="N464" s="345"/>
      <c r="O464" s="345"/>
      <c r="P464" s="345"/>
      <c r="Q464" s="345"/>
      <c r="R464" s="345"/>
      <c r="S464" s="311">
        <f t="shared" ref="S464:X464" si="74">ROUND(S463/1000,3)</f>
        <v>4.6070000000000002</v>
      </c>
      <c r="T464" s="311">
        <f t="shared" si="74"/>
        <v>0.54600000000000004</v>
      </c>
      <c r="U464" s="311">
        <f t="shared" si="74"/>
        <v>8.4049999999999994</v>
      </c>
      <c r="V464" s="311">
        <f t="shared" si="74"/>
        <v>2.7519999999999998</v>
      </c>
      <c r="W464" s="311">
        <f t="shared" si="74"/>
        <v>0</v>
      </c>
      <c r="X464" s="311">
        <f t="shared" si="74"/>
        <v>0</v>
      </c>
      <c r="Y464" s="344"/>
    </row>
    <row r="465" spans="3:25">
      <c r="C465" s="1426" t="s">
        <v>880</v>
      </c>
      <c r="D465" s="1426"/>
      <c r="E465" s="342"/>
      <c r="F465" s="342"/>
      <c r="G465" s="342"/>
      <c r="H465" s="342"/>
      <c r="I465" s="342"/>
      <c r="J465" s="342"/>
      <c r="K465" s="345"/>
      <c r="L465" s="345"/>
      <c r="M465" s="345"/>
      <c r="N465" s="345"/>
      <c r="O465" s="345"/>
      <c r="P465" s="345"/>
      <c r="Q465" s="345"/>
      <c r="R465" s="345"/>
      <c r="S465" s="346">
        <f>S464+T464+U464+V464+W464+X464</f>
        <v>16.309999999999999</v>
      </c>
      <c r="T465" s="342"/>
      <c r="U465" s="342"/>
      <c r="V465" s="342"/>
      <c r="W465" s="342"/>
      <c r="X465" s="342"/>
      <c r="Y465" s="344"/>
    </row>
  </sheetData>
  <mergeCells count="16">
    <mergeCell ref="C461:D461"/>
    <mergeCell ref="C462:D462"/>
    <mergeCell ref="C463:D463"/>
    <mergeCell ref="C464:D464"/>
    <mergeCell ref="C465:D465"/>
    <mergeCell ref="C1:X1"/>
    <mergeCell ref="C2:C3"/>
    <mergeCell ref="D2:D3"/>
    <mergeCell ref="F2:F3"/>
    <mergeCell ref="G2:I3"/>
    <mergeCell ref="J2:N2"/>
    <mergeCell ref="P2:Q3"/>
    <mergeCell ref="S2:X2"/>
    <mergeCell ref="O2:O4"/>
    <mergeCell ref="R2:R4"/>
    <mergeCell ref="E2:E4"/>
  </mergeCells>
  <pageMargins left="0.38" right="0.16" top="0.39370078740157499" bottom="0.27559055118110198" header="0.23" footer="0.196850393700787"/>
  <pageSetup paperSize="9" scale="5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view="pageBreakPreview" topLeftCell="D1" zoomScale="90" zoomScaleSheetLayoutView="90" workbookViewId="0">
      <selection activeCell="S12" sqref="S12:X14"/>
    </sheetView>
  </sheetViews>
  <sheetFormatPr defaultRowHeight="15"/>
  <cols>
    <col min="1" max="2" width="9.140625" style="129" hidden="1" customWidth="1"/>
    <col min="3" max="3" width="10.7109375" style="129" customWidth="1"/>
    <col min="4" max="4" width="36.42578125" style="129" bestFit="1" customWidth="1"/>
    <col min="5" max="5" width="6.42578125" style="129" bestFit="1" customWidth="1"/>
    <col min="6" max="6" width="6.140625" style="129" bestFit="1" customWidth="1"/>
    <col min="7" max="7" width="5.7109375" style="129" bestFit="1" customWidth="1"/>
    <col min="8" max="8" width="7.28515625" style="129" bestFit="1" customWidth="1"/>
    <col min="9" max="9" width="7.42578125" style="129" bestFit="1" customWidth="1"/>
    <col min="10" max="10" width="6.7109375" style="129" bestFit="1" customWidth="1"/>
    <col min="11" max="11" width="8.28515625" style="129" bestFit="1" customWidth="1"/>
    <col min="12" max="12" width="6.7109375" style="129" bestFit="1" customWidth="1"/>
    <col min="13" max="13" width="4.42578125" style="129" bestFit="1" customWidth="1"/>
    <col min="14" max="14" width="5.5703125" style="129" bestFit="1" customWidth="1"/>
    <col min="15" max="15" width="11.5703125" style="129" bestFit="1" customWidth="1"/>
    <col min="16" max="16" width="6" style="129" bestFit="1" customWidth="1"/>
    <col min="17" max="17" width="5.42578125" style="129" customWidth="1"/>
    <col min="18" max="18" width="11.140625" style="129" bestFit="1" customWidth="1"/>
    <col min="19" max="19" width="6.5703125" style="129" customWidth="1"/>
    <col min="20" max="20" width="6.85546875" style="129" bestFit="1" customWidth="1"/>
    <col min="21" max="21" width="12.140625" style="129" bestFit="1" customWidth="1"/>
    <col min="22" max="24" width="6.85546875" style="129" bestFit="1" customWidth="1"/>
    <col min="25" max="16384" width="9.140625" style="129"/>
  </cols>
  <sheetData>
    <row r="1" spans="3:24">
      <c r="C1" s="1432" t="s">
        <v>608</v>
      </c>
      <c r="D1" s="1432"/>
      <c r="E1" s="1432"/>
      <c r="F1" s="1432"/>
      <c r="G1" s="1432"/>
      <c r="H1" s="1432"/>
      <c r="I1" s="1432"/>
      <c r="J1" s="1432"/>
      <c r="K1" s="1432"/>
      <c r="L1" s="1432"/>
      <c r="M1" s="1432"/>
      <c r="N1" s="1432"/>
      <c r="O1" s="1432"/>
      <c r="P1" s="1432"/>
      <c r="Q1" s="1432"/>
      <c r="R1" s="1432"/>
      <c r="S1" s="1432"/>
      <c r="T1" s="1432"/>
      <c r="U1" s="1432"/>
      <c r="V1" s="1432"/>
      <c r="W1" s="1432"/>
      <c r="X1" s="1432"/>
    </row>
    <row r="2" spans="3:24" s="150" customFormat="1">
      <c r="C2" s="1433" t="s">
        <v>302</v>
      </c>
      <c r="D2" s="1435" t="s">
        <v>0</v>
      </c>
      <c r="E2" s="1433" t="s">
        <v>919</v>
      </c>
      <c r="F2" s="1433" t="s">
        <v>920</v>
      </c>
      <c r="G2" s="1433" t="s">
        <v>610</v>
      </c>
      <c r="H2" s="1433"/>
      <c r="I2" s="1433"/>
      <c r="J2" s="1433" t="s">
        <v>611</v>
      </c>
      <c r="K2" s="1433"/>
      <c r="L2" s="1433"/>
      <c r="M2" s="1433"/>
      <c r="N2" s="1433"/>
      <c r="O2" s="1436" t="s">
        <v>921</v>
      </c>
      <c r="P2" s="1437" t="s">
        <v>613</v>
      </c>
      <c r="Q2" s="1438"/>
      <c r="R2" s="1433" t="s">
        <v>922</v>
      </c>
      <c r="S2" s="1434" t="s">
        <v>615</v>
      </c>
      <c r="T2" s="1434"/>
      <c r="U2" s="1434"/>
      <c r="V2" s="1434"/>
      <c r="W2" s="1434"/>
      <c r="X2" s="1434"/>
    </row>
    <row r="3" spans="3:24" s="150" customFormat="1">
      <c r="C3" s="1434"/>
      <c r="D3" s="1433"/>
      <c r="E3" s="1434"/>
      <c r="F3" s="1434"/>
      <c r="G3" s="1434"/>
      <c r="H3" s="1434"/>
      <c r="I3" s="1434"/>
      <c r="J3" s="151" t="s">
        <v>299</v>
      </c>
      <c r="K3" s="151" t="s">
        <v>46</v>
      </c>
      <c r="L3" s="151" t="s">
        <v>50</v>
      </c>
      <c r="M3" s="151" t="s">
        <v>67</v>
      </c>
      <c r="N3" s="151" t="s">
        <v>73</v>
      </c>
      <c r="O3" s="1433"/>
      <c r="P3" s="1439"/>
      <c r="Q3" s="1440"/>
      <c r="R3" s="1434"/>
      <c r="S3" s="151" t="s">
        <v>616</v>
      </c>
      <c r="T3" s="151" t="s">
        <v>617</v>
      </c>
      <c r="U3" s="151" t="s">
        <v>618</v>
      </c>
      <c r="V3" s="151" t="s">
        <v>619</v>
      </c>
      <c r="W3" s="151" t="s">
        <v>620</v>
      </c>
      <c r="X3" s="151" t="s">
        <v>621</v>
      </c>
    </row>
    <row r="4" spans="3:24" s="150" customFormat="1" ht="30">
      <c r="C4" s="151"/>
      <c r="D4" s="1430" t="s">
        <v>881</v>
      </c>
      <c r="E4" s="1431"/>
      <c r="F4" s="152"/>
      <c r="G4" s="151" t="s">
        <v>623</v>
      </c>
      <c r="H4" s="153" t="s">
        <v>924</v>
      </c>
      <c r="I4" s="151" t="s">
        <v>923</v>
      </c>
      <c r="J4" s="151"/>
      <c r="K4" s="151"/>
      <c r="L4" s="151"/>
      <c r="M4" s="151"/>
      <c r="N4" s="151"/>
      <c r="O4" s="151"/>
      <c r="P4" s="151"/>
      <c r="Q4" s="151"/>
      <c r="R4" s="151"/>
      <c r="S4" s="151"/>
      <c r="T4" s="151"/>
      <c r="U4" s="151"/>
      <c r="V4" s="151"/>
      <c r="W4" s="151"/>
      <c r="X4" s="151"/>
    </row>
    <row r="5" spans="3:24">
      <c r="C5" s="130"/>
      <c r="D5" s="131"/>
      <c r="E5" s="132"/>
      <c r="F5" s="133"/>
      <c r="G5" s="134"/>
      <c r="H5" s="135"/>
      <c r="I5" s="135"/>
      <c r="J5" s="134"/>
      <c r="K5" s="134"/>
      <c r="L5" s="134"/>
      <c r="M5" s="134"/>
      <c r="N5" s="134"/>
      <c r="O5" s="135"/>
      <c r="P5" s="134"/>
      <c r="Q5" s="134"/>
      <c r="R5" s="135"/>
      <c r="S5" s="136"/>
      <c r="T5" s="136"/>
      <c r="U5" s="136"/>
      <c r="V5" s="136"/>
      <c r="W5" s="136"/>
      <c r="X5" s="136"/>
    </row>
    <row r="6" spans="3:24" ht="28.5">
      <c r="C6" s="128">
        <v>1</v>
      </c>
      <c r="D6" s="154" t="s">
        <v>925</v>
      </c>
      <c r="E6" s="137"/>
      <c r="F6" s="137"/>
      <c r="G6" s="137"/>
      <c r="H6" s="137"/>
      <c r="I6" s="137"/>
      <c r="J6" s="137"/>
      <c r="K6" s="68"/>
      <c r="L6" s="137"/>
      <c r="M6" s="137"/>
      <c r="N6" s="137"/>
      <c r="O6" s="137"/>
      <c r="P6" s="138"/>
      <c r="Q6" s="137"/>
      <c r="R6" s="137"/>
      <c r="S6" s="137"/>
      <c r="T6" s="137"/>
      <c r="U6" s="137"/>
      <c r="V6" s="137"/>
      <c r="W6" s="137"/>
      <c r="X6" s="137"/>
    </row>
    <row r="7" spans="3:24">
      <c r="C7" s="128"/>
      <c r="D7" s="63" t="s">
        <v>882</v>
      </c>
      <c r="E7" s="137" t="s">
        <v>627</v>
      </c>
      <c r="F7" s="137">
        <v>12</v>
      </c>
      <c r="G7" s="137">
        <v>1</v>
      </c>
      <c r="H7" s="137">
        <v>87</v>
      </c>
      <c r="I7" s="137">
        <v>2</v>
      </c>
      <c r="J7" s="137">
        <v>0.1</v>
      </c>
      <c r="K7" s="70">
        <v>9.2840000000000007</v>
      </c>
      <c r="L7" s="137">
        <v>0.1</v>
      </c>
      <c r="M7" s="137"/>
      <c r="N7" s="137"/>
      <c r="O7" s="137">
        <f>IF(F7=8,ROUND(SUM(J7:N7),2),IF(F7=10,ROUND(SUM(J7:N7),2),IF(F7=12,ROUND(SUM(J7:N7),2),IF(F7=16,ROUND(SUM(J7:N7),2),IF(F7=20,ROUND(SUM(J7:N7),2),IF(F7=25,ROUND(SUM(J7:N7),2),"-"))))))</f>
        <v>9.48</v>
      </c>
      <c r="P7" s="138">
        <f>IF(F7=8,F7*2*2,IF(F7=10,F7*2*2,IF(F7=12,F7*2*2,IF(F7=16,F7*2*2,IF(F7=20,F7*2*2,IF(F7=25,F7*2*2))))))/1000</f>
        <v>4.8000000000000001E-2</v>
      </c>
      <c r="Q7" s="137"/>
      <c r="R7" s="137">
        <f>IF(F7=8,O7-P7,IF(F7=10,O7-P7,IF(F7=12,O7-P7,IF(F7=16,O7-P7,IF(F7=20,O7-P7,IF(F7=25,O7-P7,"-"))))))</f>
        <v>9.4320000000000004</v>
      </c>
      <c r="S7" s="137" t="str">
        <f>IF(F7=8,ROUND(PRODUCT(G7:I7,R7),2),"-")</f>
        <v>-</v>
      </c>
      <c r="T7" s="137" t="str">
        <f>IF(F7=10,ROUND(PRODUCT(G7:I7,R7),2),"-")</f>
        <v>-</v>
      </c>
      <c r="U7" s="137">
        <f>IF(F7=12,ROUND(PRODUCT(G7:I7,R7),2),"-")</f>
        <v>1641.17</v>
      </c>
      <c r="V7" s="137" t="str">
        <f>IF(F7=16,ROUND(PRODUCT(G7:I7,R7),2),"-")</f>
        <v>-</v>
      </c>
      <c r="W7" s="137" t="str">
        <f>IF(F7=20,ROUND(PRODUCT(G7:I7,R7),2),"-")</f>
        <v>-</v>
      </c>
      <c r="X7" s="137" t="str">
        <f>IF(F7=25,ROUND(PRODUCT(G7:I7,R7),2),"-")</f>
        <v>-</v>
      </c>
    </row>
    <row r="8" spans="3:24">
      <c r="C8" s="128"/>
      <c r="D8" s="63" t="s">
        <v>883</v>
      </c>
      <c r="E8" s="137" t="s">
        <v>627</v>
      </c>
      <c r="F8" s="137">
        <v>12</v>
      </c>
      <c r="G8" s="137">
        <v>1</v>
      </c>
      <c r="H8" s="137">
        <v>62</v>
      </c>
      <c r="I8" s="137">
        <v>2</v>
      </c>
      <c r="J8" s="137">
        <v>0.1</v>
      </c>
      <c r="K8" s="70">
        <v>12.85</v>
      </c>
      <c r="L8" s="137">
        <v>0.1</v>
      </c>
      <c r="M8" s="137"/>
      <c r="N8" s="137"/>
      <c r="O8" s="137">
        <f>IF(F8=8,ROUND(SUM(J8:N8),2),IF(F8=10,ROUND(SUM(J8:N8),2),IF(F8=12,ROUND(SUM(J8:N8),2),IF(F8=16,ROUND(SUM(J8:N8),2),IF(F8=20,ROUND(SUM(J8:N8),2),IF(F8=25,ROUND(SUM(J8:N8),2),"-"))))))</f>
        <v>13.05</v>
      </c>
      <c r="P8" s="138">
        <f>IF(F8=8,F8*2*2,IF(F8=10,F8*2*2,IF(F8=12,F8*2*2,IF(F8=16,F8*2*2,IF(F8=20,F8*2*2,IF(F8=25,F8*2*2))))))/1000</f>
        <v>4.8000000000000001E-2</v>
      </c>
      <c r="Q8" s="137"/>
      <c r="R8" s="137">
        <f>IF(F8=8,O8-P8,IF(F8=10,O8-P8,IF(F8=12,O8-P8,IF(F8=16,O8-P8,IF(F8=20,O8-P8,IF(F8=25,O8-P8,"-"))))))</f>
        <v>13.002000000000001</v>
      </c>
      <c r="S8" s="137" t="str">
        <f>IF(F8=8,ROUND(PRODUCT(G8:I8,R8),2),"-")</f>
        <v>-</v>
      </c>
      <c r="T8" s="137" t="str">
        <f>IF(F8=10,ROUND(PRODUCT(G8:I8,R8),2),"-")</f>
        <v>-</v>
      </c>
      <c r="U8" s="137">
        <f>IF(F8=12,ROUND(PRODUCT(G8:I8,R8),2),"-")</f>
        <v>1612.25</v>
      </c>
      <c r="V8" s="137" t="str">
        <f>IF(F8=16,ROUND(PRODUCT(G8:I8,R8),2),"-")</f>
        <v>-</v>
      </c>
      <c r="W8" s="137" t="str">
        <f>IF(F8=20,ROUND(PRODUCT(G8:I8,R8),2),"-")</f>
        <v>-</v>
      </c>
      <c r="X8" s="137" t="str">
        <f>IF(F8=25,ROUND(PRODUCT(G8:I8,R8),2),"-")</f>
        <v>-</v>
      </c>
    </row>
    <row r="9" spans="3:24">
      <c r="C9" s="128"/>
      <c r="D9" s="63" t="s">
        <v>884</v>
      </c>
      <c r="E9" s="137" t="s">
        <v>627</v>
      </c>
      <c r="F9" s="137">
        <v>12</v>
      </c>
      <c r="G9" s="137">
        <v>1</v>
      </c>
      <c r="H9" s="137">
        <v>75</v>
      </c>
      <c r="I9" s="137">
        <v>1</v>
      </c>
      <c r="J9" s="137">
        <v>0.28000000000000003</v>
      </c>
      <c r="K9" s="68">
        <v>0.1</v>
      </c>
      <c r="L9" s="137">
        <v>0.55000000000000004</v>
      </c>
      <c r="M9" s="137">
        <v>0.1</v>
      </c>
      <c r="N9" s="137">
        <v>0.28000000000000003</v>
      </c>
      <c r="O9" s="137">
        <f>IF(F9=8,ROUND(SUM(J9:N9),2),IF(F9=10,ROUND(SUM(J9:N9),2),IF(F9=12,ROUND(SUM(J9:N9),2),IF(F9=16,ROUND(SUM(J9:N9),2),IF(F9=20,ROUND(SUM(J9:N9),2),IF(F9=25,ROUND(SUM(J9:N9),2),"-"))))))</f>
        <v>1.31</v>
      </c>
      <c r="P9" s="138">
        <f>IF(F9=8,F9*2*2,IF(F9=10,F9*2*2,IF(F9=12,F9*2*4,IF(F9=16,F9*2*2,IF(F9=20,F9*2*2,IF(F9=25,F9*2*2))))))/1000</f>
        <v>9.6000000000000002E-2</v>
      </c>
      <c r="Q9" s="137"/>
      <c r="R9" s="137">
        <f>IF(F9=8,O9-P9,IF(F9=10,O9-P9,IF(F9=12,O9-P9,IF(F9=16,O9-P9,IF(F9=20,O9-P9,IF(F9=25,O9-P9,"-"))))))</f>
        <v>1.214</v>
      </c>
      <c r="S9" s="137" t="str">
        <f>IF(F9=8,ROUND(PRODUCT(G9:I9,R9),2),"-")</f>
        <v>-</v>
      </c>
      <c r="T9" s="137" t="str">
        <f>IF(F9=10,ROUND(PRODUCT(G9:I9,R9),2),"-")</f>
        <v>-</v>
      </c>
      <c r="U9" s="137">
        <f>IF(F9=12,ROUND(PRODUCT(G9:I9,R9),2),"-")</f>
        <v>91.05</v>
      </c>
      <c r="V9" s="137" t="str">
        <f>IF(F9=16,ROUND(PRODUCT(G9:I9,R9),2),"-")</f>
        <v>-</v>
      </c>
      <c r="W9" s="137" t="str">
        <f>IF(F9=20,ROUND(PRODUCT(G9:I9,R9),2),"-")</f>
        <v>-</v>
      </c>
      <c r="X9" s="137" t="str">
        <f>IF(F9=25,ROUND(PRODUCT(G9:I9,R9),2),"-")</f>
        <v>-</v>
      </c>
    </row>
    <row r="10" spans="3:24">
      <c r="D10" s="146"/>
      <c r="E10" s="139"/>
      <c r="F10" s="137"/>
      <c r="G10" s="137"/>
      <c r="H10" s="137"/>
      <c r="I10" s="137"/>
      <c r="J10" s="140"/>
      <c r="K10" s="141"/>
      <c r="L10" s="141"/>
      <c r="M10" s="141"/>
      <c r="N10" s="141"/>
      <c r="O10" s="141"/>
      <c r="P10" s="141"/>
      <c r="Q10" s="141"/>
      <c r="R10" s="137" t="str">
        <f>IF(F10=8,O10-P10,IF(F10=10,O10-P10,IF(F10=12,O10-P10,IF(F10=16,O10-P10,IF(F10=20,O10-P10,IF(F10=25,O10-P10,"-"))))))</f>
        <v>-</v>
      </c>
      <c r="S10" s="137" t="str">
        <f>IF(F10=8,ROUND(PRODUCT(G10:I10,R10),2),"-")</f>
        <v>-</v>
      </c>
      <c r="T10" s="137" t="str">
        <f>IF(F10=10,ROUND(PRODUCT(G10:I10,R10),2),"-")</f>
        <v>-</v>
      </c>
      <c r="U10" s="137" t="str">
        <f>IF(F10=12,ROUND(PRODUCT(G10:I10,R10),2),"-")</f>
        <v>-</v>
      </c>
      <c r="V10" s="137" t="str">
        <f>IF(F10=16,ROUND(PRODUCT(G10:I10,R10),2),"-")</f>
        <v>-</v>
      </c>
      <c r="W10" s="137" t="str">
        <f>IF(F10=20,ROUND(PRODUCT(G10:I10,R10),2),"-")</f>
        <v>-</v>
      </c>
      <c r="X10" s="137" t="str">
        <f>IF(F10=25,ROUND(PRODUCT(G10:I10,R10),2),"-")</f>
        <v>-</v>
      </c>
    </row>
    <row r="11" spans="3:24">
      <c r="C11" s="142" t="s">
        <v>876</v>
      </c>
      <c r="D11" s="143"/>
      <c r="E11" s="144"/>
      <c r="F11" s="144"/>
      <c r="G11" s="143"/>
      <c r="H11" s="143"/>
      <c r="I11" s="143"/>
      <c r="J11" s="143"/>
      <c r="K11" s="145"/>
      <c r="L11" s="145"/>
      <c r="M11" s="145"/>
      <c r="N11" s="145"/>
      <c r="O11" s="145"/>
      <c r="P11" s="145"/>
      <c r="Q11" s="145"/>
      <c r="R11" s="145"/>
      <c r="S11" s="134">
        <f t="shared" ref="S11:X11" si="0">SUM(S6:S9)</f>
        <v>0</v>
      </c>
      <c r="T11" s="134">
        <f t="shared" si="0"/>
        <v>0</v>
      </c>
      <c r="U11" s="134">
        <f t="shared" si="0"/>
        <v>3344.4700000000003</v>
      </c>
      <c r="V11" s="134">
        <f t="shared" si="0"/>
        <v>0</v>
      </c>
      <c r="W11" s="134">
        <f t="shared" si="0"/>
        <v>0</v>
      </c>
      <c r="X11" s="134">
        <f t="shared" si="0"/>
        <v>0</v>
      </c>
    </row>
    <row r="12" spans="3:24">
      <c r="C12" s="142" t="s">
        <v>877</v>
      </c>
      <c r="D12" s="143"/>
      <c r="E12" s="143"/>
      <c r="F12" s="143"/>
      <c r="G12" s="143"/>
      <c r="H12" s="143"/>
      <c r="I12" s="143"/>
      <c r="J12" s="143"/>
      <c r="K12" s="146"/>
      <c r="L12" s="146"/>
      <c r="M12" s="146"/>
      <c r="N12" s="146"/>
      <c r="O12" s="146"/>
      <c r="P12" s="146"/>
      <c r="Q12" s="146"/>
      <c r="R12" s="146"/>
      <c r="S12" s="110">
        <f>ROUND(PI()/4*POWER(8/1000,2)*7850,3)</f>
        <v>0.39500000000000002</v>
      </c>
      <c r="T12" s="110">
        <f>ROUND(PI()/4*POWER(10/1000,2)*7850,3)</f>
        <v>0.61699999999999999</v>
      </c>
      <c r="U12" s="110">
        <f>ROUND(PI()/4*POWER(12/1000,2)*7850,3)</f>
        <v>0.88800000000000001</v>
      </c>
      <c r="V12" s="110">
        <f>ROUND(PI()/4*POWER(16/1000,2)*7850,2)</f>
        <v>1.58</v>
      </c>
      <c r="W12" s="110">
        <f>ROUND(PI()/4*POWER(20/1000,2)*7850,2)</f>
        <v>2.4700000000000002</v>
      </c>
      <c r="X12" s="110">
        <f>ROUND(PI()/4*POWER(25/1000,2)*7850,2)</f>
        <v>3.85</v>
      </c>
    </row>
    <row r="13" spans="3:24">
      <c r="C13" s="142" t="s">
        <v>878</v>
      </c>
      <c r="D13" s="143"/>
      <c r="E13" s="143"/>
      <c r="F13" s="143"/>
      <c r="G13" s="143"/>
      <c r="H13" s="143"/>
      <c r="I13" s="143"/>
      <c r="J13" s="143"/>
      <c r="K13" s="146"/>
      <c r="L13" s="146"/>
      <c r="M13" s="146"/>
      <c r="N13" s="146"/>
      <c r="O13" s="146"/>
      <c r="P13" s="146"/>
      <c r="Q13" s="146"/>
      <c r="R13" s="146"/>
      <c r="S13" s="111">
        <f t="shared" ref="S13:X13" si="1">PRODUCT(S11:S12)</f>
        <v>0</v>
      </c>
      <c r="T13" s="111">
        <f t="shared" si="1"/>
        <v>0</v>
      </c>
      <c r="U13" s="111">
        <f t="shared" si="1"/>
        <v>2969.8893600000001</v>
      </c>
      <c r="V13" s="111">
        <f t="shared" si="1"/>
        <v>0</v>
      </c>
      <c r="W13" s="111">
        <f t="shared" si="1"/>
        <v>0</v>
      </c>
      <c r="X13" s="111">
        <f t="shared" si="1"/>
        <v>0</v>
      </c>
    </row>
    <row r="14" spans="3:24">
      <c r="C14" s="142" t="s">
        <v>879</v>
      </c>
      <c r="D14" s="143"/>
      <c r="E14" s="143"/>
      <c r="F14" s="143"/>
      <c r="G14" s="143"/>
      <c r="H14" s="143"/>
      <c r="I14" s="143"/>
      <c r="J14" s="143"/>
      <c r="K14" s="146"/>
      <c r="L14" s="146"/>
      <c r="M14" s="146"/>
      <c r="N14" s="146"/>
      <c r="O14" s="146"/>
      <c r="P14" s="146"/>
      <c r="Q14" s="146"/>
      <c r="R14" s="146"/>
      <c r="S14" s="258">
        <f t="shared" ref="S14:X14" si="2">ROUND(S13/1000,3)</f>
        <v>0</v>
      </c>
      <c r="T14" s="258">
        <f t="shared" si="2"/>
        <v>0</v>
      </c>
      <c r="U14" s="258">
        <f t="shared" si="2"/>
        <v>2.97</v>
      </c>
      <c r="V14" s="258">
        <f t="shared" si="2"/>
        <v>0</v>
      </c>
      <c r="W14" s="258">
        <f t="shared" si="2"/>
        <v>0</v>
      </c>
      <c r="X14" s="258">
        <f t="shared" si="2"/>
        <v>0</v>
      </c>
    </row>
    <row r="15" spans="3:24">
      <c r="C15" s="1427" t="s">
        <v>880</v>
      </c>
      <c r="D15" s="1428"/>
      <c r="E15" s="1428"/>
      <c r="F15" s="1428"/>
      <c r="G15" s="1428"/>
      <c r="H15" s="1428"/>
      <c r="I15" s="1428"/>
      <c r="J15" s="1429"/>
      <c r="K15" s="146"/>
      <c r="L15" s="146"/>
      <c r="M15" s="146"/>
      <c r="N15" s="146"/>
      <c r="O15" s="146"/>
      <c r="P15" s="146"/>
      <c r="Q15" s="146"/>
      <c r="R15" s="146"/>
      <c r="S15" s="147">
        <f>+SUM(S14:X14)</f>
        <v>2.97</v>
      </c>
      <c r="T15" s="148"/>
      <c r="U15" s="148"/>
      <c r="V15" s="148"/>
      <c r="W15" s="148"/>
      <c r="X15" s="149"/>
    </row>
  </sheetData>
  <mergeCells count="13">
    <mergeCell ref="C15:J15"/>
    <mergeCell ref="D4:E4"/>
    <mergeCell ref="C1:X1"/>
    <mergeCell ref="C2:C3"/>
    <mergeCell ref="D2:D3"/>
    <mergeCell ref="E2:E3"/>
    <mergeCell ref="F2:F3"/>
    <mergeCell ref="G2:I3"/>
    <mergeCell ref="J2:N2"/>
    <mergeCell ref="O2:O3"/>
    <mergeCell ref="P2:Q3"/>
    <mergeCell ref="R2:R3"/>
    <mergeCell ref="S2:X2"/>
  </mergeCells>
  <pageMargins left="0.16" right="0.15" top="0.23" bottom="0.16" header="0.23" footer="0.16"/>
  <pageSetup scale="70" fitToWidth="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view="pageBreakPreview" zoomScaleSheetLayoutView="100" workbookViewId="0">
      <pane ySplit="3" topLeftCell="A4" activePane="bottomLeft" state="frozen"/>
      <selection pane="bottomLeft" activeCell="P63" sqref="P63:U65"/>
    </sheetView>
  </sheetViews>
  <sheetFormatPr defaultRowHeight="14.25"/>
  <cols>
    <col min="1" max="1" width="9.28515625" style="96" bestFit="1" customWidth="1"/>
    <col min="2" max="2" width="26.7109375" style="96" customWidth="1"/>
    <col min="3" max="3" width="4" style="96" bestFit="1" customWidth="1"/>
    <col min="4" max="4" width="6.5703125" style="96" bestFit="1" customWidth="1"/>
    <col min="5" max="5" width="7.85546875" style="96" bestFit="1" customWidth="1"/>
    <col min="6" max="6" width="5.28515625" style="96" customWidth="1"/>
    <col min="7" max="7" width="4.85546875" style="96" customWidth="1"/>
    <col min="8" max="8" width="7" style="96" bestFit="1" customWidth="1"/>
    <col min="9" max="9" width="4.7109375" style="96" customWidth="1"/>
    <col min="10" max="10" width="7.5703125" style="96" bestFit="1" customWidth="1"/>
    <col min="11" max="11" width="4.140625" style="96" customWidth="1"/>
    <col min="12" max="12" width="4.28515625" style="96" customWidth="1"/>
    <col min="13" max="13" width="3.42578125" style="96" customWidth="1"/>
    <col min="14" max="14" width="12.5703125" style="96" customWidth="1"/>
    <col min="15" max="15" width="9.28515625" style="96" bestFit="1" customWidth="1"/>
    <col min="16" max="16" width="9.85546875" style="96" customWidth="1"/>
    <col min="17" max="16384" width="9.140625" style="96"/>
  </cols>
  <sheetData>
    <row r="1" spans="1:21" ht="22.5">
      <c r="A1" s="1350" t="s">
        <v>1026</v>
      </c>
      <c r="B1" s="1350"/>
      <c r="C1" s="1350"/>
      <c r="D1" s="1350"/>
      <c r="E1" s="1350"/>
      <c r="F1" s="1350"/>
      <c r="G1" s="1350"/>
      <c r="H1" s="1350"/>
      <c r="I1" s="1350"/>
      <c r="J1" s="1350"/>
      <c r="K1" s="1350"/>
      <c r="L1" s="1350"/>
      <c r="M1" s="1350"/>
      <c r="N1" s="1350"/>
      <c r="O1" s="1350"/>
      <c r="P1" s="1350"/>
      <c r="Q1" s="1350"/>
      <c r="R1" s="1350"/>
      <c r="S1" s="1350"/>
      <c r="T1" s="1350"/>
      <c r="U1" s="1350"/>
    </row>
    <row r="2" spans="1:21" ht="15.75">
      <c r="A2" s="1351" t="s">
        <v>978</v>
      </c>
      <c r="B2" s="1352" t="s">
        <v>0</v>
      </c>
      <c r="C2" s="1351" t="s">
        <v>979</v>
      </c>
      <c r="D2" s="1351"/>
      <c r="E2" s="1351"/>
      <c r="F2" s="1351" t="s">
        <v>980</v>
      </c>
      <c r="G2" s="1351"/>
      <c r="H2" s="1351"/>
      <c r="I2" s="1351" t="s">
        <v>981</v>
      </c>
      <c r="J2" s="1351"/>
      <c r="K2" s="1351"/>
      <c r="L2" s="1351"/>
      <c r="M2" s="1351"/>
      <c r="N2" s="1353" t="s">
        <v>982</v>
      </c>
      <c r="O2" s="1354" t="s">
        <v>983</v>
      </c>
      <c r="P2" s="1351" t="s">
        <v>984</v>
      </c>
      <c r="Q2" s="1351"/>
      <c r="R2" s="1351"/>
      <c r="S2" s="1351"/>
      <c r="T2" s="1351"/>
      <c r="U2" s="1351"/>
    </row>
    <row r="3" spans="1:21" ht="98.25">
      <c r="A3" s="1351"/>
      <c r="B3" s="1352"/>
      <c r="C3" s="221" t="s">
        <v>985</v>
      </c>
      <c r="D3" s="221" t="s">
        <v>986</v>
      </c>
      <c r="E3" s="221" t="s">
        <v>987</v>
      </c>
      <c r="F3" s="221" t="s">
        <v>623</v>
      </c>
      <c r="G3" s="221" t="s">
        <v>988</v>
      </c>
      <c r="H3" s="222" t="s">
        <v>989</v>
      </c>
      <c r="I3" s="223" t="s">
        <v>299</v>
      </c>
      <c r="J3" s="223" t="s">
        <v>46</v>
      </c>
      <c r="K3" s="223" t="s">
        <v>50</v>
      </c>
      <c r="L3" s="223" t="s">
        <v>67</v>
      </c>
      <c r="M3" s="223" t="s">
        <v>73</v>
      </c>
      <c r="N3" s="1353"/>
      <c r="O3" s="1355"/>
      <c r="P3" s="223" t="s">
        <v>616</v>
      </c>
      <c r="Q3" s="224" t="s">
        <v>617</v>
      </c>
      <c r="R3" s="224" t="s">
        <v>618</v>
      </c>
      <c r="S3" s="224" t="s">
        <v>619</v>
      </c>
      <c r="T3" s="224" t="s">
        <v>620</v>
      </c>
      <c r="U3" s="224" t="s">
        <v>621</v>
      </c>
    </row>
    <row r="4" spans="1:21" ht="28.5">
      <c r="A4" s="225">
        <v>1</v>
      </c>
      <c r="B4" s="226" t="s">
        <v>990</v>
      </c>
      <c r="C4" s="227">
        <v>8</v>
      </c>
      <c r="D4" s="227" t="s">
        <v>977</v>
      </c>
      <c r="E4" s="228" t="s">
        <v>975</v>
      </c>
      <c r="F4" s="227">
        <v>1</v>
      </c>
      <c r="G4" s="227">
        <v>1</v>
      </c>
      <c r="H4" s="227">
        <v>27</v>
      </c>
      <c r="I4" s="227"/>
      <c r="J4" s="227">
        <v>4330</v>
      </c>
      <c r="K4" s="227"/>
      <c r="L4" s="227"/>
      <c r="M4" s="227"/>
      <c r="N4" s="229">
        <f>IF(E4="L Shape",(I4+J4)-(C4*2*1),IF(E4="U Shape",(I4+J4+K4)-(C4*2*2),IF(E4="Rectangle",(I4+J4+K4+L4)+(C4*10*2)-(C4*2*5),IF(E4="Straight",J4-(C4*0),IF(E4="Chair",(I4+J4+K4+L4+M4)-(C4*2*4),IF(E4="U2 Shape",(I4+J4+K4+L4+M4)-(C4*2*4),IF(E4="U3 Shape",(I4+J4+K4+L4)-(C4*2*3),IF(E4="Z Shape",(I4+J4+K4)-(C4*2*2),IF(E4="Triangle",(I4+J4+K4)+(C4*10*2)-(C4*2*4),IF(E4="Trapezoid2",(I4+I4+J4+K4+K4+L4)+(C4*10*2)-(C4*2*7),IF(E4="Trapezoid",(I4+J4+K4+L4)+(C4*10*2)-(C4*2*5),IF(E4="Link",J4+(C4*10*2),IF(E4="U5 Shape",(I4+J4+K4+L4)-(C4*2*3),IF(E4="DU2 Shape",(I4+J4+K4+L4)-(C4*2*4),IF(E4="SU Shape",(I4+J4+K4)-(C4*2*2),"-")))))))))))))))</f>
        <v>4330</v>
      </c>
      <c r="O4" s="229">
        <f>IF(N4&lt;12001,C4*49*0,IF(N4&lt;24001,C4*49*1,IF(N4&lt;36001,C4*49*2,IF(N4&lt;48001,C4*49*3,IF(N4&lt;60001,C4*49*4,IF(N4&lt;72001,(C4*49*5),IF(N4&lt;84001,(C4*49*6),IF(N4&lt;96001,(C4*49*7),IF(N4&lt;108001,(C4*49*8),IF(N4&lt;120001,(C4*49*9),IF(N4&lt;132001,(C4*49*10),IF(N4&lt;144001,(C4*49*11)))))))))))))</f>
        <v>0</v>
      </c>
      <c r="P4" s="230">
        <f>IF(C4=8,((N4+O4)*F4*G4*H4)/1000,"-")</f>
        <v>116.91</v>
      </c>
      <c r="Q4" s="230" t="str">
        <f>IF(C4=10,((N4+O4)*F4*G4*H4)/1000,"-")</f>
        <v>-</v>
      </c>
      <c r="R4" s="230" t="str">
        <f>IF(C4=12,((N4+O4)*F4*G4*H4)/1000,"-")</f>
        <v>-</v>
      </c>
      <c r="S4" s="230" t="str">
        <f>IF(C4=16,((N4+O4)*F4*G4*H4)/1000,"-")</f>
        <v>-</v>
      </c>
      <c r="T4" s="230" t="str">
        <f>IF(C4=20,((N4+O4)*F4*G4*H4)/1000,"-")</f>
        <v>-</v>
      </c>
      <c r="U4" s="230" t="str">
        <f>IF(C4=25,((N4+O4)*F4*G4*H4)/1000,"-")</f>
        <v>-</v>
      </c>
    </row>
    <row r="5" spans="1:21" ht="28.5">
      <c r="A5" s="225"/>
      <c r="B5" s="231" t="s">
        <v>991</v>
      </c>
      <c r="C5" s="227">
        <v>8</v>
      </c>
      <c r="D5" s="227" t="s">
        <v>977</v>
      </c>
      <c r="E5" s="228" t="s">
        <v>975</v>
      </c>
      <c r="F5" s="227">
        <v>1</v>
      </c>
      <c r="G5" s="227">
        <v>1</v>
      </c>
      <c r="H5" s="227">
        <v>18</v>
      </c>
      <c r="I5" s="227"/>
      <c r="J5" s="227">
        <v>6450</v>
      </c>
      <c r="K5" s="227"/>
      <c r="L5" s="227"/>
      <c r="M5" s="227"/>
      <c r="N5" s="229">
        <f t="shared" ref="N5:N61" si="0">IF(E5="L Shape",(I5+J5)-(C5*2*1),IF(E5="U Shape",(I5+J5+K5)-(C5*2*2),IF(E5="Rectangle",(I5+J5+K5+L5)+(C5*10*2)-(C5*2*5),IF(E5="Straight",J5-(C5*0),IF(E5="Chair",(I5+J5+K5+L5+M5)-(C5*2*4),IF(E5="U2 Shape",(I5+J5+K5+L5+M5)-(C5*2*4),IF(E5="U3 Shape",(I5+J5+K5+L5)-(C5*2*3),IF(E5="Z Shape",(I5+J5+K5)-(C5*2*2),IF(E5="Triangle",(I5+J5+K5)+(C5*10*2)-(C5*2*4),IF(E5="Trapezoid2",(I5+I5+J5+K5+K5+L5)+(C5*10*2)-(C5*2*7),IF(E5="Trapezoid",(I5+J5+K5+L5)+(C5*10*2)-(C5*2*5),IF(E5="Link",J5+(C5*10*2),IF(E5="U5 Shape",(I5+J5+K5+L5)-(C5*2*3),IF(E5="DU2 Shape",(I5+J5+K5+L5)-(C5*2*4),IF(E5="SU Shape",(I5+J5+K5)-(C5*2*2),"-")))))))))))))))</f>
        <v>6450</v>
      </c>
      <c r="O5" s="229">
        <f t="shared" ref="O5:O61" si="1">IF(N5&lt;12001,C5*49*0,IF(N5&lt;24001,C5*49*1,IF(N5&lt;36001,C5*49*2,IF(N5&lt;48001,C5*49*3,IF(N5&lt;60001,C5*49*4,IF(N5&lt;72001,(C5*49*5),IF(N5&lt;84001,(C5*49*6),IF(N5&lt;96001,(C5*49*7),IF(N5&lt;108001,(C5*49*8),IF(N5&lt;120001,(C5*49*9),IF(N5&lt;132001,(C5*49*10),IF(N5&lt;144001,(C5*49*11)))))))))))))</f>
        <v>0</v>
      </c>
      <c r="P5" s="230">
        <f t="shared" ref="P5:P61" si="2">IF(C5=8,((N5+O5)*F5*G5*H5)/1000,"-")</f>
        <v>116.1</v>
      </c>
      <c r="Q5" s="230" t="str">
        <f t="shared" ref="Q5:Q61" si="3">IF(C5=10,((N5+O5)*F5*G5*H5)/1000,"-")</f>
        <v>-</v>
      </c>
      <c r="R5" s="230" t="str">
        <f t="shared" ref="R5:R61" si="4">IF(C5=12,((N5+O5)*F5*G5*H5)/1000,"-")</f>
        <v>-</v>
      </c>
      <c r="S5" s="230" t="str">
        <f t="shared" ref="S5:S61" si="5">IF(C5=16,((N5+O5)*F5*G5*H5)/1000,"-")</f>
        <v>-</v>
      </c>
      <c r="T5" s="230" t="str">
        <f t="shared" ref="T5:T61" si="6">IF(C5=20,((N5+O5)*F5*G5*H5)/1000,"-")</f>
        <v>-</v>
      </c>
      <c r="U5" s="230" t="str">
        <f t="shared" ref="U5:U61" si="7">IF(C5=25,((N5+O5)*F5*G5*H5)/1000,"-")</f>
        <v>-</v>
      </c>
    </row>
    <row r="6" spans="1:21" ht="15.75">
      <c r="A6" s="225"/>
      <c r="B6" s="232"/>
      <c r="C6" s="227"/>
      <c r="D6" s="227"/>
      <c r="E6" s="228"/>
      <c r="F6" s="227"/>
      <c r="G6" s="227"/>
      <c r="H6" s="227"/>
      <c r="I6" s="227"/>
      <c r="J6" s="227"/>
      <c r="K6" s="227"/>
      <c r="L6" s="227"/>
      <c r="M6" s="227"/>
      <c r="N6" s="229" t="str">
        <f t="shared" si="0"/>
        <v>-</v>
      </c>
      <c r="O6" s="229" t="b">
        <f t="shared" si="1"/>
        <v>0</v>
      </c>
      <c r="P6" s="230" t="str">
        <f t="shared" si="2"/>
        <v>-</v>
      </c>
      <c r="Q6" s="230" t="str">
        <f t="shared" si="3"/>
        <v>-</v>
      </c>
      <c r="R6" s="230" t="str">
        <f t="shared" si="4"/>
        <v>-</v>
      </c>
      <c r="S6" s="230" t="str">
        <f t="shared" si="5"/>
        <v>-</v>
      </c>
      <c r="T6" s="230" t="str">
        <f t="shared" si="6"/>
        <v>-</v>
      </c>
      <c r="U6" s="230" t="str">
        <f t="shared" si="7"/>
        <v>-</v>
      </c>
    </row>
    <row r="7" spans="1:21" ht="15.75">
      <c r="A7" s="225"/>
      <c r="B7" s="232"/>
      <c r="C7" s="227"/>
      <c r="D7" s="227"/>
      <c r="E7" s="228"/>
      <c r="F7" s="233"/>
      <c r="G7" s="233"/>
      <c r="H7" s="233"/>
      <c r="I7" s="233"/>
      <c r="J7" s="233"/>
      <c r="K7" s="233"/>
      <c r="L7" s="233"/>
      <c r="M7" s="233"/>
      <c r="N7" s="229" t="str">
        <f t="shared" si="0"/>
        <v>-</v>
      </c>
      <c r="O7" s="229" t="b">
        <f t="shared" si="1"/>
        <v>0</v>
      </c>
      <c r="P7" s="230" t="str">
        <f t="shared" si="2"/>
        <v>-</v>
      </c>
      <c r="Q7" s="230" t="str">
        <f t="shared" si="3"/>
        <v>-</v>
      </c>
      <c r="R7" s="230" t="str">
        <f t="shared" si="4"/>
        <v>-</v>
      </c>
      <c r="S7" s="230" t="str">
        <f t="shared" si="5"/>
        <v>-</v>
      </c>
      <c r="T7" s="230" t="str">
        <f t="shared" si="6"/>
        <v>-</v>
      </c>
      <c r="U7" s="230" t="str">
        <f t="shared" si="7"/>
        <v>-</v>
      </c>
    </row>
    <row r="8" spans="1:21" ht="28.5">
      <c r="A8" s="225">
        <v>2</v>
      </c>
      <c r="B8" s="226" t="s">
        <v>992</v>
      </c>
      <c r="C8" s="227">
        <v>8</v>
      </c>
      <c r="D8" s="227" t="s">
        <v>977</v>
      </c>
      <c r="E8" s="228" t="s">
        <v>975</v>
      </c>
      <c r="F8" s="227">
        <v>1</v>
      </c>
      <c r="G8" s="227">
        <v>1</v>
      </c>
      <c r="H8" s="227">
        <v>155</v>
      </c>
      <c r="I8" s="233"/>
      <c r="J8" s="227">
        <v>4740</v>
      </c>
      <c r="K8" s="233"/>
      <c r="L8" s="233"/>
      <c r="M8" s="233"/>
      <c r="N8" s="229">
        <f t="shared" si="0"/>
        <v>4740</v>
      </c>
      <c r="O8" s="229">
        <f t="shared" si="1"/>
        <v>0</v>
      </c>
      <c r="P8" s="230">
        <f t="shared" si="2"/>
        <v>734.7</v>
      </c>
      <c r="Q8" s="230" t="str">
        <f t="shared" si="3"/>
        <v>-</v>
      </c>
      <c r="R8" s="230" t="str">
        <f t="shared" si="4"/>
        <v>-</v>
      </c>
      <c r="S8" s="230" t="str">
        <f t="shared" si="5"/>
        <v>-</v>
      </c>
      <c r="T8" s="230" t="str">
        <f t="shared" si="6"/>
        <v>-</v>
      </c>
      <c r="U8" s="230" t="str">
        <f t="shared" si="7"/>
        <v>-</v>
      </c>
    </row>
    <row r="9" spans="1:21" ht="28.5">
      <c r="A9" s="225"/>
      <c r="B9" s="231" t="s">
        <v>993</v>
      </c>
      <c r="C9" s="227">
        <v>8</v>
      </c>
      <c r="D9" s="227" t="s">
        <v>977</v>
      </c>
      <c r="E9" s="228" t="s">
        <v>975</v>
      </c>
      <c r="F9" s="227">
        <v>1</v>
      </c>
      <c r="G9" s="227">
        <v>1</v>
      </c>
      <c r="H9" s="227">
        <v>19</v>
      </c>
      <c r="I9" s="227"/>
      <c r="J9" s="227">
        <v>38650</v>
      </c>
      <c r="K9" s="227"/>
      <c r="L9" s="233"/>
      <c r="M9" s="233"/>
      <c r="N9" s="229">
        <f t="shared" si="0"/>
        <v>38650</v>
      </c>
      <c r="O9" s="229">
        <f t="shared" si="1"/>
        <v>1176</v>
      </c>
      <c r="P9" s="230">
        <f t="shared" si="2"/>
        <v>756.69399999999996</v>
      </c>
      <c r="Q9" s="230" t="str">
        <f t="shared" si="3"/>
        <v>-</v>
      </c>
      <c r="R9" s="230" t="str">
        <f t="shared" si="4"/>
        <v>-</v>
      </c>
      <c r="S9" s="230" t="str">
        <f t="shared" si="5"/>
        <v>-</v>
      </c>
      <c r="T9" s="230" t="str">
        <f t="shared" si="6"/>
        <v>-</v>
      </c>
      <c r="U9" s="230" t="str">
        <f t="shared" si="7"/>
        <v>-</v>
      </c>
    </row>
    <row r="10" spans="1:21" ht="15.75">
      <c r="A10" s="225"/>
      <c r="B10" s="232"/>
      <c r="C10" s="227"/>
      <c r="D10" s="227"/>
      <c r="E10" s="228"/>
      <c r="F10" s="227"/>
      <c r="G10" s="227"/>
      <c r="H10" s="227"/>
      <c r="I10" s="233"/>
      <c r="J10" s="233"/>
      <c r="K10" s="233"/>
      <c r="L10" s="233"/>
      <c r="M10" s="233"/>
      <c r="N10" s="229" t="str">
        <f t="shared" si="0"/>
        <v>-</v>
      </c>
      <c r="O10" s="229" t="b">
        <f t="shared" si="1"/>
        <v>0</v>
      </c>
      <c r="P10" s="230" t="str">
        <f t="shared" si="2"/>
        <v>-</v>
      </c>
      <c r="Q10" s="230" t="str">
        <f t="shared" si="3"/>
        <v>-</v>
      </c>
      <c r="R10" s="230" t="str">
        <f t="shared" si="4"/>
        <v>-</v>
      </c>
      <c r="S10" s="230" t="str">
        <f t="shared" si="5"/>
        <v>-</v>
      </c>
      <c r="T10" s="230" t="str">
        <f t="shared" si="6"/>
        <v>-</v>
      </c>
      <c r="U10" s="230" t="str">
        <f t="shared" si="7"/>
        <v>-</v>
      </c>
    </row>
    <row r="11" spans="1:21" ht="15.75">
      <c r="A11" s="225"/>
      <c r="B11" s="232"/>
      <c r="C11" s="227"/>
      <c r="D11" s="227"/>
      <c r="E11" s="228"/>
      <c r="F11" s="227"/>
      <c r="G11" s="227"/>
      <c r="H11" s="227"/>
      <c r="I11" s="227"/>
      <c r="J11" s="227"/>
      <c r="K11" s="227"/>
      <c r="L11" s="227"/>
      <c r="M11" s="227"/>
      <c r="N11" s="229" t="str">
        <f t="shared" si="0"/>
        <v>-</v>
      </c>
      <c r="O11" s="229" t="b">
        <f t="shared" si="1"/>
        <v>0</v>
      </c>
      <c r="P11" s="230" t="str">
        <f t="shared" si="2"/>
        <v>-</v>
      </c>
      <c r="Q11" s="230" t="str">
        <f t="shared" si="3"/>
        <v>-</v>
      </c>
      <c r="R11" s="230" t="str">
        <f t="shared" si="4"/>
        <v>-</v>
      </c>
      <c r="S11" s="230" t="str">
        <f t="shared" si="5"/>
        <v>-</v>
      </c>
      <c r="T11" s="230" t="str">
        <f t="shared" si="6"/>
        <v>-</v>
      </c>
      <c r="U11" s="230" t="str">
        <f t="shared" si="7"/>
        <v>-</v>
      </c>
    </row>
    <row r="12" spans="1:21" ht="28.5">
      <c r="A12" s="225">
        <v>3</v>
      </c>
      <c r="B12" s="234" t="s">
        <v>994</v>
      </c>
      <c r="C12" s="227">
        <v>8</v>
      </c>
      <c r="D12" s="227" t="s">
        <v>977</v>
      </c>
      <c r="E12" s="228" t="s">
        <v>975</v>
      </c>
      <c r="F12" s="227">
        <v>1</v>
      </c>
      <c r="G12" s="227">
        <v>1</v>
      </c>
      <c r="H12" s="227">
        <v>187</v>
      </c>
      <c r="I12" s="227"/>
      <c r="J12" s="227">
        <v>3955</v>
      </c>
      <c r="K12" s="227"/>
      <c r="L12" s="227"/>
      <c r="M12" s="227"/>
      <c r="N12" s="229">
        <f t="shared" si="0"/>
        <v>3955</v>
      </c>
      <c r="O12" s="229">
        <f t="shared" si="1"/>
        <v>0</v>
      </c>
      <c r="P12" s="230">
        <f t="shared" si="2"/>
        <v>739.58500000000004</v>
      </c>
      <c r="Q12" s="230" t="str">
        <f t="shared" si="3"/>
        <v>-</v>
      </c>
      <c r="R12" s="230" t="str">
        <f t="shared" si="4"/>
        <v>-</v>
      </c>
      <c r="S12" s="230" t="str">
        <f t="shared" si="5"/>
        <v>-</v>
      </c>
      <c r="T12" s="230" t="str">
        <f t="shared" si="6"/>
        <v>-</v>
      </c>
      <c r="U12" s="230" t="str">
        <f t="shared" si="7"/>
        <v>-</v>
      </c>
    </row>
    <row r="13" spans="1:21" ht="28.5">
      <c r="A13" s="225"/>
      <c r="B13" s="231" t="s">
        <v>995</v>
      </c>
      <c r="C13" s="227">
        <v>8</v>
      </c>
      <c r="D13" s="227" t="s">
        <v>977</v>
      </c>
      <c r="E13" s="228" t="s">
        <v>975</v>
      </c>
      <c r="F13" s="227">
        <v>1</v>
      </c>
      <c r="G13" s="227">
        <v>1</v>
      </c>
      <c r="H13" s="227">
        <v>17</v>
      </c>
      <c r="I13" s="227"/>
      <c r="J13" s="227">
        <v>46500</v>
      </c>
      <c r="K13" s="227"/>
      <c r="L13" s="227"/>
      <c r="M13" s="227"/>
      <c r="N13" s="229">
        <f t="shared" si="0"/>
        <v>46500</v>
      </c>
      <c r="O13" s="229">
        <f t="shared" si="1"/>
        <v>1176</v>
      </c>
      <c r="P13" s="230">
        <f t="shared" si="2"/>
        <v>810.49199999999996</v>
      </c>
      <c r="Q13" s="230" t="str">
        <f t="shared" si="3"/>
        <v>-</v>
      </c>
      <c r="R13" s="230" t="str">
        <f t="shared" si="4"/>
        <v>-</v>
      </c>
      <c r="S13" s="230" t="str">
        <f t="shared" si="5"/>
        <v>-</v>
      </c>
      <c r="T13" s="230" t="str">
        <f t="shared" si="6"/>
        <v>-</v>
      </c>
      <c r="U13" s="230" t="str">
        <f t="shared" si="7"/>
        <v>-</v>
      </c>
    </row>
    <row r="14" spans="1:21" ht="15.75">
      <c r="A14" s="225"/>
      <c r="B14" s="232"/>
      <c r="C14" s="227"/>
      <c r="D14" s="227"/>
      <c r="E14" s="228"/>
      <c r="F14" s="227"/>
      <c r="G14" s="227"/>
      <c r="H14" s="227"/>
      <c r="I14" s="227"/>
      <c r="J14" s="227"/>
      <c r="K14" s="227"/>
      <c r="L14" s="227"/>
      <c r="M14" s="227"/>
      <c r="N14" s="229" t="str">
        <f t="shared" si="0"/>
        <v>-</v>
      </c>
      <c r="O14" s="229" t="b">
        <f t="shared" si="1"/>
        <v>0</v>
      </c>
      <c r="P14" s="230" t="str">
        <f t="shared" si="2"/>
        <v>-</v>
      </c>
      <c r="Q14" s="230" t="str">
        <f t="shared" si="3"/>
        <v>-</v>
      </c>
      <c r="R14" s="230" t="str">
        <f t="shared" si="4"/>
        <v>-</v>
      </c>
      <c r="S14" s="230" t="str">
        <f t="shared" si="5"/>
        <v>-</v>
      </c>
      <c r="T14" s="230" t="str">
        <f t="shared" si="6"/>
        <v>-</v>
      </c>
      <c r="U14" s="230" t="str">
        <f t="shared" si="7"/>
        <v>-</v>
      </c>
    </row>
    <row r="15" spans="1:21" ht="28.5">
      <c r="A15" s="225">
        <v>4</v>
      </c>
      <c r="B15" s="234" t="s">
        <v>996</v>
      </c>
      <c r="C15" s="227">
        <v>8</v>
      </c>
      <c r="D15" s="227" t="s">
        <v>977</v>
      </c>
      <c r="E15" s="228" t="s">
        <v>975</v>
      </c>
      <c r="F15" s="227">
        <v>1</v>
      </c>
      <c r="G15" s="227">
        <v>1</v>
      </c>
      <c r="H15" s="227">
        <v>224</v>
      </c>
      <c r="I15" s="227"/>
      <c r="J15" s="227">
        <v>3190</v>
      </c>
      <c r="K15" s="227"/>
      <c r="L15" s="227"/>
      <c r="M15" s="227"/>
      <c r="N15" s="229">
        <f t="shared" si="0"/>
        <v>3190</v>
      </c>
      <c r="O15" s="229">
        <f t="shared" si="1"/>
        <v>0</v>
      </c>
      <c r="P15" s="230">
        <f t="shared" si="2"/>
        <v>714.56</v>
      </c>
      <c r="Q15" s="230" t="str">
        <f t="shared" si="3"/>
        <v>-</v>
      </c>
      <c r="R15" s="230" t="str">
        <f t="shared" si="4"/>
        <v>-</v>
      </c>
      <c r="S15" s="230" t="str">
        <f t="shared" si="5"/>
        <v>-</v>
      </c>
      <c r="T15" s="230" t="str">
        <f t="shared" si="6"/>
        <v>-</v>
      </c>
      <c r="U15" s="230" t="str">
        <f t="shared" si="7"/>
        <v>-</v>
      </c>
    </row>
    <row r="16" spans="1:21" ht="28.5">
      <c r="A16" s="225"/>
      <c r="B16" s="231" t="s">
        <v>997</v>
      </c>
      <c r="C16" s="227">
        <v>8</v>
      </c>
      <c r="D16" s="227" t="s">
        <v>977</v>
      </c>
      <c r="E16" s="228" t="s">
        <v>975</v>
      </c>
      <c r="F16" s="227">
        <v>1</v>
      </c>
      <c r="G16" s="227">
        <v>1</v>
      </c>
      <c r="H16" s="227">
        <v>14</v>
      </c>
      <c r="I16" s="227"/>
      <c r="J16" s="227">
        <v>55780</v>
      </c>
      <c r="K16" s="227"/>
      <c r="L16" s="227"/>
      <c r="M16" s="227"/>
      <c r="N16" s="229">
        <f t="shared" si="0"/>
        <v>55780</v>
      </c>
      <c r="O16" s="229">
        <f t="shared" si="1"/>
        <v>1568</v>
      </c>
      <c r="P16" s="230">
        <f t="shared" si="2"/>
        <v>802.87199999999996</v>
      </c>
      <c r="Q16" s="230" t="str">
        <f t="shared" si="3"/>
        <v>-</v>
      </c>
      <c r="R16" s="230" t="str">
        <f t="shared" si="4"/>
        <v>-</v>
      </c>
      <c r="S16" s="230" t="str">
        <f t="shared" si="5"/>
        <v>-</v>
      </c>
      <c r="T16" s="230" t="str">
        <f t="shared" si="6"/>
        <v>-</v>
      </c>
      <c r="U16" s="230" t="str">
        <f t="shared" si="7"/>
        <v>-</v>
      </c>
    </row>
    <row r="17" spans="1:21" ht="15.75">
      <c r="A17" s="225"/>
      <c r="B17" s="232"/>
      <c r="C17" s="227"/>
      <c r="D17" s="227"/>
      <c r="E17" s="228"/>
      <c r="F17" s="227"/>
      <c r="G17" s="227"/>
      <c r="H17" s="227"/>
      <c r="I17" s="227"/>
      <c r="J17" s="227"/>
      <c r="K17" s="227"/>
      <c r="L17" s="227"/>
      <c r="M17" s="227"/>
      <c r="N17" s="229" t="str">
        <f t="shared" si="0"/>
        <v>-</v>
      </c>
      <c r="O17" s="229" t="b">
        <f t="shared" si="1"/>
        <v>0</v>
      </c>
      <c r="P17" s="230" t="str">
        <f t="shared" si="2"/>
        <v>-</v>
      </c>
      <c r="Q17" s="230" t="str">
        <f t="shared" si="3"/>
        <v>-</v>
      </c>
      <c r="R17" s="230" t="str">
        <f t="shared" si="4"/>
        <v>-</v>
      </c>
      <c r="S17" s="230" t="str">
        <f t="shared" si="5"/>
        <v>-</v>
      </c>
      <c r="T17" s="230" t="str">
        <f t="shared" si="6"/>
        <v>-</v>
      </c>
      <c r="U17" s="230" t="str">
        <f t="shared" si="7"/>
        <v>-</v>
      </c>
    </row>
    <row r="18" spans="1:21" ht="28.5">
      <c r="A18" s="225">
        <v>5</v>
      </c>
      <c r="B18" s="234" t="s">
        <v>998</v>
      </c>
      <c r="C18" s="227">
        <v>8</v>
      </c>
      <c r="D18" s="227" t="s">
        <v>977</v>
      </c>
      <c r="E18" s="228" t="s">
        <v>975</v>
      </c>
      <c r="F18" s="227">
        <v>1</v>
      </c>
      <c r="G18" s="227">
        <v>1</v>
      </c>
      <c r="H18" s="227">
        <v>26</v>
      </c>
      <c r="I18" s="227"/>
      <c r="J18" s="227">
        <v>1350</v>
      </c>
      <c r="K18" s="227"/>
      <c r="L18" s="227"/>
      <c r="M18" s="227"/>
      <c r="N18" s="229">
        <f t="shared" si="0"/>
        <v>1350</v>
      </c>
      <c r="O18" s="229">
        <f t="shared" si="1"/>
        <v>0</v>
      </c>
      <c r="P18" s="230">
        <f t="shared" si="2"/>
        <v>35.1</v>
      </c>
      <c r="Q18" s="230" t="str">
        <f t="shared" si="3"/>
        <v>-</v>
      </c>
      <c r="R18" s="230" t="str">
        <f t="shared" si="4"/>
        <v>-</v>
      </c>
      <c r="S18" s="230" t="str">
        <f t="shared" si="5"/>
        <v>-</v>
      </c>
      <c r="T18" s="230" t="str">
        <f t="shared" si="6"/>
        <v>-</v>
      </c>
      <c r="U18" s="230" t="str">
        <f t="shared" si="7"/>
        <v>-</v>
      </c>
    </row>
    <row r="19" spans="1:21" ht="28.5">
      <c r="A19" s="225"/>
      <c r="B19" s="231" t="s">
        <v>991</v>
      </c>
      <c r="C19" s="227">
        <v>8</v>
      </c>
      <c r="D19" s="227" t="s">
        <v>976</v>
      </c>
      <c r="E19" s="228" t="s">
        <v>975</v>
      </c>
      <c r="F19" s="227">
        <v>1</v>
      </c>
      <c r="G19" s="227">
        <v>1</v>
      </c>
      <c r="H19" s="227">
        <v>6</v>
      </c>
      <c r="I19" s="227"/>
      <c r="J19" s="227">
        <v>6450</v>
      </c>
      <c r="K19" s="227"/>
      <c r="L19" s="227"/>
      <c r="M19" s="227"/>
      <c r="N19" s="229">
        <f t="shared" si="0"/>
        <v>6450</v>
      </c>
      <c r="O19" s="229">
        <f t="shared" si="1"/>
        <v>0</v>
      </c>
      <c r="P19" s="230">
        <f t="shared" si="2"/>
        <v>38.700000000000003</v>
      </c>
      <c r="Q19" s="230" t="str">
        <f t="shared" si="3"/>
        <v>-</v>
      </c>
      <c r="R19" s="230" t="str">
        <f t="shared" si="4"/>
        <v>-</v>
      </c>
      <c r="S19" s="230" t="str">
        <f t="shared" si="5"/>
        <v>-</v>
      </c>
      <c r="T19" s="230" t="str">
        <f t="shared" si="6"/>
        <v>-</v>
      </c>
      <c r="U19" s="230" t="str">
        <f t="shared" si="7"/>
        <v>-</v>
      </c>
    </row>
    <row r="20" spans="1:21" ht="15.75">
      <c r="A20" s="225"/>
      <c r="B20" s="232"/>
      <c r="C20" s="227"/>
      <c r="D20" s="227"/>
      <c r="E20" s="228"/>
      <c r="F20" s="227"/>
      <c r="G20" s="227"/>
      <c r="H20" s="227"/>
      <c r="I20" s="227"/>
      <c r="J20" s="227"/>
      <c r="K20" s="227"/>
      <c r="L20" s="227"/>
      <c r="M20" s="227"/>
      <c r="N20" s="229" t="str">
        <f t="shared" si="0"/>
        <v>-</v>
      </c>
      <c r="O20" s="229" t="b">
        <f t="shared" si="1"/>
        <v>0</v>
      </c>
      <c r="P20" s="230" t="str">
        <f t="shared" si="2"/>
        <v>-</v>
      </c>
      <c r="Q20" s="230" t="str">
        <f t="shared" si="3"/>
        <v>-</v>
      </c>
      <c r="R20" s="230" t="str">
        <f t="shared" si="4"/>
        <v>-</v>
      </c>
      <c r="S20" s="230" t="str">
        <f t="shared" si="5"/>
        <v>-</v>
      </c>
      <c r="T20" s="230" t="str">
        <f t="shared" si="6"/>
        <v>-</v>
      </c>
      <c r="U20" s="230" t="str">
        <f t="shared" si="7"/>
        <v>-</v>
      </c>
    </row>
    <row r="21" spans="1:21" ht="28.5">
      <c r="A21" s="225">
        <v>6</v>
      </c>
      <c r="B21" s="234" t="s">
        <v>999</v>
      </c>
      <c r="C21" s="227">
        <v>8</v>
      </c>
      <c r="D21" s="227" t="s">
        <v>977</v>
      </c>
      <c r="E21" s="228" t="s">
        <v>975</v>
      </c>
      <c r="F21" s="227">
        <v>1</v>
      </c>
      <c r="G21" s="227">
        <v>2</v>
      </c>
      <c r="H21" s="227">
        <v>48</v>
      </c>
      <c r="I21" s="227"/>
      <c r="J21" s="227">
        <v>19325</v>
      </c>
      <c r="K21" s="227"/>
      <c r="L21" s="227"/>
      <c r="M21" s="227"/>
      <c r="N21" s="229">
        <f t="shared" si="0"/>
        <v>19325</v>
      </c>
      <c r="O21" s="229">
        <f t="shared" si="1"/>
        <v>392</v>
      </c>
      <c r="P21" s="230">
        <f t="shared" si="2"/>
        <v>1892.8320000000001</v>
      </c>
      <c r="Q21" s="230" t="str">
        <f t="shared" si="3"/>
        <v>-</v>
      </c>
      <c r="R21" s="230" t="str">
        <f t="shared" si="4"/>
        <v>-</v>
      </c>
      <c r="S21" s="230" t="str">
        <f t="shared" si="5"/>
        <v>-</v>
      </c>
      <c r="T21" s="230" t="str">
        <f t="shared" si="6"/>
        <v>-</v>
      </c>
      <c r="U21" s="230" t="str">
        <f t="shared" si="7"/>
        <v>-</v>
      </c>
    </row>
    <row r="22" spans="1:21" ht="28.5">
      <c r="A22" s="225"/>
      <c r="B22" s="231" t="s">
        <v>1000</v>
      </c>
      <c r="C22" s="227">
        <v>8</v>
      </c>
      <c r="D22" s="227" t="s">
        <v>977</v>
      </c>
      <c r="E22" s="228" t="s">
        <v>975</v>
      </c>
      <c r="F22" s="227">
        <v>1</v>
      </c>
      <c r="G22" s="227">
        <v>2</v>
      </c>
      <c r="H22" s="227">
        <v>78</v>
      </c>
      <c r="I22" s="227"/>
      <c r="J22" s="227">
        <v>11950</v>
      </c>
      <c r="K22" s="227"/>
      <c r="L22" s="227"/>
      <c r="M22" s="227"/>
      <c r="N22" s="229">
        <f t="shared" si="0"/>
        <v>11950</v>
      </c>
      <c r="O22" s="229">
        <f t="shared" si="1"/>
        <v>0</v>
      </c>
      <c r="P22" s="230">
        <f t="shared" si="2"/>
        <v>1864.2</v>
      </c>
      <c r="Q22" s="230" t="str">
        <f t="shared" si="3"/>
        <v>-</v>
      </c>
      <c r="R22" s="230" t="str">
        <f t="shared" si="4"/>
        <v>-</v>
      </c>
      <c r="S22" s="230" t="str">
        <f t="shared" si="5"/>
        <v>-</v>
      </c>
      <c r="T22" s="230" t="str">
        <f t="shared" si="6"/>
        <v>-</v>
      </c>
      <c r="U22" s="230" t="str">
        <f t="shared" si="7"/>
        <v>-</v>
      </c>
    </row>
    <row r="23" spans="1:21" ht="15.75">
      <c r="A23" s="225"/>
      <c r="B23" s="232"/>
      <c r="C23" s="227"/>
      <c r="D23" s="227"/>
      <c r="E23" s="228"/>
      <c r="F23" s="227"/>
      <c r="G23" s="227"/>
      <c r="H23" s="227"/>
      <c r="I23" s="227"/>
      <c r="J23" s="227"/>
      <c r="K23" s="227"/>
      <c r="L23" s="227"/>
      <c r="M23" s="227"/>
      <c r="N23" s="229" t="str">
        <f t="shared" si="0"/>
        <v>-</v>
      </c>
      <c r="O23" s="229" t="b">
        <f t="shared" si="1"/>
        <v>0</v>
      </c>
      <c r="P23" s="230" t="str">
        <f t="shared" si="2"/>
        <v>-</v>
      </c>
      <c r="Q23" s="230" t="str">
        <f t="shared" si="3"/>
        <v>-</v>
      </c>
      <c r="R23" s="230" t="str">
        <f t="shared" si="4"/>
        <v>-</v>
      </c>
      <c r="S23" s="230" t="str">
        <f t="shared" si="5"/>
        <v>-</v>
      </c>
      <c r="T23" s="230" t="str">
        <f t="shared" si="6"/>
        <v>-</v>
      </c>
      <c r="U23" s="230" t="str">
        <f t="shared" si="7"/>
        <v>-</v>
      </c>
    </row>
    <row r="24" spans="1:21" ht="28.5">
      <c r="A24" s="225">
        <v>7</v>
      </c>
      <c r="B24" s="234" t="s">
        <v>1001</v>
      </c>
      <c r="C24" s="227">
        <v>8</v>
      </c>
      <c r="D24" s="227" t="s">
        <v>977</v>
      </c>
      <c r="E24" s="228" t="s">
        <v>975</v>
      </c>
      <c r="F24" s="227">
        <v>1</v>
      </c>
      <c r="G24" s="227">
        <v>2</v>
      </c>
      <c r="H24" s="227">
        <v>44</v>
      </c>
      <c r="I24" s="227"/>
      <c r="J24" s="227">
        <v>12638</v>
      </c>
      <c r="K24" s="227"/>
      <c r="L24" s="227"/>
      <c r="M24" s="227"/>
      <c r="N24" s="229">
        <f t="shared" si="0"/>
        <v>12638</v>
      </c>
      <c r="O24" s="229">
        <f t="shared" si="1"/>
        <v>392</v>
      </c>
      <c r="P24" s="230">
        <f t="shared" si="2"/>
        <v>1146.6400000000001</v>
      </c>
      <c r="Q24" s="230" t="str">
        <f t="shared" si="3"/>
        <v>-</v>
      </c>
      <c r="R24" s="230" t="str">
        <f t="shared" si="4"/>
        <v>-</v>
      </c>
      <c r="S24" s="230" t="str">
        <f t="shared" si="5"/>
        <v>-</v>
      </c>
      <c r="T24" s="230" t="str">
        <f t="shared" si="6"/>
        <v>-</v>
      </c>
      <c r="U24" s="230" t="str">
        <f t="shared" si="7"/>
        <v>-</v>
      </c>
    </row>
    <row r="25" spans="1:21" ht="28.5">
      <c r="A25" s="225"/>
      <c r="B25" s="232" t="s">
        <v>1002</v>
      </c>
      <c r="C25" s="227">
        <v>8</v>
      </c>
      <c r="D25" s="227" t="s">
        <v>977</v>
      </c>
      <c r="E25" s="228" t="s">
        <v>975</v>
      </c>
      <c r="F25" s="227">
        <v>1</v>
      </c>
      <c r="G25" s="227">
        <v>2</v>
      </c>
      <c r="H25" s="227">
        <v>51</v>
      </c>
      <c r="I25" s="227"/>
      <c r="J25" s="227">
        <v>10873</v>
      </c>
      <c r="K25" s="227"/>
      <c r="L25" s="227"/>
      <c r="M25" s="227"/>
      <c r="N25" s="229">
        <f t="shared" si="0"/>
        <v>10873</v>
      </c>
      <c r="O25" s="229">
        <f t="shared" si="1"/>
        <v>0</v>
      </c>
      <c r="P25" s="230">
        <f t="shared" si="2"/>
        <v>1109.046</v>
      </c>
      <c r="Q25" s="230" t="str">
        <f t="shared" si="3"/>
        <v>-</v>
      </c>
      <c r="R25" s="230" t="str">
        <f t="shared" si="4"/>
        <v>-</v>
      </c>
      <c r="S25" s="230" t="str">
        <f t="shared" si="5"/>
        <v>-</v>
      </c>
      <c r="T25" s="230" t="str">
        <f t="shared" si="6"/>
        <v>-</v>
      </c>
      <c r="U25" s="230" t="str">
        <f t="shared" si="7"/>
        <v>-</v>
      </c>
    </row>
    <row r="26" spans="1:21" ht="15.75">
      <c r="A26" s="225"/>
      <c r="B26" s="232"/>
      <c r="C26" s="227"/>
      <c r="D26" s="227"/>
      <c r="E26" s="228"/>
      <c r="F26" s="227"/>
      <c r="G26" s="227"/>
      <c r="H26" s="227"/>
      <c r="I26" s="227"/>
      <c r="J26" s="227"/>
      <c r="K26" s="227"/>
      <c r="L26" s="227"/>
      <c r="M26" s="227"/>
      <c r="N26" s="229" t="str">
        <f t="shared" si="0"/>
        <v>-</v>
      </c>
      <c r="O26" s="229" t="b">
        <f t="shared" si="1"/>
        <v>0</v>
      </c>
      <c r="P26" s="230" t="str">
        <f t="shared" si="2"/>
        <v>-</v>
      </c>
      <c r="Q26" s="230" t="str">
        <f t="shared" si="3"/>
        <v>-</v>
      </c>
      <c r="R26" s="230" t="str">
        <f t="shared" si="4"/>
        <v>-</v>
      </c>
      <c r="S26" s="230" t="str">
        <f t="shared" si="5"/>
        <v>-</v>
      </c>
      <c r="T26" s="230" t="str">
        <f t="shared" si="6"/>
        <v>-</v>
      </c>
      <c r="U26" s="230" t="str">
        <f t="shared" si="7"/>
        <v>-</v>
      </c>
    </row>
    <row r="27" spans="1:21" ht="15.75">
      <c r="A27" s="225"/>
      <c r="B27" s="232"/>
      <c r="C27" s="227"/>
      <c r="D27" s="227"/>
      <c r="E27" s="228"/>
      <c r="F27" s="227"/>
      <c r="G27" s="227"/>
      <c r="H27" s="227"/>
      <c r="I27" s="227"/>
      <c r="J27" s="227"/>
      <c r="K27" s="227"/>
      <c r="L27" s="227"/>
      <c r="M27" s="227"/>
      <c r="N27" s="229" t="str">
        <f t="shared" si="0"/>
        <v>-</v>
      </c>
      <c r="O27" s="229" t="b">
        <f t="shared" si="1"/>
        <v>0</v>
      </c>
      <c r="P27" s="230" t="str">
        <f t="shared" si="2"/>
        <v>-</v>
      </c>
      <c r="Q27" s="230" t="str">
        <f t="shared" si="3"/>
        <v>-</v>
      </c>
      <c r="R27" s="230" t="str">
        <f t="shared" si="4"/>
        <v>-</v>
      </c>
      <c r="S27" s="230" t="str">
        <f t="shared" si="5"/>
        <v>-</v>
      </c>
      <c r="T27" s="230" t="str">
        <f t="shared" si="6"/>
        <v>-</v>
      </c>
      <c r="U27" s="230" t="str">
        <f t="shared" si="7"/>
        <v>-</v>
      </c>
    </row>
    <row r="28" spans="1:21" ht="28.5">
      <c r="A28" s="225">
        <v>8</v>
      </c>
      <c r="B28" s="234" t="s">
        <v>1003</v>
      </c>
      <c r="C28" s="227">
        <v>8</v>
      </c>
      <c r="D28" s="227" t="s">
        <v>977</v>
      </c>
      <c r="E28" s="228" t="s">
        <v>975</v>
      </c>
      <c r="F28" s="233">
        <v>1</v>
      </c>
      <c r="G28" s="233">
        <v>1</v>
      </c>
      <c r="H28" s="227">
        <v>157</v>
      </c>
      <c r="I28" s="227"/>
      <c r="J28" s="227">
        <v>11950</v>
      </c>
      <c r="K28" s="227"/>
      <c r="L28" s="227"/>
      <c r="M28" s="227"/>
      <c r="N28" s="229">
        <f t="shared" si="0"/>
        <v>11950</v>
      </c>
      <c r="O28" s="229">
        <f t="shared" si="1"/>
        <v>0</v>
      </c>
      <c r="P28" s="230">
        <f t="shared" si="2"/>
        <v>1876.15</v>
      </c>
      <c r="Q28" s="230" t="str">
        <f t="shared" si="3"/>
        <v>-</v>
      </c>
      <c r="R28" s="230" t="str">
        <f t="shared" si="4"/>
        <v>-</v>
      </c>
      <c r="S28" s="230" t="str">
        <f t="shared" si="5"/>
        <v>-</v>
      </c>
      <c r="T28" s="230" t="str">
        <f t="shared" si="6"/>
        <v>-</v>
      </c>
      <c r="U28" s="230" t="str">
        <f t="shared" si="7"/>
        <v>-</v>
      </c>
    </row>
    <row r="29" spans="1:21" ht="28.5">
      <c r="A29" s="225"/>
      <c r="B29" s="232" t="s">
        <v>993</v>
      </c>
      <c r="C29" s="227">
        <v>8</v>
      </c>
      <c r="D29" s="227" t="s">
        <v>977</v>
      </c>
      <c r="E29" s="228" t="s">
        <v>975</v>
      </c>
      <c r="F29" s="227">
        <v>1</v>
      </c>
      <c r="G29" s="227">
        <v>1</v>
      </c>
      <c r="H29" s="227">
        <v>49</v>
      </c>
      <c r="I29" s="227"/>
      <c r="J29" s="227">
        <v>38900</v>
      </c>
      <c r="K29" s="227"/>
      <c r="L29" s="227"/>
      <c r="M29" s="227"/>
      <c r="N29" s="229">
        <f t="shared" si="0"/>
        <v>38900</v>
      </c>
      <c r="O29" s="229">
        <f t="shared" si="1"/>
        <v>1176</v>
      </c>
      <c r="P29" s="230">
        <f t="shared" si="2"/>
        <v>1963.7239999999999</v>
      </c>
      <c r="Q29" s="230" t="str">
        <f t="shared" si="3"/>
        <v>-</v>
      </c>
      <c r="R29" s="230" t="str">
        <f t="shared" si="4"/>
        <v>-</v>
      </c>
      <c r="S29" s="230" t="str">
        <f t="shared" si="5"/>
        <v>-</v>
      </c>
      <c r="T29" s="230" t="str">
        <f t="shared" si="6"/>
        <v>-</v>
      </c>
      <c r="U29" s="230" t="str">
        <f t="shared" si="7"/>
        <v>-</v>
      </c>
    </row>
    <row r="30" spans="1:21" ht="15.75">
      <c r="A30" s="225"/>
      <c r="B30" s="232"/>
      <c r="C30" s="227"/>
      <c r="D30" s="227"/>
      <c r="E30" s="228"/>
      <c r="F30" s="227"/>
      <c r="G30" s="227"/>
      <c r="H30" s="227"/>
      <c r="I30" s="227"/>
      <c r="J30" s="227"/>
      <c r="K30" s="227"/>
      <c r="L30" s="227"/>
      <c r="M30" s="227"/>
      <c r="N30" s="229" t="str">
        <f t="shared" si="0"/>
        <v>-</v>
      </c>
      <c r="O30" s="229" t="b">
        <f t="shared" si="1"/>
        <v>0</v>
      </c>
      <c r="P30" s="230" t="str">
        <f t="shared" si="2"/>
        <v>-</v>
      </c>
      <c r="Q30" s="230" t="str">
        <f t="shared" si="3"/>
        <v>-</v>
      </c>
      <c r="R30" s="230" t="str">
        <f t="shared" si="4"/>
        <v>-</v>
      </c>
      <c r="S30" s="230" t="str">
        <f t="shared" si="5"/>
        <v>-</v>
      </c>
      <c r="T30" s="230" t="str">
        <f t="shared" si="6"/>
        <v>-</v>
      </c>
      <c r="U30" s="230" t="str">
        <f t="shared" si="7"/>
        <v>-</v>
      </c>
    </row>
    <row r="31" spans="1:21" ht="28.5">
      <c r="A31" s="225">
        <v>9</v>
      </c>
      <c r="B31" s="234" t="s">
        <v>1004</v>
      </c>
      <c r="C31" s="227">
        <v>8</v>
      </c>
      <c r="D31" s="227" t="s">
        <v>977</v>
      </c>
      <c r="E31" s="228" t="s">
        <v>975</v>
      </c>
      <c r="F31" s="227">
        <v>1</v>
      </c>
      <c r="G31" s="227">
        <v>1</v>
      </c>
      <c r="H31" s="227">
        <v>21</v>
      </c>
      <c r="I31" s="227"/>
      <c r="J31" s="227">
        <v>3500</v>
      </c>
      <c r="K31" s="227"/>
      <c r="L31" s="227"/>
      <c r="M31" s="227"/>
      <c r="N31" s="229">
        <f t="shared" si="0"/>
        <v>3500</v>
      </c>
      <c r="O31" s="229">
        <f t="shared" si="1"/>
        <v>0</v>
      </c>
      <c r="P31" s="230">
        <f t="shared" si="2"/>
        <v>73.5</v>
      </c>
      <c r="Q31" s="230" t="str">
        <f t="shared" si="3"/>
        <v>-</v>
      </c>
      <c r="R31" s="230" t="str">
        <f t="shared" si="4"/>
        <v>-</v>
      </c>
      <c r="S31" s="230" t="str">
        <f t="shared" si="5"/>
        <v>-</v>
      </c>
      <c r="T31" s="230" t="str">
        <f t="shared" si="6"/>
        <v>-</v>
      </c>
      <c r="U31" s="230" t="str">
        <f t="shared" si="7"/>
        <v>-</v>
      </c>
    </row>
    <row r="32" spans="1:21" ht="28.5">
      <c r="A32" s="225"/>
      <c r="B32" s="232" t="s">
        <v>1005</v>
      </c>
      <c r="C32" s="227">
        <v>8</v>
      </c>
      <c r="D32" s="227" t="s">
        <v>977</v>
      </c>
      <c r="E32" s="228" t="s">
        <v>975</v>
      </c>
      <c r="F32" s="227">
        <v>1</v>
      </c>
      <c r="G32" s="227">
        <v>1</v>
      </c>
      <c r="H32" s="227">
        <v>15</v>
      </c>
      <c r="I32" s="227"/>
      <c r="J32" s="227">
        <v>5045</v>
      </c>
      <c r="K32" s="227"/>
      <c r="L32" s="227"/>
      <c r="M32" s="227"/>
      <c r="N32" s="229">
        <f t="shared" si="0"/>
        <v>5045</v>
      </c>
      <c r="O32" s="229">
        <f t="shared" si="1"/>
        <v>0</v>
      </c>
      <c r="P32" s="230">
        <f t="shared" si="2"/>
        <v>75.674999999999997</v>
      </c>
      <c r="Q32" s="230" t="str">
        <f t="shared" si="3"/>
        <v>-</v>
      </c>
      <c r="R32" s="230" t="str">
        <f t="shared" si="4"/>
        <v>-</v>
      </c>
      <c r="S32" s="230" t="str">
        <f t="shared" si="5"/>
        <v>-</v>
      </c>
      <c r="T32" s="230" t="str">
        <f t="shared" si="6"/>
        <v>-</v>
      </c>
      <c r="U32" s="230" t="str">
        <f t="shared" si="7"/>
        <v>-</v>
      </c>
    </row>
    <row r="33" spans="1:21" ht="15.75">
      <c r="A33" s="225"/>
      <c r="B33" s="232"/>
      <c r="C33" s="227"/>
      <c r="D33" s="227"/>
      <c r="E33" s="228"/>
      <c r="F33" s="227"/>
      <c r="G33" s="227"/>
      <c r="H33" s="227"/>
      <c r="I33" s="227"/>
      <c r="J33" s="227"/>
      <c r="K33" s="227"/>
      <c r="L33" s="227"/>
      <c r="M33" s="227"/>
      <c r="N33" s="229" t="str">
        <f t="shared" si="0"/>
        <v>-</v>
      </c>
      <c r="O33" s="229" t="b">
        <f t="shared" si="1"/>
        <v>0</v>
      </c>
      <c r="P33" s="230" t="str">
        <f t="shared" si="2"/>
        <v>-</v>
      </c>
      <c r="Q33" s="230" t="str">
        <f t="shared" si="3"/>
        <v>-</v>
      </c>
      <c r="R33" s="230" t="str">
        <f t="shared" si="4"/>
        <v>-</v>
      </c>
      <c r="S33" s="230" t="str">
        <f t="shared" si="5"/>
        <v>-</v>
      </c>
      <c r="T33" s="230" t="str">
        <f t="shared" si="6"/>
        <v>-</v>
      </c>
      <c r="U33" s="230" t="str">
        <f t="shared" si="7"/>
        <v>-</v>
      </c>
    </row>
    <row r="34" spans="1:21" ht="15.75">
      <c r="A34" s="235"/>
      <c r="B34" s="235"/>
      <c r="C34" s="227"/>
      <c r="D34" s="227"/>
      <c r="E34" s="228"/>
      <c r="F34" s="236"/>
      <c r="G34" s="236"/>
      <c r="H34" s="236"/>
      <c r="I34" s="236"/>
      <c r="J34" s="236"/>
      <c r="K34" s="236"/>
      <c r="L34" s="236"/>
      <c r="M34" s="236"/>
      <c r="N34" s="229" t="str">
        <f t="shared" si="0"/>
        <v>-</v>
      </c>
      <c r="O34" s="229" t="b">
        <f t="shared" si="1"/>
        <v>0</v>
      </c>
      <c r="P34" s="230" t="str">
        <f t="shared" si="2"/>
        <v>-</v>
      </c>
      <c r="Q34" s="230" t="str">
        <f t="shared" si="3"/>
        <v>-</v>
      </c>
      <c r="R34" s="230" t="str">
        <f t="shared" si="4"/>
        <v>-</v>
      </c>
      <c r="S34" s="230" t="str">
        <f t="shared" si="5"/>
        <v>-</v>
      </c>
      <c r="T34" s="230" t="str">
        <f t="shared" si="6"/>
        <v>-</v>
      </c>
      <c r="U34" s="230" t="str">
        <f t="shared" si="7"/>
        <v>-</v>
      </c>
    </row>
    <row r="35" spans="1:21" ht="15.75">
      <c r="A35" s="225"/>
      <c r="B35" s="238" t="s">
        <v>1006</v>
      </c>
      <c r="C35" s="227"/>
      <c r="D35" s="227"/>
      <c r="E35" s="228"/>
      <c r="F35" s="225"/>
      <c r="G35" s="225"/>
      <c r="H35" s="225"/>
      <c r="I35" s="225"/>
      <c r="J35" s="225"/>
      <c r="K35" s="225"/>
      <c r="L35" s="225"/>
      <c r="M35" s="225"/>
      <c r="N35" s="229" t="str">
        <f t="shared" si="0"/>
        <v>-</v>
      </c>
      <c r="O35" s="229" t="b">
        <f t="shared" si="1"/>
        <v>0</v>
      </c>
      <c r="P35" s="230" t="str">
        <f t="shared" si="2"/>
        <v>-</v>
      </c>
      <c r="Q35" s="230" t="str">
        <f t="shared" si="3"/>
        <v>-</v>
      </c>
      <c r="R35" s="230" t="str">
        <f t="shared" si="4"/>
        <v>-</v>
      </c>
      <c r="S35" s="230" t="str">
        <f t="shared" si="5"/>
        <v>-</v>
      </c>
      <c r="T35" s="230" t="str">
        <f t="shared" si="6"/>
        <v>-</v>
      </c>
      <c r="U35" s="230" t="str">
        <f t="shared" si="7"/>
        <v>-</v>
      </c>
    </row>
    <row r="36" spans="1:21" ht="28.5">
      <c r="A36" s="225"/>
      <c r="B36" s="225" t="s">
        <v>1007</v>
      </c>
      <c r="C36" s="227">
        <v>8</v>
      </c>
      <c r="D36" s="227" t="s">
        <v>977</v>
      </c>
      <c r="E36" s="228" t="s">
        <v>975</v>
      </c>
      <c r="F36" s="225">
        <v>1</v>
      </c>
      <c r="G36" s="225">
        <v>2</v>
      </c>
      <c r="H36" s="225">
        <v>10</v>
      </c>
      <c r="I36" s="225"/>
      <c r="J36" s="225">
        <v>392</v>
      </c>
      <c r="K36" s="225"/>
      <c r="L36" s="225"/>
      <c r="M36" s="225"/>
      <c r="N36" s="229">
        <f t="shared" si="0"/>
        <v>392</v>
      </c>
      <c r="O36" s="229">
        <f t="shared" si="1"/>
        <v>0</v>
      </c>
      <c r="P36" s="230">
        <f t="shared" si="2"/>
        <v>7.84</v>
      </c>
      <c r="Q36" s="230" t="str">
        <f t="shared" si="3"/>
        <v>-</v>
      </c>
      <c r="R36" s="230" t="str">
        <f t="shared" si="4"/>
        <v>-</v>
      </c>
      <c r="S36" s="230" t="str">
        <f t="shared" si="5"/>
        <v>-</v>
      </c>
      <c r="T36" s="230" t="str">
        <f t="shared" si="6"/>
        <v>-</v>
      </c>
      <c r="U36" s="230" t="str">
        <f t="shared" si="7"/>
        <v>-</v>
      </c>
    </row>
    <row r="37" spans="1:21" ht="28.5">
      <c r="A37" s="225"/>
      <c r="B37" s="225" t="s">
        <v>1008</v>
      </c>
      <c r="C37" s="227">
        <v>8</v>
      </c>
      <c r="D37" s="227" t="s">
        <v>977</v>
      </c>
      <c r="E37" s="228" t="s">
        <v>975</v>
      </c>
      <c r="F37" s="225">
        <v>1</v>
      </c>
      <c r="G37" s="225">
        <v>2</v>
      </c>
      <c r="H37" s="225">
        <v>24</v>
      </c>
      <c r="I37" s="225"/>
      <c r="J37" s="225">
        <v>392</v>
      </c>
      <c r="K37" s="225"/>
      <c r="L37" s="239"/>
      <c r="M37" s="225"/>
      <c r="N37" s="229">
        <f t="shared" si="0"/>
        <v>392</v>
      </c>
      <c r="O37" s="229">
        <f t="shared" si="1"/>
        <v>0</v>
      </c>
      <c r="P37" s="230">
        <f t="shared" si="2"/>
        <v>18.815999999999999</v>
      </c>
      <c r="Q37" s="230" t="str">
        <f t="shared" si="3"/>
        <v>-</v>
      </c>
      <c r="R37" s="230" t="str">
        <f t="shared" si="4"/>
        <v>-</v>
      </c>
      <c r="S37" s="230" t="str">
        <f t="shared" si="5"/>
        <v>-</v>
      </c>
      <c r="T37" s="230" t="str">
        <f t="shared" si="6"/>
        <v>-</v>
      </c>
      <c r="U37" s="230" t="str">
        <f t="shared" si="7"/>
        <v>-</v>
      </c>
    </row>
    <row r="38" spans="1:21" ht="28.5">
      <c r="A38" s="225"/>
      <c r="B38" s="225" t="s">
        <v>1008</v>
      </c>
      <c r="C38" s="227">
        <v>8</v>
      </c>
      <c r="D38" s="227" t="s">
        <v>977</v>
      </c>
      <c r="E38" s="228" t="s">
        <v>975</v>
      </c>
      <c r="F38" s="225">
        <v>1</v>
      </c>
      <c r="G38" s="225">
        <v>2</v>
      </c>
      <c r="H38" s="225">
        <v>25</v>
      </c>
      <c r="I38" s="225"/>
      <c r="J38" s="225">
        <v>392</v>
      </c>
      <c r="K38" s="225"/>
      <c r="L38" s="225"/>
      <c r="M38" s="225"/>
      <c r="N38" s="229">
        <f t="shared" si="0"/>
        <v>392</v>
      </c>
      <c r="O38" s="229">
        <f t="shared" si="1"/>
        <v>0</v>
      </c>
      <c r="P38" s="230">
        <f t="shared" si="2"/>
        <v>19.600000000000001</v>
      </c>
      <c r="Q38" s="230" t="str">
        <f t="shared" si="3"/>
        <v>-</v>
      </c>
      <c r="R38" s="230" t="str">
        <f t="shared" si="4"/>
        <v>-</v>
      </c>
      <c r="S38" s="230" t="str">
        <f t="shared" si="5"/>
        <v>-</v>
      </c>
      <c r="T38" s="230" t="str">
        <f t="shared" si="6"/>
        <v>-</v>
      </c>
      <c r="U38" s="230" t="str">
        <f t="shared" si="7"/>
        <v>-</v>
      </c>
    </row>
    <row r="39" spans="1:21" ht="28.5">
      <c r="A39" s="225"/>
      <c r="B39" s="225" t="s">
        <v>1009</v>
      </c>
      <c r="C39" s="227">
        <v>8</v>
      </c>
      <c r="D39" s="227" t="s">
        <v>977</v>
      </c>
      <c r="E39" s="228" t="s">
        <v>975</v>
      </c>
      <c r="F39" s="225">
        <v>1</v>
      </c>
      <c r="G39" s="225">
        <v>2</v>
      </c>
      <c r="H39" s="225">
        <v>25</v>
      </c>
      <c r="I39" s="225"/>
      <c r="J39" s="225">
        <v>392</v>
      </c>
      <c r="K39" s="225"/>
      <c r="L39" s="225"/>
      <c r="M39" s="225"/>
      <c r="N39" s="229">
        <f t="shared" si="0"/>
        <v>392</v>
      </c>
      <c r="O39" s="229">
        <f t="shared" si="1"/>
        <v>0</v>
      </c>
      <c r="P39" s="230">
        <f t="shared" si="2"/>
        <v>19.600000000000001</v>
      </c>
      <c r="Q39" s="230" t="str">
        <f t="shared" si="3"/>
        <v>-</v>
      </c>
      <c r="R39" s="230" t="str">
        <f t="shared" si="4"/>
        <v>-</v>
      </c>
      <c r="S39" s="230" t="str">
        <f t="shared" si="5"/>
        <v>-</v>
      </c>
      <c r="T39" s="230" t="str">
        <f t="shared" si="6"/>
        <v>-</v>
      </c>
      <c r="U39" s="230" t="str">
        <f t="shared" si="7"/>
        <v>-</v>
      </c>
    </row>
    <row r="40" spans="1:21" ht="28.5">
      <c r="A40" s="225"/>
      <c r="B40" s="225" t="s">
        <v>1010</v>
      </c>
      <c r="C40" s="227">
        <v>8</v>
      </c>
      <c r="D40" s="227" t="s">
        <v>977</v>
      </c>
      <c r="E40" s="228" t="s">
        <v>975</v>
      </c>
      <c r="F40" s="225">
        <v>1</v>
      </c>
      <c r="G40" s="225">
        <v>2</v>
      </c>
      <c r="H40" s="225">
        <v>9</v>
      </c>
      <c r="I40" s="225"/>
      <c r="J40" s="225">
        <v>392</v>
      </c>
      <c r="K40" s="225"/>
      <c r="L40" s="225"/>
      <c r="M40" s="225"/>
      <c r="N40" s="229">
        <f t="shared" si="0"/>
        <v>392</v>
      </c>
      <c r="O40" s="229">
        <f t="shared" si="1"/>
        <v>0</v>
      </c>
      <c r="P40" s="230">
        <f t="shared" si="2"/>
        <v>7.056</v>
      </c>
      <c r="Q40" s="230" t="str">
        <f t="shared" si="3"/>
        <v>-</v>
      </c>
      <c r="R40" s="230" t="str">
        <f t="shared" si="4"/>
        <v>-</v>
      </c>
      <c r="S40" s="230" t="str">
        <f t="shared" si="5"/>
        <v>-</v>
      </c>
      <c r="T40" s="230" t="str">
        <f t="shared" si="6"/>
        <v>-</v>
      </c>
      <c r="U40" s="230" t="str">
        <f t="shared" si="7"/>
        <v>-</v>
      </c>
    </row>
    <row r="41" spans="1:21" ht="28.5">
      <c r="A41" s="225"/>
      <c r="B41" s="225" t="s">
        <v>1011</v>
      </c>
      <c r="C41" s="227">
        <v>8</v>
      </c>
      <c r="D41" s="227" t="s">
        <v>977</v>
      </c>
      <c r="E41" s="228" t="s">
        <v>975</v>
      </c>
      <c r="F41" s="225">
        <v>1</v>
      </c>
      <c r="G41" s="225">
        <v>2</v>
      </c>
      <c r="H41" s="225">
        <v>27</v>
      </c>
      <c r="I41" s="225"/>
      <c r="J41" s="225">
        <v>392</v>
      </c>
      <c r="K41" s="225"/>
      <c r="L41" s="225"/>
      <c r="M41" s="225"/>
      <c r="N41" s="229">
        <f t="shared" si="0"/>
        <v>392</v>
      </c>
      <c r="O41" s="229">
        <f t="shared" si="1"/>
        <v>0</v>
      </c>
      <c r="P41" s="230">
        <f t="shared" si="2"/>
        <v>21.167999999999999</v>
      </c>
      <c r="Q41" s="230" t="str">
        <f t="shared" si="3"/>
        <v>-</v>
      </c>
      <c r="R41" s="230" t="str">
        <f t="shared" si="4"/>
        <v>-</v>
      </c>
      <c r="S41" s="230" t="str">
        <f t="shared" si="5"/>
        <v>-</v>
      </c>
      <c r="T41" s="230" t="str">
        <f t="shared" si="6"/>
        <v>-</v>
      </c>
      <c r="U41" s="230" t="str">
        <f t="shared" si="7"/>
        <v>-</v>
      </c>
    </row>
    <row r="42" spans="1:21" ht="28.5">
      <c r="A42" s="225"/>
      <c r="B42" s="225" t="s">
        <v>1012</v>
      </c>
      <c r="C42" s="227">
        <v>8</v>
      </c>
      <c r="D42" s="227" t="s">
        <v>977</v>
      </c>
      <c r="E42" s="228" t="s">
        <v>975</v>
      </c>
      <c r="F42" s="225">
        <v>1</v>
      </c>
      <c r="G42" s="225">
        <v>3</v>
      </c>
      <c r="H42" s="225">
        <v>14</v>
      </c>
      <c r="I42" s="225"/>
      <c r="J42" s="225">
        <v>392</v>
      </c>
      <c r="K42" s="225"/>
      <c r="L42" s="225"/>
      <c r="M42" s="225"/>
      <c r="N42" s="229">
        <f t="shared" si="0"/>
        <v>392</v>
      </c>
      <c r="O42" s="229">
        <f t="shared" si="1"/>
        <v>0</v>
      </c>
      <c r="P42" s="230">
        <f t="shared" si="2"/>
        <v>16.463999999999999</v>
      </c>
      <c r="Q42" s="230" t="str">
        <f t="shared" si="3"/>
        <v>-</v>
      </c>
      <c r="R42" s="230" t="str">
        <f t="shared" si="4"/>
        <v>-</v>
      </c>
      <c r="S42" s="230" t="str">
        <f t="shared" si="5"/>
        <v>-</v>
      </c>
      <c r="T42" s="230" t="str">
        <f t="shared" si="6"/>
        <v>-</v>
      </c>
      <c r="U42" s="230" t="str">
        <f t="shared" si="7"/>
        <v>-</v>
      </c>
    </row>
    <row r="43" spans="1:21" ht="28.5">
      <c r="A43" s="225"/>
      <c r="B43" s="225" t="s">
        <v>1013</v>
      </c>
      <c r="C43" s="227">
        <v>8</v>
      </c>
      <c r="D43" s="227" t="s">
        <v>977</v>
      </c>
      <c r="E43" s="228" t="s">
        <v>975</v>
      </c>
      <c r="F43" s="225">
        <v>1</v>
      </c>
      <c r="G43" s="225">
        <v>2</v>
      </c>
      <c r="H43" s="225">
        <v>27</v>
      </c>
      <c r="I43" s="225"/>
      <c r="J43" s="225">
        <v>392</v>
      </c>
      <c r="K43" s="225"/>
      <c r="L43" s="225"/>
      <c r="M43" s="225"/>
      <c r="N43" s="229">
        <f t="shared" si="0"/>
        <v>392</v>
      </c>
      <c r="O43" s="229">
        <f t="shared" si="1"/>
        <v>0</v>
      </c>
      <c r="P43" s="230">
        <f t="shared" si="2"/>
        <v>21.167999999999999</v>
      </c>
      <c r="Q43" s="230" t="str">
        <f t="shared" si="3"/>
        <v>-</v>
      </c>
      <c r="R43" s="230" t="str">
        <f t="shared" si="4"/>
        <v>-</v>
      </c>
      <c r="S43" s="230" t="str">
        <f t="shared" si="5"/>
        <v>-</v>
      </c>
      <c r="T43" s="230" t="str">
        <f t="shared" si="6"/>
        <v>-</v>
      </c>
      <c r="U43" s="230" t="str">
        <f t="shared" si="7"/>
        <v>-</v>
      </c>
    </row>
    <row r="44" spans="1:21" ht="28.5">
      <c r="A44" s="225"/>
      <c r="B44" s="225" t="s">
        <v>1010</v>
      </c>
      <c r="C44" s="227">
        <v>8</v>
      </c>
      <c r="D44" s="227" t="s">
        <v>977</v>
      </c>
      <c r="E44" s="228" t="s">
        <v>975</v>
      </c>
      <c r="F44" s="225">
        <v>1</v>
      </c>
      <c r="G44" s="225">
        <v>2</v>
      </c>
      <c r="H44" s="225">
        <v>12</v>
      </c>
      <c r="I44" s="225"/>
      <c r="J44" s="225">
        <v>392</v>
      </c>
      <c r="K44" s="225"/>
      <c r="L44" s="225"/>
      <c r="M44" s="225"/>
      <c r="N44" s="229">
        <f t="shared" si="0"/>
        <v>392</v>
      </c>
      <c r="O44" s="229">
        <f t="shared" si="1"/>
        <v>0</v>
      </c>
      <c r="P44" s="230">
        <f t="shared" si="2"/>
        <v>9.4079999999999995</v>
      </c>
      <c r="Q44" s="230" t="str">
        <f t="shared" si="3"/>
        <v>-</v>
      </c>
      <c r="R44" s="230" t="str">
        <f t="shared" si="4"/>
        <v>-</v>
      </c>
      <c r="S44" s="230" t="str">
        <f t="shared" si="5"/>
        <v>-</v>
      </c>
      <c r="T44" s="230" t="str">
        <f t="shared" si="6"/>
        <v>-</v>
      </c>
      <c r="U44" s="230" t="str">
        <f t="shared" si="7"/>
        <v>-</v>
      </c>
    </row>
    <row r="45" spans="1:21" ht="28.5">
      <c r="A45" s="225"/>
      <c r="B45" s="225" t="s">
        <v>1014</v>
      </c>
      <c r="C45" s="227">
        <v>8</v>
      </c>
      <c r="D45" s="227" t="s">
        <v>977</v>
      </c>
      <c r="E45" s="228" t="s">
        <v>975</v>
      </c>
      <c r="F45" s="225">
        <v>1</v>
      </c>
      <c r="G45" s="225">
        <v>2</v>
      </c>
      <c r="H45" s="225">
        <v>7</v>
      </c>
      <c r="I45" s="225"/>
      <c r="J45" s="225">
        <v>392</v>
      </c>
      <c r="K45" s="225"/>
      <c r="L45" s="225"/>
      <c r="M45" s="225"/>
      <c r="N45" s="229">
        <f t="shared" si="0"/>
        <v>392</v>
      </c>
      <c r="O45" s="229">
        <f t="shared" si="1"/>
        <v>0</v>
      </c>
      <c r="P45" s="230">
        <f t="shared" si="2"/>
        <v>5.4880000000000004</v>
      </c>
      <c r="Q45" s="230" t="str">
        <f t="shared" si="3"/>
        <v>-</v>
      </c>
      <c r="R45" s="230" t="str">
        <f t="shared" si="4"/>
        <v>-</v>
      </c>
      <c r="S45" s="230" t="str">
        <f t="shared" si="5"/>
        <v>-</v>
      </c>
      <c r="T45" s="230" t="str">
        <f t="shared" si="6"/>
        <v>-</v>
      </c>
      <c r="U45" s="230" t="str">
        <f t="shared" si="7"/>
        <v>-</v>
      </c>
    </row>
    <row r="46" spans="1:21" ht="28.5">
      <c r="A46" s="225"/>
      <c r="B46" s="225" t="s">
        <v>1015</v>
      </c>
      <c r="C46" s="227">
        <v>8</v>
      </c>
      <c r="D46" s="227" t="s">
        <v>977</v>
      </c>
      <c r="E46" s="228" t="s">
        <v>975</v>
      </c>
      <c r="F46" s="225">
        <v>1</v>
      </c>
      <c r="G46" s="225">
        <v>2</v>
      </c>
      <c r="H46" s="225">
        <v>25</v>
      </c>
      <c r="I46" s="225"/>
      <c r="J46" s="225">
        <v>392</v>
      </c>
      <c r="K46" s="225"/>
      <c r="L46" s="225"/>
      <c r="M46" s="225"/>
      <c r="N46" s="229">
        <f t="shared" si="0"/>
        <v>392</v>
      </c>
      <c r="O46" s="229">
        <f t="shared" si="1"/>
        <v>0</v>
      </c>
      <c r="P46" s="230">
        <f t="shared" si="2"/>
        <v>19.600000000000001</v>
      </c>
      <c r="Q46" s="230" t="str">
        <f t="shared" si="3"/>
        <v>-</v>
      </c>
      <c r="R46" s="230" t="str">
        <f t="shared" si="4"/>
        <v>-</v>
      </c>
      <c r="S46" s="230" t="str">
        <f t="shared" si="5"/>
        <v>-</v>
      </c>
      <c r="T46" s="230" t="str">
        <f t="shared" si="6"/>
        <v>-</v>
      </c>
      <c r="U46" s="230" t="str">
        <f t="shared" si="7"/>
        <v>-</v>
      </c>
    </row>
    <row r="47" spans="1:21" ht="28.5">
      <c r="A47" s="225"/>
      <c r="B47" s="225" t="s">
        <v>1016</v>
      </c>
      <c r="C47" s="227">
        <v>8</v>
      </c>
      <c r="D47" s="227" t="s">
        <v>977</v>
      </c>
      <c r="E47" s="228" t="s">
        <v>975</v>
      </c>
      <c r="F47" s="225">
        <v>1</v>
      </c>
      <c r="G47" s="225">
        <v>2</v>
      </c>
      <c r="H47" s="225">
        <v>12</v>
      </c>
      <c r="I47" s="225"/>
      <c r="J47" s="225">
        <v>392</v>
      </c>
      <c r="K47" s="225"/>
      <c r="L47" s="225"/>
      <c r="M47" s="225"/>
      <c r="N47" s="229">
        <f t="shared" si="0"/>
        <v>392</v>
      </c>
      <c r="O47" s="229">
        <f t="shared" si="1"/>
        <v>0</v>
      </c>
      <c r="P47" s="230">
        <f t="shared" si="2"/>
        <v>9.4079999999999995</v>
      </c>
      <c r="Q47" s="230" t="str">
        <f t="shared" si="3"/>
        <v>-</v>
      </c>
      <c r="R47" s="230" t="str">
        <f t="shared" si="4"/>
        <v>-</v>
      </c>
      <c r="S47" s="230" t="str">
        <f t="shared" si="5"/>
        <v>-</v>
      </c>
      <c r="T47" s="230" t="str">
        <f t="shared" si="6"/>
        <v>-</v>
      </c>
      <c r="U47" s="230" t="str">
        <f t="shared" si="7"/>
        <v>-</v>
      </c>
    </row>
    <row r="48" spans="1:21" ht="28.5">
      <c r="A48" s="225"/>
      <c r="B48" s="225" t="s">
        <v>1017</v>
      </c>
      <c r="C48" s="227">
        <v>8</v>
      </c>
      <c r="D48" s="227" t="s">
        <v>977</v>
      </c>
      <c r="E48" s="228" t="s">
        <v>975</v>
      </c>
      <c r="F48" s="225">
        <v>1</v>
      </c>
      <c r="G48" s="225">
        <v>1</v>
      </c>
      <c r="H48" s="225">
        <v>12</v>
      </c>
      <c r="I48" s="225"/>
      <c r="J48" s="225">
        <v>392</v>
      </c>
      <c r="K48" s="225"/>
      <c r="L48" s="225"/>
      <c r="M48" s="225"/>
      <c r="N48" s="229">
        <f t="shared" si="0"/>
        <v>392</v>
      </c>
      <c r="O48" s="229">
        <f t="shared" si="1"/>
        <v>0</v>
      </c>
      <c r="P48" s="230">
        <f t="shared" si="2"/>
        <v>4.7039999999999997</v>
      </c>
      <c r="Q48" s="230" t="str">
        <f t="shared" si="3"/>
        <v>-</v>
      </c>
      <c r="R48" s="230" t="str">
        <f t="shared" si="4"/>
        <v>-</v>
      </c>
      <c r="S48" s="230" t="str">
        <f t="shared" si="5"/>
        <v>-</v>
      </c>
      <c r="T48" s="230" t="str">
        <f t="shared" si="6"/>
        <v>-</v>
      </c>
      <c r="U48" s="230" t="str">
        <f t="shared" si="7"/>
        <v>-</v>
      </c>
    </row>
    <row r="49" spans="1:21" ht="28.5">
      <c r="A49" s="225"/>
      <c r="B49" s="225" t="s">
        <v>1018</v>
      </c>
      <c r="C49" s="227">
        <v>8</v>
      </c>
      <c r="D49" s="227" t="s">
        <v>977</v>
      </c>
      <c r="E49" s="228" t="s">
        <v>975</v>
      </c>
      <c r="F49" s="225">
        <v>1</v>
      </c>
      <c r="G49" s="225">
        <v>1</v>
      </c>
      <c r="H49" s="225">
        <v>17</v>
      </c>
      <c r="I49" s="225"/>
      <c r="J49" s="225">
        <v>392</v>
      </c>
      <c r="K49" s="225"/>
      <c r="L49" s="225"/>
      <c r="M49" s="225"/>
      <c r="N49" s="229">
        <f t="shared" si="0"/>
        <v>392</v>
      </c>
      <c r="O49" s="229">
        <f t="shared" si="1"/>
        <v>0</v>
      </c>
      <c r="P49" s="230">
        <f t="shared" si="2"/>
        <v>6.6639999999999997</v>
      </c>
      <c r="Q49" s="230" t="str">
        <f t="shared" si="3"/>
        <v>-</v>
      </c>
      <c r="R49" s="230" t="str">
        <f t="shared" si="4"/>
        <v>-</v>
      </c>
      <c r="S49" s="230" t="str">
        <f t="shared" si="5"/>
        <v>-</v>
      </c>
      <c r="T49" s="230" t="str">
        <f t="shared" si="6"/>
        <v>-</v>
      </c>
      <c r="U49" s="230" t="str">
        <f t="shared" si="7"/>
        <v>-</v>
      </c>
    </row>
    <row r="50" spans="1:21" ht="28.5">
      <c r="A50" s="225"/>
      <c r="B50" s="225" t="s">
        <v>1019</v>
      </c>
      <c r="C50" s="227">
        <v>8</v>
      </c>
      <c r="D50" s="227" t="s">
        <v>977</v>
      </c>
      <c r="E50" s="228" t="s">
        <v>975</v>
      </c>
      <c r="F50" s="225">
        <v>1</v>
      </c>
      <c r="G50" s="225">
        <v>4</v>
      </c>
      <c r="H50" s="225">
        <v>13</v>
      </c>
      <c r="I50" s="225"/>
      <c r="J50" s="225">
        <v>392</v>
      </c>
      <c r="K50" s="225"/>
      <c r="L50" s="225"/>
      <c r="M50" s="225"/>
      <c r="N50" s="229">
        <f t="shared" si="0"/>
        <v>392</v>
      </c>
      <c r="O50" s="229">
        <f t="shared" si="1"/>
        <v>0</v>
      </c>
      <c r="P50" s="230">
        <f t="shared" si="2"/>
        <v>20.384</v>
      </c>
      <c r="Q50" s="230" t="str">
        <f t="shared" si="3"/>
        <v>-</v>
      </c>
      <c r="R50" s="230" t="str">
        <f t="shared" si="4"/>
        <v>-</v>
      </c>
      <c r="S50" s="230" t="str">
        <f t="shared" si="5"/>
        <v>-</v>
      </c>
      <c r="T50" s="230" t="str">
        <f t="shared" si="6"/>
        <v>-</v>
      </c>
      <c r="U50" s="230" t="str">
        <f t="shared" si="7"/>
        <v>-</v>
      </c>
    </row>
    <row r="51" spans="1:21" ht="28.5">
      <c r="A51" s="225"/>
      <c r="B51" s="225" t="s">
        <v>1020</v>
      </c>
      <c r="C51" s="227">
        <v>8</v>
      </c>
      <c r="D51" s="227" t="s">
        <v>977</v>
      </c>
      <c r="E51" s="228" t="s">
        <v>975</v>
      </c>
      <c r="F51" s="225">
        <v>1</v>
      </c>
      <c r="G51" s="225">
        <v>4</v>
      </c>
      <c r="H51" s="225">
        <v>24</v>
      </c>
      <c r="I51" s="225"/>
      <c r="J51" s="225">
        <v>392</v>
      </c>
      <c r="K51" s="225"/>
      <c r="L51" s="225"/>
      <c r="M51" s="225"/>
      <c r="N51" s="229">
        <f t="shared" si="0"/>
        <v>392</v>
      </c>
      <c r="O51" s="229">
        <f t="shared" si="1"/>
        <v>0</v>
      </c>
      <c r="P51" s="230">
        <f t="shared" si="2"/>
        <v>37.631999999999998</v>
      </c>
      <c r="Q51" s="230" t="str">
        <f t="shared" si="3"/>
        <v>-</v>
      </c>
      <c r="R51" s="230" t="str">
        <f t="shared" si="4"/>
        <v>-</v>
      </c>
      <c r="S51" s="230" t="str">
        <f t="shared" si="5"/>
        <v>-</v>
      </c>
      <c r="T51" s="230" t="str">
        <f t="shared" si="6"/>
        <v>-</v>
      </c>
      <c r="U51" s="230" t="str">
        <f t="shared" si="7"/>
        <v>-</v>
      </c>
    </row>
    <row r="52" spans="1:21" ht="28.5">
      <c r="A52" s="225"/>
      <c r="B52" s="225" t="s">
        <v>1021</v>
      </c>
      <c r="C52" s="227">
        <v>8</v>
      </c>
      <c r="D52" s="227" t="s">
        <v>977</v>
      </c>
      <c r="E52" s="228" t="s">
        <v>975</v>
      </c>
      <c r="F52" s="225">
        <v>1</v>
      </c>
      <c r="G52" s="225">
        <v>12</v>
      </c>
      <c r="H52" s="225">
        <v>37</v>
      </c>
      <c r="I52" s="225"/>
      <c r="J52" s="225">
        <v>392</v>
      </c>
      <c r="K52" s="225"/>
      <c r="L52" s="225"/>
      <c r="M52" s="225"/>
      <c r="N52" s="229">
        <f t="shared" si="0"/>
        <v>392</v>
      </c>
      <c r="O52" s="229">
        <f t="shared" si="1"/>
        <v>0</v>
      </c>
      <c r="P52" s="230">
        <f t="shared" si="2"/>
        <v>174.048</v>
      </c>
      <c r="Q52" s="230" t="str">
        <f t="shared" si="3"/>
        <v>-</v>
      </c>
      <c r="R52" s="230" t="str">
        <f t="shared" si="4"/>
        <v>-</v>
      </c>
      <c r="S52" s="230" t="str">
        <f t="shared" si="5"/>
        <v>-</v>
      </c>
      <c r="T52" s="230" t="str">
        <f t="shared" si="6"/>
        <v>-</v>
      </c>
      <c r="U52" s="230" t="str">
        <f t="shared" si="7"/>
        <v>-</v>
      </c>
    </row>
    <row r="53" spans="1:21" ht="28.5">
      <c r="A53" s="225"/>
      <c r="B53" s="225" t="s">
        <v>1020</v>
      </c>
      <c r="C53" s="227">
        <v>8</v>
      </c>
      <c r="D53" s="227" t="s">
        <v>977</v>
      </c>
      <c r="E53" s="228" t="s">
        <v>975</v>
      </c>
      <c r="F53" s="225">
        <v>1</v>
      </c>
      <c r="G53" s="225">
        <v>8</v>
      </c>
      <c r="H53" s="225">
        <v>39</v>
      </c>
      <c r="I53" s="225"/>
      <c r="J53" s="225">
        <v>392</v>
      </c>
      <c r="K53" s="225"/>
      <c r="L53" s="225"/>
      <c r="M53" s="225"/>
      <c r="N53" s="229">
        <f t="shared" si="0"/>
        <v>392</v>
      </c>
      <c r="O53" s="229">
        <f t="shared" si="1"/>
        <v>0</v>
      </c>
      <c r="P53" s="230">
        <f t="shared" si="2"/>
        <v>122.304</v>
      </c>
      <c r="Q53" s="230" t="str">
        <f t="shared" si="3"/>
        <v>-</v>
      </c>
      <c r="R53" s="230" t="str">
        <f t="shared" si="4"/>
        <v>-</v>
      </c>
      <c r="S53" s="230" t="str">
        <f t="shared" si="5"/>
        <v>-</v>
      </c>
      <c r="T53" s="230" t="str">
        <f t="shared" si="6"/>
        <v>-</v>
      </c>
      <c r="U53" s="230" t="str">
        <f t="shared" si="7"/>
        <v>-</v>
      </c>
    </row>
    <row r="54" spans="1:21" ht="28.5">
      <c r="A54" s="225"/>
      <c r="B54" s="225" t="s">
        <v>1022</v>
      </c>
      <c r="C54" s="227">
        <v>8</v>
      </c>
      <c r="D54" s="227" t="s">
        <v>977</v>
      </c>
      <c r="E54" s="228" t="s">
        <v>975</v>
      </c>
      <c r="F54" s="225">
        <v>1</v>
      </c>
      <c r="G54" s="225">
        <v>4</v>
      </c>
      <c r="H54" s="225">
        <v>21</v>
      </c>
      <c r="I54" s="225"/>
      <c r="J54" s="225">
        <v>392</v>
      </c>
      <c r="K54" s="225"/>
      <c r="L54" s="225"/>
      <c r="M54" s="225"/>
      <c r="N54" s="229">
        <f t="shared" si="0"/>
        <v>392</v>
      </c>
      <c r="O54" s="229">
        <f t="shared" si="1"/>
        <v>0</v>
      </c>
      <c r="P54" s="230">
        <f t="shared" si="2"/>
        <v>32.927999999999997</v>
      </c>
      <c r="Q54" s="230" t="str">
        <f t="shared" si="3"/>
        <v>-</v>
      </c>
      <c r="R54" s="230" t="str">
        <f t="shared" si="4"/>
        <v>-</v>
      </c>
      <c r="S54" s="230" t="str">
        <f t="shared" si="5"/>
        <v>-</v>
      </c>
      <c r="T54" s="230" t="str">
        <f t="shared" si="6"/>
        <v>-</v>
      </c>
      <c r="U54" s="230" t="str">
        <f t="shared" si="7"/>
        <v>-</v>
      </c>
    </row>
    <row r="55" spans="1:21" ht="28.5">
      <c r="A55" s="225"/>
      <c r="B55" s="225" t="s">
        <v>1023</v>
      </c>
      <c r="C55" s="227">
        <v>8</v>
      </c>
      <c r="D55" s="227" t="s">
        <v>977</v>
      </c>
      <c r="E55" s="228" t="s">
        <v>975</v>
      </c>
      <c r="F55" s="225">
        <v>1</v>
      </c>
      <c r="G55" s="225">
        <v>4</v>
      </c>
      <c r="H55" s="225">
        <v>9</v>
      </c>
      <c r="I55" s="225"/>
      <c r="J55" s="225">
        <v>392</v>
      </c>
      <c r="K55" s="225"/>
      <c r="L55" s="225"/>
      <c r="M55" s="225"/>
      <c r="N55" s="229">
        <f t="shared" si="0"/>
        <v>392</v>
      </c>
      <c r="O55" s="229">
        <f t="shared" si="1"/>
        <v>0</v>
      </c>
      <c r="P55" s="230">
        <f t="shared" si="2"/>
        <v>14.112</v>
      </c>
      <c r="Q55" s="230" t="str">
        <f t="shared" si="3"/>
        <v>-</v>
      </c>
      <c r="R55" s="230" t="str">
        <f t="shared" si="4"/>
        <v>-</v>
      </c>
      <c r="S55" s="230" t="str">
        <f t="shared" si="5"/>
        <v>-</v>
      </c>
      <c r="T55" s="230" t="str">
        <f t="shared" si="6"/>
        <v>-</v>
      </c>
      <c r="U55" s="230" t="str">
        <f t="shared" si="7"/>
        <v>-</v>
      </c>
    </row>
    <row r="56" spans="1:21" ht="28.5">
      <c r="A56" s="225"/>
      <c r="B56" s="225" t="s">
        <v>1019</v>
      </c>
      <c r="C56" s="227">
        <v>8</v>
      </c>
      <c r="D56" s="227" t="s">
        <v>977</v>
      </c>
      <c r="E56" s="228" t="s">
        <v>975</v>
      </c>
      <c r="F56" s="225">
        <v>1</v>
      </c>
      <c r="G56" s="225">
        <v>4</v>
      </c>
      <c r="H56" s="225">
        <v>5</v>
      </c>
      <c r="I56" s="225"/>
      <c r="J56" s="225">
        <v>392</v>
      </c>
      <c r="K56" s="225"/>
      <c r="L56" s="225"/>
      <c r="M56" s="225"/>
      <c r="N56" s="229">
        <f t="shared" si="0"/>
        <v>392</v>
      </c>
      <c r="O56" s="229">
        <f t="shared" si="1"/>
        <v>0</v>
      </c>
      <c r="P56" s="230">
        <f t="shared" si="2"/>
        <v>7.84</v>
      </c>
      <c r="Q56" s="230" t="str">
        <f t="shared" si="3"/>
        <v>-</v>
      </c>
      <c r="R56" s="230" t="str">
        <f t="shared" si="4"/>
        <v>-</v>
      </c>
      <c r="S56" s="230" t="str">
        <f t="shared" si="5"/>
        <v>-</v>
      </c>
      <c r="T56" s="230" t="str">
        <f t="shared" si="6"/>
        <v>-</v>
      </c>
      <c r="U56" s="230" t="str">
        <f t="shared" si="7"/>
        <v>-</v>
      </c>
    </row>
    <row r="57" spans="1:21" ht="28.5">
      <c r="A57" s="225"/>
      <c r="B57" s="225" t="s">
        <v>1024</v>
      </c>
      <c r="C57" s="227">
        <v>8</v>
      </c>
      <c r="D57" s="227" t="s">
        <v>977</v>
      </c>
      <c r="E57" s="228" t="s">
        <v>975</v>
      </c>
      <c r="F57" s="225">
        <v>1</v>
      </c>
      <c r="G57" s="225">
        <v>4</v>
      </c>
      <c r="H57" s="225">
        <v>4</v>
      </c>
      <c r="I57" s="225"/>
      <c r="J57" s="225">
        <v>392</v>
      </c>
      <c r="K57" s="225"/>
      <c r="L57" s="225"/>
      <c r="M57" s="225"/>
      <c r="N57" s="229">
        <f t="shared" si="0"/>
        <v>392</v>
      </c>
      <c r="O57" s="229">
        <f t="shared" si="1"/>
        <v>0</v>
      </c>
      <c r="P57" s="230">
        <f t="shared" si="2"/>
        <v>6.2720000000000002</v>
      </c>
      <c r="Q57" s="230" t="str">
        <f t="shared" si="3"/>
        <v>-</v>
      </c>
      <c r="R57" s="230" t="str">
        <f t="shared" si="4"/>
        <v>-</v>
      </c>
      <c r="S57" s="230" t="str">
        <f t="shared" si="5"/>
        <v>-</v>
      </c>
      <c r="T57" s="230" t="str">
        <f t="shared" si="6"/>
        <v>-</v>
      </c>
      <c r="U57" s="230" t="str">
        <f t="shared" si="7"/>
        <v>-</v>
      </c>
    </row>
    <row r="58" spans="1:21" ht="28.5">
      <c r="A58" s="225"/>
      <c r="B58" s="225" t="s">
        <v>1025</v>
      </c>
      <c r="C58" s="227">
        <v>8</v>
      </c>
      <c r="D58" s="227" t="s">
        <v>977</v>
      </c>
      <c r="E58" s="228" t="s">
        <v>975</v>
      </c>
      <c r="F58" s="225">
        <v>1</v>
      </c>
      <c r="G58" s="225">
        <v>8</v>
      </c>
      <c r="H58" s="225">
        <v>18</v>
      </c>
      <c r="I58" s="225"/>
      <c r="J58" s="225">
        <v>392</v>
      </c>
      <c r="K58" s="225"/>
      <c r="L58" s="225"/>
      <c r="M58" s="225"/>
      <c r="N58" s="229">
        <f t="shared" si="0"/>
        <v>392</v>
      </c>
      <c r="O58" s="229">
        <f t="shared" si="1"/>
        <v>0</v>
      </c>
      <c r="P58" s="230">
        <f t="shared" si="2"/>
        <v>56.448</v>
      </c>
      <c r="Q58" s="230" t="str">
        <f t="shared" si="3"/>
        <v>-</v>
      </c>
      <c r="R58" s="230" t="str">
        <f t="shared" si="4"/>
        <v>-</v>
      </c>
      <c r="S58" s="230" t="str">
        <f t="shared" si="5"/>
        <v>-</v>
      </c>
      <c r="T58" s="230" t="str">
        <f t="shared" si="6"/>
        <v>-</v>
      </c>
      <c r="U58" s="230" t="str">
        <f t="shared" si="7"/>
        <v>-</v>
      </c>
    </row>
    <row r="59" spans="1:21" ht="15.75">
      <c r="A59" s="225"/>
      <c r="B59" s="225"/>
      <c r="C59" s="227"/>
      <c r="D59" s="227"/>
      <c r="E59" s="228"/>
      <c r="F59" s="225"/>
      <c r="G59" s="225"/>
      <c r="H59" s="225"/>
      <c r="I59" s="225"/>
      <c r="J59" s="225"/>
      <c r="K59" s="225"/>
      <c r="L59" s="225"/>
      <c r="M59" s="225"/>
      <c r="N59" s="229" t="str">
        <f t="shared" si="0"/>
        <v>-</v>
      </c>
      <c r="O59" s="229" t="b">
        <f t="shared" si="1"/>
        <v>0</v>
      </c>
      <c r="P59" s="230" t="str">
        <f t="shared" si="2"/>
        <v>-</v>
      </c>
      <c r="Q59" s="230" t="str">
        <f t="shared" si="3"/>
        <v>-</v>
      </c>
      <c r="R59" s="230" t="str">
        <f t="shared" si="4"/>
        <v>-</v>
      </c>
      <c r="S59" s="230" t="str">
        <f t="shared" si="5"/>
        <v>-</v>
      </c>
      <c r="T59" s="230" t="str">
        <f t="shared" si="6"/>
        <v>-</v>
      </c>
      <c r="U59" s="230" t="str">
        <f t="shared" si="7"/>
        <v>-</v>
      </c>
    </row>
    <row r="60" spans="1:21" ht="15.75">
      <c r="A60" s="225"/>
      <c r="B60" s="225"/>
      <c r="C60" s="227"/>
      <c r="D60" s="227"/>
      <c r="E60" s="228"/>
      <c r="F60" s="225"/>
      <c r="G60" s="225"/>
      <c r="H60" s="225"/>
      <c r="I60" s="225"/>
      <c r="J60" s="225"/>
      <c r="K60" s="225"/>
      <c r="L60" s="225"/>
      <c r="M60" s="225"/>
      <c r="N60" s="229" t="str">
        <f t="shared" si="0"/>
        <v>-</v>
      </c>
      <c r="O60" s="229" t="b">
        <f t="shared" si="1"/>
        <v>0</v>
      </c>
      <c r="P60" s="230" t="str">
        <f t="shared" si="2"/>
        <v>-</v>
      </c>
      <c r="Q60" s="230" t="str">
        <f t="shared" si="3"/>
        <v>-</v>
      </c>
      <c r="R60" s="230" t="str">
        <f t="shared" si="4"/>
        <v>-</v>
      </c>
      <c r="S60" s="230" t="str">
        <f t="shared" si="5"/>
        <v>-</v>
      </c>
      <c r="T60" s="230" t="str">
        <f t="shared" si="6"/>
        <v>-</v>
      </c>
      <c r="U60" s="230" t="str">
        <f t="shared" si="7"/>
        <v>-</v>
      </c>
    </row>
    <row r="61" spans="1:21" ht="15.75">
      <c r="A61" s="225"/>
      <c r="B61" s="225"/>
      <c r="C61" s="227"/>
      <c r="D61" s="227"/>
      <c r="E61" s="228"/>
      <c r="F61" s="225"/>
      <c r="G61" s="225"/>
      <c r="H61" s="225"/>
      <c r="I61" s="225"/>
      <c r="J61" s="225"/>
      <c r="K61" s="225"/>
      <c r="L61" s="225"/>
      <c r="M61" s="225"/>
      <c r="N61" s="229" t="str">
        <f t="shared" si="0"/>
        <v>-</v>
      </c>
      <c r="O61" s="229" t="b">
        <f t="shared" si="1"/>
        <v>0</v>
      </c>
      <c r="P61" s="230" t="str">
        <f t="shared" si="2"/>
        <v>-</v>
      </c>
      <c r="Q61" s="230" t="str">
        <f t="shared" si="3"/>
        <v>-</v>
      </c>
      <c r="R61" s="230" t="str">
        <f t="shared" si="4"/>
        <v>-</v>
      </c>
      <c r="S61" s="230" t="str">
        <f t="shared" si="5"/>
        <v>-</v>
      </c>
      <c r="T61" s="230" t="str">
        <f t="shared" si="6"/>
        <v>-</v>
      </c>
      <c r="U61" s="230" t="str">
        <f t="shared" si="7"/>
        <v>-</v>
      </c>
    </row>
    <row r="62" spans="1:21" ht="15.75">
      <c r="A62" s="225"/>
      <c r="B62" s="225"/>
      <c r="C62" s="227"/>
      <c r="D62" s="227"/>
      <c r="E62" s="228"/>
      <c r="F62" s="225"/>
      <c r="G62" s="225"/>
      <c r="H62" s="225"/>
      <c r="I62" s="225"/>
      <c r="J62" s="225"/>
      <c r="K62" s="225"/>
      <c r="L62" s="225"/>
      <c r="M62" s="225"/>
      <c r="N62" s="237" t="str">
        <f>IF(E62="L Shape",(I62+J62)-(C62*2*1),IF(E62="U Shape",(I62+J62+K62)-(C62*2*2),IF(E62="Rectangle",(I62+J62+K62+L62)+(C62*10*2)-(C62*2*5),IF(E62="Straight",J62-(C62*0),IF(E62="Chair",(I62+J62+K62+L62+M62)-(C62*2*4),IF(E62="U2 Shape",(I62+J62+K62+L62+M62)-(C62*2*4),IF(E62="U3 Shape",(I62+J62+K62+L62)-(C62*2*3),IF(E62="Z Shape",(I62+J62+K62)-(C62*2*2),IF(E62="Triangle",(I62+J62+K62)+(C62*10*2)-(C62*2*4),IF(E62="Trapezoid2",(I62+I62+J62+K62+K62+L62)+(C62*10*2)-(C62*2*7),IF(E62="Trapezoid",(I62+J62+K62+L62)+(C62*10*2)-(C62*2*5),IF(E62="Link",J62+(C62*10*2),IF(E62="U5 Shape",(I62+J62+K62+L62)-(C62*2*3),IF(E62="DU2 Shape",(I62+J62+K62+L62)-(C62*2*4),IF(E62="SU Shape",(I62+J62+K62)-(C62*2*2),"-")))))))))))))))</f>
        <v>-</v>
      </c>
      <c r="O62" s="237" t="b">
        <f>IF(N62&lt;12001,C62*49*0,IF(N62&lt;24001,C62*49*1,IF(N62&lt;36001,C62*49*2,IF(N62&lt;48001,C62*49*3,IF(N62&lt;60001,C62*49*4,IF(N62&lt;72001,(C62*49*5),IF(N62&lt;84001,(C62*49*6),IF(N62&lt;96001,(C62*49*7),IF(N62&lt;108001,(C62*49*8),IF(N62&lt;120001,(C62*49*9),IF(N62&lt;132001,(C62*49*10),IF(N62&lt;144001,(C62*49*11)))))))))))))</f>
        <v>0</v>
      </c>
      <c r="P62" s="240">
        <f t="shared" ref="P62:U62" si="8">SUM(P4:P61)</f>
        <v>15526.432000000001</v>
      </c>
      <c r="Q62" s="240">
        <f t="shared" si="8"/>
        <v>0</v>
      </c>
      <c r="R62" s="240">
        <f t="shared" si="8"/>
        <v>0</v>
      </c>
      <c r="S62" s="240">
        <f t="shared" si="8"/>
        <v>0</v>
      </c>
      <c r="T62" s="240">
        <f t="shared" si="8"/>
        <v>0</v>
      </c>
      <c r="U62" s="240">
        <f t="shared" si="8"/>
        <v>0</v>
      </c>
    </row>
    <row r="63" spans="1:21">
      <c r="A63" s="216" t="s">
        <v>877</v>
      </c>
      <c r="B63" s="217"/>
      <c r="C63" s="217"/>
      <c r="D63" s="217"/>
      <c r="E63" s="217"/>
      <c r="F63" s="217"/>
      <c r="G63" s="217"/>
      <c r="H63" s="217"/>
      <c r="I63" s="106"/>
      <c r="J63" s="106"/>
      <c r="K63" s="106"/>
      <c r="L63" s="106"/>
      <c r="M63" s="106"/>
      <c r="N63" s="106"/>
      <c r="O63" s="106"/>
      <c r="P63" s="110">
        <f>ROUND(PI()/4*POWER(8/1000,2)*7850,3)</f>
        <v>0.39500000000000002</v>
      </c>
      <c r="Q63" s="110">
        <f>ROUND(PI()/4*POWER(10/1000,2)*7850,3)</f>
        <v>0.61699999999999999</v>
      </c>
      <c r="R63" s="110">
        <f>ROUND(PI()/4*POWER(12/1000,2)*7850,3)</f>
        <v>0.88800000000000001</v>
      </c>
      <c r="S63" s="110">
        <f>ROUND(PI()/4*POWER(16/1000,2)*7850,2)</f>
        <v>1.58</v>
      </c>
      <c r="T63" s="110">
        <f>ROUND(PI()/4*POWER(20/1000,2)*7850,2)</f>
        <v>2.4700000000000002</v>
      </c>
      <c r="U63" s="110">
        <f>ROUND(PI()/4*POWER(25/1000,2)*7850,2)</f>
        <v>3.85</v>
      </c>
    </row>
    <row r="64" spans="1:21">
      <c r="A64" s="216" t="s">
        <v>878</v>
      </c>
      <c r="B64" s="217"/>
      <c r="C64" s="217"/>
      <c r="D64" s="217"/>
      <c r="E64" s="217"/>
      <c r="F64" s="217"/>
      <c r="G64" s="217"/>
      <c r="H64" s="217"/>
      <c r="I64" s="106"/>
      <c r="J64" s="106"/>
      <c r="K64" s="106"/>
      <c r="L64" s="106"/>
      <c r="M64" s="106"/>
      <c r="N64" s="106"/>
      <c r="O64" s="106"/>
      <c r="P64" s="111">
        <f t="shared" ref="P64:U64" si="9">PRODUCT(P62:P63)</f>
        <v>6132.9406400000007</v>
      </c>
      <c r="Q64" s="111">
        <f t="shared" si="9"/>
        <v>0</v>
      </c>
      <c r="R64" s="111">
        <f t="shared" si="9"/>
        <v>0</v>
      </c>
      <c r="S64" s="111">
        <f t="shared" si="9"/>
        <v>0</v>
      </c>
      <c r="T64" s="111">
        <f t="shared" si="9"/>
        <v>0</v>
      </c>
      <c r="U64" s="111">
        <f t="shared" si="9"/>
        <v>0</v>
      </c>
    </row>
    <row r="65" spans="1:21">
      <c r="A65" s="216" t="s">
        <v>879</v>
      </c>
      <c r="B65" s="217"/>
      <c r="C65" s="217"/>
      <c r="D65" s="217"/>
      <c r="E65" s="217"/>
      <c r="F65" s="217"/>
      <c r="G65" s="217"/>
      <c r="H65" s="217"/>
      <c r="I65" s="106"/>
      <c r="J65" s="106"/>
      <c r="K65" s="106"/>
      <c r="L65" s="106"/>
      <c r="M65" s="106"/>
      <c r="N65" s="106"/>
      <c r="O65" s="106"/>
      <c r="P65" s="258">
        <f t="shared" ref="P65:U65" si="10">ROUND(P64/1000,3)</f>
        <v>6.133</v>
      </c>
      <c r="Q65" s="258">
        <f t="shared" si="10"/>
        <v>0</v>
      </c>
      <c r="R65" s="258">
        <f t="shared" si="10"/>
        <v>0</v>
      </c>
      <c r="S65" s="258">
        <f t="shared" si="10"/>
        <v>0</v>
      </c>
      <c r="T65" s="258">
        <f t="shared" si="10"/>
        <v>0</v>
      </c>
      <c r="U65" s="258">
        <f t="shared" si="10"/>
        <v>0</v>
      </c>
    </row>
    <row r="66" spans="1:21">
      <c r="A66" s="1347" t="s">
        <v>880</v>
      </c>
      <c r="B66" s="1348"/>
      <c r="C66" s="1348"/>
      <c r="D66" s="1348"/>
      <c r="E66" s="1348"/>
      <c r="F66" s="1348"/>
      <c r="G66" s="1348"/>
      <c r="H66" s="1349"/>
      <c r="I66" s="106"/>
      <c r="J66" s="106"/>
      <c r="K66" s="106"/>
      <c r="L66" s="106"/>
      <c r="M66" s="106"/>
      <c r="N66" s="106"/>
      <c r="O66" s="106"/>
      <c r="P66" s="241">
        <f>+SUM(P65:U65)</f>
        <v>6.133</v>
      </c>
      <c r="Q66" s="242"/>
      <c r="R66" s="242"/>
      <c r="S66" s="242"/>
      <c r="T66" s="242"/>
      <c r="U66" s="243"/>
    </row>
  </sheetData>
  <mergeCells count="10">
    <mergeCell ref="A66:H66"/>
    <mergeCell ref="A1:U1"/>
    <mergeCell ref="A2:A3"/>
    <mergeCell ref="B2:B3"/>
    <mergeCell ref="C2:E2"/>
    <mergeCell ref="F2:H2"/>
    <mergeCell ref="I2:M2"/>
    <mergeCell ref="N2:N3"/>
    <mergeCell ref="O2:O3"/>
    <mergeCell ref="P2:U2"/>
  </mergeCells>
  <dataValidations count="3">
    <dataValidation type="list" allowBlank="1" showInputMessage="1" showErrorMessage="1" sqref="E4:E62">
      <formula1>$L$2:$L$16</formula1>
    </dataValidation>
    <dataValidation type="list" allowBlank="1" showInputMessage="1" showErrorMessage="1" sqref="D4:D62">
      <formula1>$K$2:$K$11</formula1>
    </dataValidation>
    <dataValidation type="list" allowBlank="1" showInputMessage="1" showErrorMessage="1" sqref="C4:C62">
      <formula1>$J$2:$J$9</formula1>
    </dataValidation>
  </dataValidations>
  <pageMargins left="0.70866141732283472" right="0.70866141732283472" top="0.22" bottom="0.21" header="0.31496062992125984" footer="0.16"/>
  <pageSetup paperSize="9" scale="7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defaultRowHeight="1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427"/>
  <sheetViews>
    <sheetView showZeros="0" topLeftCell="A414" workbookViewId="0">
      <selection activeCell="G426" sqref="G426"/>
    </sheetView>
  </sheetViews>
  <sheetFormatPr defaultRowHeight="24.95" customHeight="1"/>
  <cols>
    <col min="1" max="1" width="9.140625" style="376"/>
    <col min="2" max="2" width="36.7109375" style="376" bestFit="1" customWidth="1"/>
    <col min="3" max="5" width="9.140625" style="376"/>
    <col min="6" max="6" width="9.140625" style="377"/>
    <col min="7" max="8" width="9.140625" style="376"/>
    <col min="9" max="9" width="10.7109375" style="378" bestFit="1" customWidth="1"/>
    <col min="10" max="16384" width="9.140625" style="376"/>
  </cols>
  <sheetData>
    <row r="1" spans="1:130" s="78" customFormat="1" ht="24.95" customHeight="1">
      <c r="A1" s="1444" t="s">
        <v>1</v>
      </c>
      <c r="B1" s="1444"/>
      <c r="C1" s="1444"/>
      <c r="D1" s="1444"/>
      <c r="E1" s="1444"/>
      <c r="F1" s="1444"/>
      <c r="G1" s="1444"/>
      <c r="H1" s="1444"/>
    </row>
    <row r="2" spans="1:130" s="365" customFormat="1" ht="24.95" customHeight="1">
      <c r="A2" s="363" t="s">
        <v>340</v>
      </c>
      <c r="B2" s="363"/>
      <c r="C2" s="363"/>
      <c r="D2" s="363"/>
      <c r="E2" s="363"/>
      <c r="F2" s="363"/>
      <c r="G2" s="363"/>
      <c r="H2" s="363"/>
      <c r="I2" s="363"/>
      <c r="J2" s="363"/>
      <c r="K2" s="363"/>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c r="CT2" s="364"/>
      <c r="CU2" s="364"/>
      <c r="CV2" s="364"/>
      <c r="CW2" s="364"/>
      <c r="CX2" s="364"/>
      <c r="CY2" s="364"/>
      <c r="CZ2" s="364"/>
      <c r="DA2" s="364"/>
      <c r="DB2" s="364"/>
      <c r="DC2" s="364"/>
      <c r="DD2" s="364"/>
      <c r="DE2" s="364"/>
      <c r="DF2" s="364"/>
      <c r="DG2" s="364"/>
      <c r="DH2" s="364"/>
      <c r="DI2" s="364"/>
      <c r="DJ2" s="364"/>
      <c r="DK2" s="364"/>
      <c r="DL2" s="364"/>
      <c r="DM2" s="364"/>
      <c r="DN2" s="364"/>
      <c r="DO2" s="364"/>
      <c r="DP2" s="364"/>
      <c r="DQ2" s="364"/>
      <c r="DR2" s="364"/>
      <c r="DS2" s="364"/>
      <c r="DT2" s="364"/>
      <c r="DU2" s="364"/>
      <c r="DV2" s="364"/>
      <c r="DW2" s="364"/>
      <c r="DX2" s="364"/>
      <c r="DY2" s="364"/>
      <c r="DZ2" s="364"/>
    </row>
    <row r="3" spans="1:130" s="78" customFormat="1" ht="24.95" customHeight="1">
      <c r="A3" s="1445" t="s">
        <v>1188</v>
      </c>
      <c r="B3" s="1445"/>
      <c r="C3" s="1445"/>
      <c r="D3" s="1445"/>
      <c r="E3" s="1445"/>
      <c r="F3" s="1446" t="s">
        <v>1189</v>
      </c>
      <c r="G3" s="1446"/>
      <c r="H3" s="363"/>
    </row>
    <row r="4" spans="1:130" s="78" customFormat="1" ht="24.95" customHeight="1">
      <c r="A4" s="75" t="s">
        <v>489</v>
      </c>
      <c r="B4" s="366" t="s">
        <v>1179</v>
      </c>
      <c r="C4" s="76" t="s">
        <v>985</v>
      </c>
      <c r="D4" s="76" t="s">
        <v>414</v>
      </c>
      <c r="E4" s="367" t="s">
        <v>4</v>
      </c>
      <c r="F4" s="368" t="s">
        <v>979</v>
      </c>
      <c r="G4" s="369" t="s">
        <v>1183</v>
      </c>
      <c r="H4" s="369" t="s">
        <v>1184</v>
      </c>
      <c r="I4" s="370" t="s">
        <v>1185</v>
      </c>
    </row>
    <row r="5" spans="1:130" s="78" customFormat="1" ht="24.95" customHeight="1">
      <c r="A5" s="75"/>
      <c r="B5" s="366" t="s">
        <v>939</v>
      </c>
      <c r="C5" s="371"/>
      <c r="D5" s="371"/>
      <c r="E5" s="372"/>
      <c r="F5" s="368"/>
      <c r="G5" s="77"/>
      <c r="H5" s="77"/>
      <c r="I5" s="257"/>
    </row>
    <row r="6" spans="1:130" s="78" customFormat="1" ht="24.95" customHeight="1">
      <c r="A6" s="75"/>
      <c r="B6" s="366" t="s">
        <v>944</v>
      </c>
      <c r="C6" s="371"/>
      <c r="D6" s="371"/>
      <c r="E6" s="372"/>
      <c r="F6" s="368"/>
      <c r="G6" s="77"/>
      <c r="H6" s="77"/>
      <c r="I6" s="257"/>
    </row>
    <row r="7" spans="1:130" s="78" customFormat="1" ht="24.95" customHeight="1">
      <c r="A7" s="75"/>
      <c r="B7" s="373" t="s">
        <v>940</v>
      </c>
      <c r="C7" s="371"/>
      <c r="D7" s="371"/>
      <c r="E7" s="372"/>
      <c r="F7" s="368"/>
      <c r="G7" s="77"/>
      <c r="H7" s="77"/>
      <c r="I7" s="257"/>
    </row>
    <row r="8" spans="1:130" s="78" customFormat="1" ht="24.95" customHeight="1">
      <c r="A8" s="75"/>
      <c r="B8" s="373" t="s">
        <v>941</v>
      </c>
      <c r="C8" s="371">
        <v>8</v>
      </c>
      <c r="D8" s="371">
        <v>1</v>
      </c>
      <c r="E8" s="372">
        <v>1.4</v>
      </c>
      <c r="F8" s="368">
        <v>4</v>
      </c>
      <c r="G8" s="77">
        <f>+F8*E8*D8</f>
        <v>5.6</v>
      </c>
      <c r="H8" s="77">
        <f>+C8*C8/162</f>
        <v>0.39506172839506171</v>
      </c>
      <c r="I8" s="257">
        <f>+H8*G8</f>
        <v>2.2123456790123455</v>
      </c>
      <c r="K8" s="220"/>
    </row>
    <row r="9" spans="1:130" s="78" customFormat="1" ht="24.95" customHeight="1">
      <c r="A9" s="75"/>
      <c r="B9" s="373" t="s">
        <v>1174</v>
      </c>
      <c r="C9" s="371">
        <v>8</v>
      </c>
      <c r="D9" s="371">
        <v>1</v>
      </c>
      <c r="E9" s="372">
        <v>0.57999999999999996</v>
      </c>
      <c r="F9" s="368">
        <v>9</v>
      </c>
      <c r="G9" s="77">
        <f t="shared" ref="G9:G72" si="0">+F9*E9*D9</f>
        <v>5.22</v>
      </c>
      <c r="H9" s="77">
        <f t="shared" ref="H9:H103" si="1">+C9*C9/162</f>
        <v>0.39506172839506171</v>
      </c>
      <c r="I9" s="257">
        <f t="shared" ref="I9:I72" si="2">+H9*G9</f>
        <v>2.0622222222222222</v>
      </c>
      <c r="K9" s="220"/>
    </row>
    <row r="10" spans="1:130" s="78" customFormat="1" ht="24.95" customHeight="1">
      <c r="A10" s="75"/>
      <c r="B10" s="356" t="s">
        <v>942</v>
      </c>
      <c r="C10" s="76"/>
      <c r="D10" s="76"/>
      <c r="E10" s="77"/>
      <c r="F10" s="368"/>
      <c r="G10" s="77">
        <f t="shared" si="0"/>
        <v>0</v>
      </c>
      <c r="H10" s="77">
        <f t="shared" si="1"/>
        <v>0</v>
      </c>
      <c r="I10" s="257">
        <f t="shared" si="2"/>
        <v>0</v>
      </c>
    </row>
    <row r="11" spans="1:130" s="78" customFormat="1" ht="24.95" customHeight="1">
      <c r="A11" s="75"/>
      <c r="B11" s="374" t="s">
        <v>943</v>
      </c>
      <c r="C11" s="371">
        <v>8</v>
      </c>
      <c r="D11" s="76">
        <v>7</v>
      </c>
      <c r="E11" s="77">
        <v>1.4</v>
      </c>
      <c r="F11" s="368">
        <v>4</v>
      </c>
      <c r="G11" s="77">
        <f t="shared" si="0"/>
        <v>39.199999999999996</v>
      </c>
      <c r="H11" s="77">
        <f t="shared" si="1"/>
        <v>0.39506172839506171</v>
      </c>
      <c r="I11" s="257">
        <f t="shared" si="2"/>
        <v>15.486419753086418</v>
      </c>
      <c r="K11" s="220"/>
    </row>
    <row r="12" spans="1:130" s="78" customFormat="1" ht="24.95" customHeight="1">
      <c r="A12" s="75"/>
      <c r="B12" s="373" t="s">
        <v>1174</v>
      </c>
      <c r="C12" s="371">
        <v>8</v>
      </c>
      <c r="D12" s="76">
        <v>7</v>
      </c>
      <c r="E12" s="372">
        <v>0.57999999999999996</v>
      </c>
      <c r="F12" s="368">
        <v>9</v>
      </c>
      <c r="G12" s="77">
        <f t="shared" si="0"/>
        <v>36.54</v>
      </c>
      <c r="H12" s="77">
        <f>+C12*C12/162</f>
        <v>0.39506172839506171</v>
      </c>
      <c r="I12" s="257">
        <f t="shared" si="2"/>
        <v>14.435555555555554</v>
      </c>
      <c r="K12" s="220"/>
    </row>
    <row r="13" spans="1:130" s="78" customFormat="1" ht="24.95" customHeight="1">
      <c r="A13" s="75"/>
      <c r="B13" s="356" t="s">
        <v>945</v>
      </c>
      <c r="C13" s="76"/>
      <c r="D13" s="76">
        <v>0</v>
      </c>
      <c r="E13" s="77"/>
      <c r="F13" s="368"/>
      <c r="G13" s="77">
        <f t="shared" si="0"/>
        <v>0</v>
      </c>
      <c r="H13" s="77">
        <f t="shared" si="1"/>
        <v>0</v>
      </c>
      <c r="I13" s="257">
        <f t="shared" si="2"/>
        <v>0</v>
      </c>
    </row>
    <row r="14" spans="1:130" s="78" customFormat="1" ht="24.95" customHeight="1">
      <c r="A14" s="75"/>
      <c r="B14" s="356" t="s">
        <v>946</v>
      </c>
      <c r="C14" s="371">
        <v>8</v>
      </c>
      <c r="D14" s="76">
        <v>1</v>
      </c>
      <c r="E14" s="77">
        <v>3.25</v>
      </c>
      <c r="F14" s="368">
        <v>5</v>
      </c>
      <c r="G14" s="77">
        <f t="shared" si="0"/>
        <v>16.25</v>
      </c>
      <c r="H14" s="77">
        <f t="shared" si="1"/>
        <v>0.39506172839506171</v>
      </c>
      <c r="I14" s="257">
        <f t="shared" si="2"/>
        <v>6.4197530864197532</v>
      </c>
      <c r="K14" s="220"/>
    </row>
    <row r="15" spans="1:130" s="78" customFormat="1" ht="24.95" customHeight="1">
      <c r="A15" s="75"/>
      <c r="B15" s="373" t="s">
        <v>1174</v>
      </c>
      <c r="C15" s="371">
        <v>8</v>
      </c>
      <c r="D15" s="76">
        <v>1</v>
      </c>
      <c r="E15" s="372">
        <v>0.57999999999999996</v>
      </c>
      <c r="F15" s="368">
        <v>9</v>
      </c>
      <c r="G15" s="77">
        <f t="shared" si="0"/>
        <v>5.22</v>
      </c>
      <c r="H15" s="77">
        <f t="shared" si="1"/>
        <v>0.39506172839506171</v>
      </c>
      <c r="I15" s="257">
        <f t="shared" si="2"/>
        <v>2.0622222222222222</v>
      </c>
      <c r="K15" s="220"/>
    </row>
    <row r="16" spans="1:130" s="78" customFormat="1" ht="24.95" customHeight="1">
      <c r="A16" s="75"/>
      <c r="B16" s="356" t="s">
        <v>947</v>
      </c>
      <c r="C16" s="76"/>
      <c r="D16" s="76">
        <v>0</v>
      </c>
      <c r="E16" s="77"/>
      <c r="F16" s="368"/>
      <c r="G16" s="77">
        <f t="shared" si="0"/>
        <v>0</v>
      </c>
      <c r="H16" s="77">
        <f t="shared" si="1"/>
        <v>0</v>
      </c>
      <c r="I16" s="257">
        <f t="shared" si="2"/>
        <v>0</v>
      </c>
    </row>
    <row r="17" spans="1:11" s="78" customFormat="1" ht="24.95" customHeight="1">
      <c r="A17" s="75"/>
      <c r="B17" s="356" t="s">
        <v>948</v>
      </c>
      <c r="C17" s="371">
        <v>8</v>
      </c>
      <c r="D17" s="76">
        <v>4</v>
      </c>
      <c r="E17" s="77">
        <v>1.4</v>
      </c>
      <c r="F17" s="368">
        <v>4</v>
      </c>
      <c r="G17" s="77">
        <f t="shared" si="0"/>
        <v>22.4</v>
      </c>
      <c r="H17" s="77">
        <f t="shared" si="1"/>
        <v>0.39506172839506171</v>
      </c>
      <c r="I17" s="257">
        <f t="shared" si="2"/>
        <v>8.8493827160493819</v>
      </c>
      <c r="K17" s="220"/>
    </row>
    <row r="18" spans="1:11" s="78" customFormat="1" ht="24.95" customHeight="1">
      <c r="A18" s="75"/>
      <c r="B18" s="373" t="s">
        <v>1174</v>
      </c>
      <c r="C18" s="371">
        <v>8</v>
      </c>
      <c r="D18" s="76">
        <v>4</v>
      </c>
      <c r="E18" s="372">
        <v>0.57999999999999996</v>
      </c>
      <c r="F18" s="368">
        <v>9</v>
      </c>
      <c r="G18" s="77">
        <f t="shared" si="0"/>
        <v>20.88</v>
      </c>
      <c r="H18" s="77">
        <f>+C18*C18/162</f>
        <v>0.39506172839506171</v>
      </c>
      <c r="I18" s="257">
        <f t="shared" si="2"/>
        <v>8.2488888888888887</v>
      </c>
      <c r="K18" s="220"/>
    </row>
    <row r="19" spans="1:11" s="78" customFormat="1" ht="24.95" customHeight="1">
      <c r="A19" s="75"/>
      <c r="B19" s="356" t="s">
        <v>949</v>
      </c>
      <c r="C19" s="371">
        <v>8</v>
      </c>
      <c r="D19" s="76">
        <v>1</v>
      </c>
      <c r="E19" s="77">
        <v>1.4</v>
      </c>
      <c r="F19" s="368">
        <v>4</v>
      </c>
      <c r="G19" s="77">
        <f t="shared" si="0"/>
        <v>5.6</v>
      </c>
      <c r="H19" s="77">
        <f t="shared" si="1"/>
        <v>0.39506172839506171</v>
      </c>
      <c r="I19" s="257">
        <f t="shared" si="2"/>
        <v>2.2123456790123455</v>
      </c>
      <c r="K19" s="220"/>
    </row>
    <row r="20" spans="1:11" s="78" customFormat="1" ht="24.95" customHeight="1">
      <c r="A20" s="75"/>
      <c r="B20" s="373" t="s">
        <v>1174</v>
      </c>
      <c r="C20" s="371">
        <v>8</v>
      </c>
      <c r="D20" s="76">
        <v>1</v>
      </c>
      <c r="E20" s="372">
        <v>0.57999999999999996</v>
      </c>
      <c r="F20" s="368">
        <v>9</v>
      </c>
      <c r="G20" s="77">
        <f t="shared" si="0"/>
        <v>5.22</v>
      </c>
      <c r="H20" s="77">
        <f t="shared" si="1"/>
        <v>0.39506172839506171</v>
      </c>
      <c r="I20" s="257">
        <f t="shared" si="2"/>
        <v>2.0622222222222222</v>
      </c>
      <c r="K20" s="220"/>
    </row>
    <row r="21" spans="1:11" s="78" customFormat="1" ht="24.95" customHeight="1">
      <c r="A21" s="75"/>
      <c r="B21" s="356" t="s">
        <v>950</v>
      </c>
      <c r="C21" s="76"/>
      <c r="D21" s="76">
        <v>0</v>
      </c>
      <c r="E21" s="77"/>
      <c r="F21" s="368"/>
      <c r="G21" s="77">
        <f t="shared" si="0"/>
        <v>0</v>
      </c>
      <c r="H21" s="77">
        <f t="shared" si="1"/>
        <v>0</v>
      </c>
      <c r="I21" s="257">
        <f t="shared" si="2"/>
        <v>0</v>
      </c>
    </row>
    <row r="22" spans="1:11" s="78" customFormat="1" ht="24.95" customHeight="1">
      <c r="A22" s="75"/>
      <c r="B22" s="356" t="s">
        <v>951</v>
      </c>
      <c r="C22" s="371">
        <v>8</v>
      </c>
      <c r="D22" s="76">
        <v>1</v>
      </c>
      <c r="E22" s="77">
        <v>1.4</v>
      </c>
      <c r="F22" s="368">
        <v>4</v>
      </c>
      <c r="G22" s="77">
        <f t="shared" si="0"/>
        <v>5.6</v>
      </c>
      <c r="H22" s="77">
        <f t="shared" si="1"/>
        <v>0.39506172839506171</v>
      </c>
      <c r="I22" s="257">
        <f t="shared" si="2"/>
        <v>2.2123456790123455</v>
      </c>
      <c r="K22" s="220"/>
    </row>
    <row r="23" spans="1:11" s="78" customFormat="1" ht="24.95" customHeight="1">
      <c r="A23" s="75"/>
      <c r="B23" s="373" t="s">
        <v>1174</v>
      </c>
      <c r="C23" s="371">
        <v>8</v>
      </c>
      <c r="D23" s="76">
        <v>1</v>
      </c>
      <c r="E23" s="372">
        <v>0.57999999999999996</v>
      </c>
      <c r="F23" s="368">
        <v>9</v>
      </c>
      <c r="G23" s="77">
        <f t="shared" si="0"/>
        <v>5.22</v>
      </c>
      <c r="H23" s="77">
        <f>+C23*C23/162</f>
        <v>0.39506172839506171</v>
      </c>
      <c r="I23" s="257">
        <f t="shared" si="2"/>
        <v>2.0622222222222222</v>
      </c>
      <c r="K23" s="220"/>
    </row>
    <row r="24" spans="1:11" s="78" customFormat="1" ht="24.95" customHeight="1">
      <c r="A24" s="75"/>
      <c r="B24" s="356" t="s">
        <v>952</v>
      </c>
      <c r="C24" s="76"/>
      <c r="D24" s="76">
        <v>0</v>
      </c>
      <c r="E24" s="77"/>
      <c r="F24" s="368"/>
      <c r="G24" s="77">
        <f t="shared" si="0"/>
        <v>0</v>
      </c>
      <c r="H24" s="77">
        <f t="shared" si="1"/>
        <v>0</v>
      </c>
      <c r="I24" s="257">
        <f t="shared" si="2"/>
        <v>0</v>
      </c>
    </row>
    <row r="25" spans="1:11" s="78" customFormat="1" ht="24.95" customHeight="1">
      <c r="A25" s="75"/>
      <c r="B25" s="356" t="s">
        <v>953</v>
      </c>
      <c r="C25" s="371">
        <v>8</v>
      </c>
      <c r="D25" s="76">
        <v>1</v>
      </c>
      <c r="E25" s="77">
        <v>1.6</v>
      </c>
      <c r="F25" s="368">
        <v>5</v>
      </c>
      <c r="G25" s="77">
        <f t="shared" si="0"/>
        <v>8</v>
      </c>
      <c r="H25" s="77">
        <f t="shared" si="1"/>
        <v>0.39506172839506171</v>
      </c>
      <c r="I25" s="257">
        <f t="shared" si="2"/>
        <v>3.1604938271604937</v>
      </c>
      <c r="K25" s="220"/>
    </row>
    <row r="26" spans="1:11" s="78" customFormat="1" ht="24.95" customHeight="1">
      <c r="A26" s="75"/>
      <c r="B26" s="373" t="s">
        <v>1174</v>
      </c>
      <c r="C26" s="371">
        <v>8</v>
      </c>
      <c r="D26" s="76">
        <v>1</v>
      </c>
      <c r="E26" s="372">
        <v>0.57999999999999996</v>
      </c>
      <c r="F26" s="368">
        <v>11</v>
      </c>
      <c r="G26" s="77">
        <f t="shared" si="0"/>
        <v>6.38</v>
      </c>
      <c r="H26" s="77">
        <f t="shared" si="1"/>
        <v>0.39506172839506171</v>
      </c>
      <c r="I26" s="257">
        <f t="shared" si="2"/>
        <v>2.5204938271604935</v>
      </c>
      <c r="K26" s="220"/>
    </row>
    <row r="27" spans="1:11" s="78" customFormat="1" ht="24.95" customHeight="1">
      <c r="A27" s="75"/>
      <c r="B27" s="356" t="s">
        <v>954</v>
      </c>
      <c r="C27" s="76"/>
      <c r="D27" s="76">
        <v>0</v>
      </c>
      <c r="E27" s="77"/>
      <c r="F27" s="368"/>
      <c r="G27" s="77">
        <f t="shared" si="0"/>
        <v>0</v>
      </c>
      <c r="H27" s="77">
        <f t="shared" si="1"/>
        <v>0</v>
      </c>
      <c r="I27" s="257">
        <f t="shared" si="2"/>
        <v>0</v>
      </c>
    </row>
    <row r="28" spans="1:11" s="78" customFormat="1" ht="24.95" customHeight="1">
      <c r="A28" s="75"/>
      <c r="B28" s="356" t="s">
        <v>955</v>
      </c>
      <c r="C28" s="371"/>
      <c r="D28" s="371">
        <v>0</v>
      </c>
      <c r="E28" s="372"/>
      <c r="F28" s="368"/>
      <c r="G28" s="77">
        <f t="shared" si="0"/>
        <v>0</v>
      </c>
      <c r="H28" s="77">
        <f t="shared" si="1"/>
        <v>0</v>
      </c>
      <c r="I28" s="257">
        <f t="shared" si="2"/>
        <v>0</v>
      </c>
    </row>
    <row r="29" spans="1:11" s="78" customFormat="1" ht="24.95" customHeight="1">
      <c r="A29" s="75"/>
      <c r="B29" s="356" t="s">
        <v>953</v>
      </c>
      <c r="C29" s="371">
        <v>8</v>
      </c>
      <c r="D29" s="371">
        <v>1</v>
      </c>
      <c r="E29" s="372">
        <v>1.6</v>
      </c>
      <c r="F29" s="368">
        <v>5</v>
      </c>
      <c r="G29" s="77">
        <f t="shared" si="0"/>
        <v>8</v>
      </c>
      <c r="H29" s="77">
        <f t="shared" si="1"/>
        <v>0.39506172839506171</v>
      </c>
      <c r="I29" s="257">
        <f t="shared" si="2"/>
        <v>3.1604938271604937</v>
      </c>
      <c r="K29" s="220"/>
    </row>
    <row r="30" spans="1:11" s="78" customFormat="1" ht="24.95" customHeight="1">
      <c r="A30" s="75"/>
      <c r="B30" s="373" t="s">
        <v>1174</v>
      </c>
      <c r="C30" s="371">
        <v>8</v>
      </c>
      <c r="D30" s="76">
        <v>1</v>
      </c>
      <c r="E30" s="372">
        <v>0.57999999999999996</v>
      </c>
      <c r="F30" s="368">
        <v>11</v>
      </c>
      <c r="G30" s="77">
        <f t="shared" si="0"/>
        <v>6.38</v>
      </c>
      <c r="H30" s="77">
        <f>+C30*C30/162</f>
        <v>0.39506172839506171</v>
      </c>
      <c r="I30" s="257">
        <f t="shared" si="2"/>
        <v>2.5204938271604935</v>
      </c>
      <c r="K30" s="220"/>
    </row>
    <row r="31" spans="1:11" s="78" customFormat="1" ht="24.95" customHeight="1">
      <c r="A31" s="75"/>
      <c r="B31" s="356" t="s">
        <v>956</v>
      </c>
      <c r="C31" s="371">
        <v>8</v>
      </c>
      <c r="D31" s="371">
        <v>1</v>
      </c>
      <c r="E31" s="372">
        <v>1.3</v>
      </c>
      <c r="F31" s="368">
        <v>4</v>
      </c>
      <c r="G31" s="77">
        <f t="shared" si="0"/>
        <v>5.2</v>
      </c>
      <c r="H31" s="77">
        <f t="shared" si="1"/>
        <v>0.39506172839506171</v>
      </c>
      <c r="I31" s="257">
        <f t="shared" si="2"/>
        <v>2.0543209876543211</v>
      </c>
      <c r="K31" s="220"/>
    </row>
    <row r="32" spans="1:11" s="78" customFormat="1" ht="24.95" customHeight="1">
      <c r="A32" s="75"/>
      <c r="B32" s="373" t="s">
        <v>1174</v>
      </c>
      <c r="C32" s="371">
        <v>8</v>
      </c>
      <c r="D32" s="76">
        <v>1</v>
      </c>
      <c r="E32" s="372">
        <v>0.57999999999999996</v>
      </c>
      <c r="F32" s="368">
        <v>9</v>
      </c>
      <c r="G32" s="77">
        <f t="shared" si="0"/>
        <v>5.22</v>
      </c>
      <c r="H32" s="77">
        <f t="shared" si="1"/>
        <v>0.39506172839506171</v>
      </c>
      <c r="I32" s="257">
        <f t="shared" si="2"/>
        <v>2.0622222222222222</v>
      </c>
      <c r="K32" s="220"/>
    </row>
    <row r="33" spans="1:11" s="78" customFormat="1" ht="24.95" customHeight="1">
      <c r="A33" s="75"/>
      <c r="B33" s="366" t="s">
        <v>1048</v>
      </c>
      <c r="C33" s="371"/>
      <c r="D33" s="371">
        <v>0</v>
      </c>
      <c r="E33" s="372"/>
      <c r="F33" s="368"/>
      <c r="G33" s="77">
        <f t="shared" si="0"/>
        <v>0</v>
      </c>
      <c r="H33" s="77">
        <f t="shared" si="1"/>
        <v>0</v>
      </c>
      <c r="I33" s="257">
        <f t="shared" si="2"/>
        <v>0</v>
      </c>
    </row>
    <row r="34" spans="1:11" s="78" customFormat="1" ht="24.95" customHeight="1">
      <c r="A34" s="75"/>
      <c r="B34" s="373" t="s">
        <v>1049</v>
      </c>
      <c r="C34" s="371"/>
      <c r="D34" s="371">
        <v>0</v>
      </c>
      <c r="E34" s="372"/>
      <c r="F34" s="368"/>
      <c r="G34" s="77">
        <f t="shared" si="0"/>
        <v>0</v>
      </c>
      <c r="H34" s="77">
        <f t="shared" si="1"/>
        <v>0</v>
      </c>
      <c r="I34" s="257">
        <f t="shared" si="2"/>
        <v>0</v>
      </c>
    </row>
    <row r="35" spans="1:11" s="78" customFormat="1" ht="24.95" customHeight="1">
      <c r="A35" s="75"/>
      <c r="B35" s="373" t="s">
        <v>941</v>
      </c>
      <c r="C35" s="371">
        <v>8</v>
      </c>
      <c r="D35" s="371">
        <v>3</v>
      </c>
      <c r="E35" s="372">
        <v>1.4</v>
      </c>
      <c r="F35" s="368">
        <v>4</v>
      </c>
      <c r="G35" s="77">
        <f t="shared" si="0"/>
        <v>16.799999999999997</v>
      </c>
      <c r="H35" s="77">
        <f t="shared" si="1"/>
        <v>0.39506172839506171</v>
      </c>
      <c r="I35" s="257">
        <f t="shared" si="2"/>
        <v>6.637037037037036</v>
      </c>
      <c r="K35" s="220"/>
    </row>
    <row r="36" spans="1:11" s="78" customFormat="1" ht="24.95" customHeight="1">
      <c r="A36" s="75"/>
      <c r="B36" s="373" t="s">
        <v>1174</v>
      </c>
      <c r="C36" s="371">
        <v>8</v>
      </c>
      <c r="D36" s="371">
        <v>3</v>
      </c>
      <c r="E36" s="372">
        <v>0.57999999999999996</v>
      </c>
      <c r="F36" s="368">
        <v>9</v>
      </c>
      <c r="G36" s="77">
        <f t="shared" si="0"/>
        <v>15.66</v>
      </c>
      <c r="H36" s="77">
        <f>+C36*C36/162</f>
        <v>0.39506172839506171</v>
      </c>
      <c r="I36" s="257">
        <f t="shared" si="2"/>
        <v>6.1866666666666665</v>
      </c>
      <c r="K36" s="220"/>
    </row>
    <row r="37" spans="1:11" s="78" customFormat="1" ht="24.95" customHeight="1">
      <c r="A37" s="75"/>
      <c r="B37" s="373" t="s">
        <v>1050</v>
      </c>
      <c r="C37" s="371"/>
      <c r="D37" s="371">
        <v>0</v>
      </c>
      <c r="E37" s="372"/>
      <c r="F37" s="368"/>
      <c r="G37" s="77">
        <f t="shared" si="0"/>
        <v>0</v>
      </c>
      <c r="H37" s="77">
        <f t="shared" si="1"/>
        <v>0</v>
      </c>
      <c r="I37" s="257">
        <f t="shared" si="2"/>
        <v>0</v>
      </c>
    </row>
    <row r="38" spans="1:11" s="78" customFormat="1" ht="24.95" customHeight="1">
      <c r="A38" s="75"/>
      <c r="B38" s="373" t="s">
        <v>1051</v>
      </c>
      <c r="C38" s="371">
        <v>8</v>
      </c>
      <c r="D38" s="371">
        <v>3</v>
      </c>
      <c r="E38" s="372">
        <v>1.4</v>
      </c>
      <c r="F38" s="368">
        <v>4</v>
      </c>
      <c r="G38" s="77">
        <f t="shared" si="0"/>
        <v>16.799999999999997</v>
      </c>
      <c r="H38" s="77">
        <f t="shared" si="1"/>
        <v>0.39506172839506171</v>
      </c>
      <c r="I38" s="257">
        <f t="shared" si="2"/>
        <v>6.637037037037036</v>
      </c>
      <c r="K38" s="220"/>
    </row>
    <row r="39" spans="1:11" s="78" customFormat="1" ht="24.95" customHeight="1">
      <c r="A39" s="75"/>
      <c r="B39" s="373" t="s">
        <v>1174</v>
      </c>
      <c r="C39" s="371">
        <v>8</v>
      </c>
      <c r="D39" s="371">
        <v>3</v>
      </c>
      <c r="E39" s="372">
        <v>0.57999999999999996</v>
      </c>
      <c r="F39" s="368">
        <v>9</v>
      </c>
      <c r="G39" s="77">
        <f t="shared" si="0"/>
        <v>15.66</v>
      </c>
      <c r="H39" s="77">
        <f t="shared" si="1"/>
        <v>0.39506172839506171</v>
      </c>
      <c r="I39" s="257">
        <f t="shared" si="2"/>
        <v>6.1866666666666665</v>
      </c>
      <c r="K39" s="220"/>
    </row>
    <row r="40" spans="1:11" s="78" customFormat="1" ht="24.95" customHeight="1">
      <c r="A40" s="75"/>
      <c r="B40" s="373" t="s">
        <v>1052</v>
      </c>
      <c r="C40" s="371">
        <v>8</v>
      </c>
      <c r="D40" s="371">
        <v>1</v>
      </c>
      <c r="E40" s="372">
        <v>3.4</v>
      </c>
      <c r="F40" s="368">
        <v>5</v>
      </c>
      <c r="G40" s="77">
        <f t="shared" si="0"/>
        <v>17</v>
      </c>
      <c r="H40" s="77">
        <f t="shared" si="1"/>
        <v>0.39506172839506171</v>
      </c>
      <c r="I40" s="257">
        <f t="shared" si="2"/>
        <v>6.716049382716049</v>
      </c>
      <c r="K40" s="220"/>
    </row>
    <row r="41" spans="1:11" s="78" customFormat="1" ht="24.95" customHeight="1">
      <c r="A41" s="75"/>
      <c r="B41" s="373" t="s">
        <v>1174</v>
      </c>
      <c r="C41" s="371">
        <v>8</v>
      </c>
      <c r="D41" s="371">
        <v>1</v>
      </c>
      <c r="E41" s="372">
        <v>0.57999999999999996</v>
      </c>
      <c r="F41" s="368">
        <v>23</v>
      </c>
      <c r="G41" s="77">
        <f t="shared" si="0"/>
        <v>13.34</v>
      </c>
      <c r="H41" s="77">
        <f>+C41*C41/162</f>
        <v>0.39506172839506171</v>
      </c>
      <c r="I41" s="257">
        <f t="shared" si="2"/>
        <v>5.270123456790123</v>
      </c>
      <c r="K41" s="220"/>
    </row>
    <row r="42" spans="1:11" s="78" customFormat="1" ht="24.95" customHeight="1">
      <c r="A42" s="75"/>
      <c r="B42" s="356" t="s">
        <v>1053</v>
      </c>
      <c r="C42" s="76"/>
      <c r="D42" s="76">
        <v>0</v>
      </c>
      <c r="E42" s="77"/>
      <c r="F42" s="368"/>
      <c r="G42" s="77">
        <f t="shared" si="0"/>
        <v>0</v>
      </c>
      <c r="H42" s="77">
        <f t="shared" si="1"/>
        <v>0</v>
      </c>
      <c r="I42" s="257">
        <f t="shared" si="2"/>
        <v>0</v>
      </c>
    </row>
    <row r="43" spans="1:11" s="78" customFormat="1" ht="24.95" customHeight="1">
      <c r="A43" s="75"/>
      <c r="B43" s="356" t="s">
        <v>1054</v>
      </c>
      <c r="C43" s="371">
        <v>8</v>
      </c>
      <c r="D43" s="76">
        <v>1</v>
      </c>
      <c r="E43" s="77">
        <v>2.2000000000000002</v>
      </c>
      <c r="F43" s="368">
        <v>5</v>
      </c>
      <c r="G43" s="77">
        <f t="shared" si="0"/>
        <v>11</v>
      </c>
      <c r="H43" s="77">
        <f t="shared" si="1"/>
        <v>0.39506172839506171</v>
      </c>
      <c r="I43" s="257">
        <f t="shared" si="2"/>
        <v>4.3456790123456788</v>
      </c>
      <c r="K43" s="220"/>
    </row>
    <row r="44" spans="1:11" s="78" customFormat="1" ht="24.95" customHeight="1">
      <c r="A44" s="75"/>
      <c r="B44" s="373" t="s">
        <v>1174</v>
      </c>
      <c r="C44" s="371">
        <v>8</v>
      </c>
      <c r="D44" s="371">
        <v>1</v>
      </c>
      <c r="E44" s="372">
        <v>0.57999999999999996</v>
      </c>
      <c r="F44" s="368">
        <v>15</v>
      </c>
      <c r="G44" s="77">
        <f t="shared" si="0"/>
        <v>8.6999999999999993</v>
      </c>
      <c r="H44" s="77">
        <f t="shared" si="1"/>
        <v>0.39506172839506171</v>
      </c>
      <c r="I44" s="257">
        <f t="shared" si="2"/>
        <v>3.4370370370370367</v>
      </c>
      <c r="K44" s="220"/>
    </row>
    <row r="45" spans="1:11" s="78" customFormat="1" ht="24.95" customHeight="1">
      <c r="A45" s="75"/>
      <c r="B45" s="362" t="s">
        <v>1055</v>
      </c>
      <c r="C45" s="76"/>
      <c r="D45" s="76">
        <v>0</v>
      </c>
      <c r="E45" s="77"/>
      <c r="F45" s="368"/>
      <c r="G45" s="77">
        <f t="shared" si="0"/>
        <v>0</v>
      </c>
      <c r="H45" s="77">
        <f t="shared" si="1"/>
        <v>0</v>
      </c>
      <c r="I45" s="257">
        <f t="shared" si="2"/>
        <v>0</v>
      </c>
    </row>
    <row r="46" spans="1:11" s="78" customFormat="1" ht="24.95" customHeight="1">
      <c r="A46" s="75"/>
      <c r="B46" s="374" t="s">
        <v>1056</v>
      </c>
      <c r="C46" s="76"/>
      <c r="D46" s="76">
        <v>0</v>
      </c>
      <c r="E46" s="77"/>
      <c r="F46" s="368"/>
      <c r="G46" s="77">
        <f t="shared" si="0"/>
        <v>0</v>
      </c>
      <c r="H46" s="77">
        <f t="shared" si="1"/>
        <v>0</v>
      </c>
      <c r="I46" s="257">
        <f t="shared" si="2"/>
        <v>0</v>
      </c>
    </row>
    <row r="47" spans="1:11" s="78" customFormat="1" ht="24.95" customHeight="1">
      <c r="A47" s="75"/>
      <c r="B47" s="374" t="s">
        <v>1051</v>
      </c>
      <c r="C47" s="371">
        <v>8</v>
      </c>
      <c r="D47" s="76">
        <v>4</v>
      </c>
      <c r="E47" s="77">
        <v>1.4</v>
      </c>
      <c r="F47" s="368">
        <v>4</v>
      </c>
      <c r="G47" s="77">
        <f t="shared" si="0"/>
        <v>22.4</v>
      </c>
      <c r="H47" s="77">
        <f t="shared" si="1"/>
        <v>0.39506172839506171</v>
      </c>
      <c r="I47" s="257">
        <f t="shared" si="2"/>
        <v>8.8493827160493819</v>
      </c>
      <c r="K47" s="220"/>
    </row>
    <row r="48" spans="1:11" s="78" customFormat="1" ht="24.95" customHeight="1">
      <c r="A48" s="75"/>
      <c r="B48" s="373" t="s">
        <v>1174</v>
      </c>
      <c r="C48" s="371">
        <v>8</v>
      </c>
      <c r="D48" s="76">
        <v>4</v>
      </c>
      <c r="E48" s="372">
        <v>0.57999999999999996</v>
      </c>
      <c r="F48" s="368">
        <v>9</v>
      </c>
      <c r="G48" s="77">
        <f t="shared" si="0"/>
        <v>20.88</v>
      </c>
      <c r="H48" s="77">
        <f>+C48*C48/162</f>
        <v>0.39506172839506171</v>
      </c>
      <c r="I48" s="257">
        <f t="shared" si="2"/>
        <v>8.2488888888888887</v>
      </c>
      <c r="K48" s="220"/>
    </row>
    <row r="49" spans="1:11" s="78" customFormat="1" ht="24.95" customHeight="1">
      <c r="A49" s="75"/>
      <c r="B49" s="356" t="s">
        <v>1057</v>
      </c>
      <c r="C49" s="76"/>
      <c r="D49" s="76">
        <v>0</v>
      </c>
      <c r="E49" s="77"/>
      <c r="F49" s="368"/>
      <c r="G49" s="77">
        <f t="shared" si="0"/>
        <v>0</v>
      </c>
      <c r="H49" s="77">
        <f t="shared" si="1"/>
        <v>0</v>
      </c>
      <c r="I49" s="257">
        <f t="shared" si="2"/>
        <v>0</v>
      </c>
    </row>
    <row r="50" spans="1:11" s="78" customFormat="1" ht="24.95" customHeight="1">
      <c r="A50" s="75"/>
      <c r="B50" s="356" t="s">
        <v>1051</v>
      </c>
      <c r="C50" s="371">
        <v>8</v>
      </c>
      <c r="D50" s="76">
        <v>2</v>
      </c>
      <c r="E50" s="77">
        <v>1.4</v>
      </c>
      <c r="F50" s="368">
        <v>4</v>
      </c>
      <c r="G50" s="77">
        <f t="shared" si="0"/>
        <v>11.2</v>
      </c>
      <c r="H50" s="77">
        <f t="shared" si="1"/>
        <v>0.39506172839506171</v>
      </c>
      <c r="I50" s="257">
        <f t="shared" si="2"/>
        <v>4.4246913580246909</v>
      </c>
      <c r="K50" s="220"/>
    </row>
    <row r="51" spans="1:11" s="78" customFormat="1" ht="24.95" customHeight="1">
      <c r="A51" s="75"/>
      <c r="B51" s="373" t="s">
        <v>1174</v>
      </c>
      <c r="C51" s="371">
        <v>8</v>
      </c>
      <c r="D51" s="76">
        <v>2</v>
      </c>
      <c r="E51" s="372">
        <v>0.57999999999999996</v>
      </c>
      <c r="F51" s="368">
        <v>9</v>
      </c>
      <c r="G51" s="77">
        <f t="shared" si="0"/>
        <v>10.44</v>
      </c>
      <c r="H51" s="77">
        <f t="shared" si="1"/>
        <v>0.39506172839506171</v>
      </c>
      <c r="I51" s="257">
        <f t="shared" si="2"/>
        <v>4.1244444444444444</v>
      </c>
      <c r="K51" s="220"/>
    </row>
    <row r="52" spans="1:11" s="78" customFormat="1" ht="24.95" customHeight="1">
      <c r="A52" s="75"/>
      <c r="B52" s="356" t="s">
        <v>1058</v>
      </c>
      <c r="C52" s="371">
        <v>8</v>
      </c>
      <c r="D52" s="76">
        <v>2</v>
      </c>
      <c r="E52" s="77">
        <v>1.2000000000000002</v>
      </c>
      <c r="F52" s="368">
        <v>4</v>
      </c>
      <c r="G52" s="77">
        <f t="shared" si="0"/>
        <v>9.6000000000000014</v>
      </c>
      <c r="H52" s="77">
        <f t="shared" si="1"/>
        <v>0.39506172839506171</v>
      </c>
      <c r="I52" s="257">
        <f t="shared" si="2"/>
        <v>3.7925925925925927</v>
      </c>
      <c r="K52" s="220"/>
    </row>
    <row r="53" spans="1:11" s="78" customFormat="1" ht="24.95" customHeight="1">
      <c r="A53" s="75"/>
      <c r="B53" s="373" t="s">
        <v>1174</v>
      </c>
      <c r="C53" s="371">
        <v>8</v>
      </c>
      <c r="D53" s="76">
        <v>2</v>
      </c>
      <c r="E53" s="372">
        <v>0.57999999999999996</v>
      </c>
      <c r="F53" s="368">
        <v>8</v>
      </c>
      <c r="G53" s="77">
        <f t="shared" si="0"/>
        <v>9.2799999999999994</v>
      </c>
      <c r="H53" s="77">
        <f>+C53*C53/162</f>
        <v>0.39506172839506171</v>
      </c>
      <c r="I53" s="257">
        <f t="shared" si="2"/>
        <v>3.6661728395061726</v>
      </c>
      <c r="K53" s="220"/>
    </row>
    <row r="54" spans="1:11" s="78" customFormat="1" ht="24.95" customHeight="1">
      <c r="A54" s="75"/>
      <c r="B54" s="356" t="s">
        <v>1059</v>
      </c>
      <c r="C54" s="371">
        <v>8</v>
      </c>
      <c r="D54" s="76">
        <v>2</v>
      </c>
      <c r="E54" s="77">
        <v>1</v>
      </c>
      <c r="F54" s="368">
        <v>4</v>
      </c>
      <c r="G54" s="77">
        <f t="shared" si="0"/>
        <v>8</v>
      </c>
      <c r="H54" s="77">
        <f t="shared" si="1"/>
        <v>0.39506172839506171</v>
      </c>
      <c r="I54" s="257">
        <f t="shared" si="2"/>
        <v>3.1604938271604937</v>
      </c>
      <c r="K54" s="220"/>
    </row>
    <row r="55" spans="1:11" s="78" customFormat="1" ht="24.95" customHeight="1">
      <c r="A55" s="75"/>
      <c r="B55" s="373" t="s">
        <v>1174</v>
      </c>
      <c r="C55" s="371">
        <v>8</v>
      </c>
      <c r="D55" s="76">
        <v>2</v>
      </c>
      <c r="E55" s="372">
        <v>0.57999999999999996</v>
      </c>
      <c r="F55" s="368">
        <v>7</v>
      </c>
      <c r="G55" s="77">
        <f t="shared" si="0"/>
        <v>8.1199999999999992</v>
      </c>
      <c r="H55" s="77">
        <f t="shared" si="1"/>
        <v>0.39506172839506171</v>
      </c>
      <c r="I55" s="257">
        <f t="shared" si="2"/>
        <v>3.2079012345679008</v>
      </c>
      <c r="K55" s="220"/>
    </row>
    <row r="56" spans="1:11" s="78" customFormat="1" ht="24.95" customHeight="1">
      <c r="A56" s="75"/>
      <c r="B56" s="356" t="s">
        <v>1060</v>
      </c>
      <c r="C56" s="76"/>
      <c r="D56" s="76">
        <v>0</v>
      </c>
      <c r="E56" s="77"/>
      <c r="F56" s="368"/>
      <c r="G56" s="77">
        <f t="shared" si="0"/>
        <v>0</v>
      </c>
      <c r="H56" s="77">
        <f t="shared" si="1"/>
        <v>0</v>
      </c>
      <c r="I56" s="257">
        <f t="shared" si="2"/>
        <v>0</v>
      </c>
    </row>
    <row r="57" spans="1:11" s="78" customFormat="1" ht="24.95" customHeight="1">
      <c r="A57" s="75"/>
      <c r="B57" s="356" t="s">
        <v>1061</v>
      </c>
      <c r="C57" s="371">
        <v>8</v>
      </c>
      <c r="D57" s="76">
        <v>1</v>
      </c>
      <c r="E57" s="77">
        <v>1.4</v>
      </c>
      <c r="F57" s="368">
        <v>4</v>
      </c>
      <c r="G57" s="77">
        <f t="shared" si="0"/>
        <v>5.6</v>
      </c>
      <c r="H57" s="77">
        <f t="shared" si="1"/>
        <v>0.39506172839506171</v>
      </c>
      <c r="I57" s="257">
        <f t="shared" si="2"/>
        <v>2.2123456790123455</v>
      </c>
      <c r="K57" s="220"/>
    </row>
    <row r="58" spans="1:11" s="78" customFormat="1" ht="24.95" customHeight="1">
      <c r="A58" s="75"/>
      <c r="B58" s="373" t="s">
        <v>1174</v>
      </c>
      <c r="C58" s="371">
        <v>8</v>
      </c>
      <c r="D58" s="76">
        <v>1</v>
      </c>
      <c r="E58" s="372">
        <v>0.57999999999999996</v>
      </c>
      <c r="F58" s="368">
        <v>9</v>
      </c>
      <c r="G58" s="77">
        <f t="shared" si="0"/>
        <v>5.22</v>
      </c>
      <c r="H58" s="77">
        <f>+C58*C58/162</f>
        <v>0.39506172839506171</v>
      </c>
      <c r="I58" s="257">
        <f t="shared" si="2"/>
        <v>2.0622222222222222</v>
      </c>
      <c r="K58" s="220"/>
    </row>
    <row r="59" spans="1:11" s="78" customFormat="1" ht="24.95" customHeight="1">
      <c r="A59" s="75"/>
      <c r="B59" s="356"/>
      <c r="C59" s="76"/>
      <c r="D59" s="76">
        <v>0</v>
      </c>
      <c r="E59" s="77"/>
      <c r="F59" s="368"/>
      <c r="G59" s="77">
        <f t="shared" si="0"/>
        <v>0</v>
      </c>
      <c r="H59" s="77">
        <f t="shared" si="1"/>
        <v>0</v>
      </c>
      <c r="I59" s="257">
        <f t="shared" si="2"/>
        <v>0</v>
      </c>
    </row>
    <row r="60" spans="1:11" s="78" customFormat="1" ht="24.95" customHeight="1">
      <c r="A60" s="75"/>
      <c r="B60" s="362" t="s">
        <v>1062</v>
      </c>
      <c r="C60" s="76"/>
      <c r="D60" s="76">
        <v>0</v>
      </c>
      <c r="E60" s="77"/>
      <c r="F60" s="368"/>
      <c r="G60" s="77">
        <f t="shared" si="0"/>
        <v>0</v>
      </c>
      <c r="H60" s="77">
        <f t="shared" si="1"/>
        <v>0</v>
      </c>
      <c r="I60" s="257">
        <f t="shared" si="2"/>
        <v>0</v>
      </c>
    </row>
    <row r="61" spans="1:11" s="78" customFormat="1" ht="24.95" customHeight="1">
      <c r="A61" s="75"/>
      <c r="B61" s="356" t="s">
        <v>1063</v>
      </c>
      <c r="C61" s="76"/>
      <c r="D61" s="76">
        <v>0</v>
      </c>
      <c r="E61" s="77"/>
      <c r="F61" s="368"/>
      <c r="G61" s="77">
        <f t="shared" si="0"/>
        <v>0</v>
      </c>
      <c r="H61" s="77">
        <f t="shared" si="1"/>
        <v>0</v>
      </c>
      <c r="I61" s="257">
        <f t="shared" si="2"/>
        <v>0</v>
      </c>
    </row>
    <row r="62" spans="1:11" s="78" customFormat="1" ht="24.95" customHeight="1">
      <c r="A62" s="75"/>
      <c r="B62" s="356" t="s">
        <v>1064</v>
      </c>
      <c r="C62" s="371">
        <v>8</v>
      </c>
      <c r="D62" s="76">
        <v>1</v>
      </c>
      <c r="E62" s="77">
        <v>1.6</v>
      </c>
      <c r="F62" s="368">
        <v>5</v>
      </c>
      <c r="G62" s="77">
        <f t="shared" si="0"/>
        <v>8</v>
      </c>
      <c r="H62" s="77">
        <f t="shared" si="1"/>
        <v>0.39506172839506171</v>
      </c>
      <c r="I62" s="257">
        <f t="shared" si="2"/>
        <v>3.1604938271604937</v>
      </c>
      <c r="K62" s="220"/>
    </row>
    <row r="63" spans="1:11" s="78" customFormat="1" ht="24.95" customHeight="1">
      <c r="A63" s="75"/>
      <c r="B63" s="373" t="s">
        <v>1174</v>
      </c>
      <c r="C63" s="371">
        <v>8</v>
      </c>
      <c r="D63" s="76">
        <v>1</v>
      </c>
      <c r="E63" s="372">
        <v>0.57999999999999996</v>
      </c>
      <c r="F63" s="368">
        <v>11</v>
      </c>
      <c r="G63" s="77">
        <f t="shared" si="0"/>
        <v>6.38</v>
      </c>
      <c r="H63" s="77">
        <f t="shared" si="1"/>
        <v>0.39506172839506171</v>
      </c>
      <c r="I63" s="257">
        <f t="shared" si="2"/>
        <v>2.5204938271604935</v>
      </c>
      <c r="K63" s="220"/>
    </row>
    <row r="64" spans="1:11" s="78" customFormat="1" ht="24.95" customHeight="1">
      <c r="A64" s="75"/>
      <c r="B64" s="356" t="s">
        <v>1065</v>
      </c>
      <c r="C64" s="371">
        <v>8</v>
      </c>
      <c r="D64" s="76">
        <v>3</v>
      </c>
      <c r="E64" s="77">
        <v>1.4</v>
      </c>
      <c r="F64" s="368">
        <v>4</v>
      </c>
      <c r="G64" s="77">
        <f t="shared" si="0"/>
        <v>16.799999999999997</v>
      </c>
      <c r="H64" s="77">
        <f t="shared" si="1"/>
        <v>0.39506172839506171</v>
      </c>
      <c r="I64" s="257">
        <f t="shared" si="2"/>
        <v>6.637037037037036</v>
      </c>
      <c r="K64" s="220"/>
    </row>
    <row r="65" spans="1:11" s="78" customFormat="1" ht="24.95" customHeight="1">
      <c r="A65" s="75"/>
      <c r="B65" s="373" t="s">
        <v>1174</v>
      </c>
      <c r="C65" s="371">
        <v>8</v>
      </c>
      <c r="D65" s="76">
        <v>3</v>
      </c>
      <c r="E65" s="372">
        <v>0.57999999999999996</v>
      </c>
      <c r="F65" s="368">
        <v>9</v>
      </c>
      <c r="G65" s="77">
        <f t="shared" si="0"/>
        <v>15.66</v>
      </c>
      <c r="H65" s="77">
        <f>+C65*C65/162</f>
        <v>0.39506172839506171</v>
      </c>
      <c r="I65" s="257">
        <f t="shared" si="2"/>
        <v>6.1866666666666665</v>
      </c>
      <c r="K65" s="220"/>
    </row>
    <row r="66" spans="1:11" s="78" customFormat="1" ht="24.95" customHeight="1">
      <c r="A66" s="75"/>
      <c r="B66" s="356" t="s">
        <v>1066</v>
      </c>
      <c r="C66" s="371">
        <v>8</v>
      </c>
      <c r="D66" s="76">
        <v>1</v>
      </c>
      <c r="E66" s="77">
        <v>3.4</v>
      </c>
      <c r="F66" s="368">
        <v>5</v>
      </c>
      <c r="G66" s="77">
        <f t="shared" si="0"/>
        <v>17</v>
      </c>
      <c r="H66" s="77">
        <f t="shared" si="1"/>
        <v>0.39506172839506171</v>
      </c>
      <c r="I66" s="257">
        <f t="shared" si="2"/>
        <v>6.716049382716049</v>
      </c>
      <c r="K66" s="220"/>
    </row>
    <row r="67" spans="1:11" s="78" customFormat="1" ht="24.95" customHeight="1">
      <c r="A67" s="75"/>
      <c r="B67" s="373" t="s">
        <v>1174</v>
      </c>
      <c r="C67" s="371">
        <v>8</v>
      </c>
      <c r="D67" s="76">
        <v>1</v>
      </c>
      <c r="E67" s="372">
        <v>0.57999999999999996</v>
      </c>
      <c r="F67" s="368">
        <v>23</v>
      </c>
      <c r="G67" s="77">
        <f t="shared" si="0"/>
        <v>13.34</v>
      </c>
      <c r="H67" s="77">
        <f t="shared" si="1"/>
        <v>0.39506172839506171</v>
      </c>
      <c r="I67" s="257">
        <f t="shared" si="2"/>
        <v>5.270123456790123</v>
      </c>
      <c r="K67" s="220"/>
    </row>
    <row r="68" spans="1:11" s="78" customFormat="1" ht="24.95" customHeight="1">
      <c r="A68" s="75"/>
      <c r="B68" s="356" t="s">
        <v>1067</v>
      </c>
      <c r="C68" s="76"/>
      <c r="D68" s="76">
        <v>0</v>
      </c>
      <c r="E68" s="77"/>
      <c r="F68" s="368"/>
      <c r="G68" s="77">
        <f t="shared" si="0"/>
        <v>0</v>
      </c>
      <c r="H68" s="77">
        <f t="shared" si="1"/>
        <v>0</v>
      </c>
      <c r="I68" s="257">
        <f t="shared" si="2"/>
        <v>0</v>
      </c>
    </row>
    <row r="69" spans="1:11" s="78" customFormat="1" ht="24.95" customHeight="1">
      <c r="A69" s="75"/>
      <c r="B69" s="356" t="s">
        <v>1051</v>
      </c>
      <c r="C69" s="371">
        <v>8</v>
      </c>
      <c r="D69" s="76">
        <v>3</v>
      </c>
      <c r="E69" s="77">
        <v>1.4</v>
      </c>
      <c r="F69" s="368">
        <v>4</v>
      </c>
      <c r="G69" s="77">
        <f t="shared" si="0"/>
        <v>16.799999999999997</v>
      </c>
      <c r="H69" s="77">
        <f t="shared" si="1"/>
        <v>0.39506172839506171</v>
      </c>
      <c r="I69" s="257">
        <f t="shared" si="2"/>
        <v>6.637037037037036</v>
      </c>
      <c r="K69" s="220"/>
    </row>
    <row r="70" spans="1:11" s="78" customFormat="1" ht="24.95" customHeight="1">
      <c r="A70" s="75"/>
      <c r="B70" s="373" t="s">
        <v>1174</v>
      </c>
      <c r="C70" s="371">
        <v>8</v>
      </c>
      <c r="D70" s="76">
        <v>3</v>
      </c>
      <c r="E70" s="372">
        <v>0.57999999999999996</v>
      </c>
      <c r="F70" s="368">
        <v>9</v>
      </c>
      <c r="G70" s="77">
        <f t="shared" si="0"/>
        <v>15.66</v>
      </c>
      <c r="H70" s="77">
        <f>+C70*C70/162</f>
        <v>0.39506172839506171</v>
      </c>
      <c r="I70" s="257">
        <f t="shared" si="2"/>
        <v>6.1866666666666665</v>
      </c>
      <c r="K70" s="220"/>
    </row>
    <row r="71" spans="1:11" s="78" customFormat="1" ht="24.95" customHeight="1">
      <c r="A71" s="75"/>
      <c r="B71" s="356" t="s">
        <v>1068</v>
      </c>
      <c r="C71" s="76"/>
      <c r="D71" s="76">
        <v>0</v>
      </c>
      <c r="E71" s="77"/>
      <c r="F71" s="368"/>
      <c r="G71" s="77">
        <f t="shared" si="0"/>
        <v>0</v>
      </c>
      <c r="H71" s="77">
        <f t="shared" si="1"/>
        <v>0</v>
      </c>
      <c r="I71" s="257">
        <f t="shared" si="2"/>
        <v>0</v>
      </c>
    </row>
    <row r="72" spans="1:11" s="78" customFormat="1" ht="24.95" customHeight="1">
      <c r="A72" s="75"/>
      <c r="B72" s="356" t="s">
        <v>1069</v>
      </c>
      <c r="C72" s="371">
        <v>8</v>
      </c>
      <c r="D72" s="76">
        <v>1</v>
      </c>
      <c r="E72" s="77">
        <v>2.2000000000000002</v>
      </c>
      <c r="F72" s="368">
        <v>5</v>
      </c>
      <c r="G72" s="77">
        <f t="shared" si="0"/>
        <v>11</v>
      </c>
      <c r="H72" s="77">
        <f t="shared" si="1"/>
        <v>0.39506172839506171</v>
      </c>
      <c r="I72" s="257">
        <f t="shared" si="2"/>
        <v>4.3456790123456788</v>
      </c>
      <c r="K72" s="220"/>
    </row>
    <row r="73" spans="1:11" s="78" customFormat="1" ht="24.95" customHeight="1">
      <c r="A73" s="75"/>
      <c r="B73" s="373" t="s">
        <v>1174</v>
      </c>
      <c r="C73" s="371">
        <v>8</v>
      </c>
      <c r="D73" s="76">
        <v>1</v>
      </c>
      <c r="E73" s="372">
        <v>0.57999999999999996</v>
      </c>
      <c r="F73" s="368">
        <v>15</v>
      </c>
      <c r="G73" s="77">
        <f t="shared" ref="G73:G136" si="3">+F73*E73*D73</f>
        <v>8.6999999999999993</v>
      </c>
      <c r="H73" s="77">
        <f t="shared" si="1"/>
        <v>0.39506172839506171</v>
      </c>
      <c r="I73" s="257">
        <f t="shared" ref="I73:I136" si="4">+H73*G73</f>
        <v>3.4370370370370367</v>
      </c>
      <c r="K73" s="220"/>
    </row>
    <row r="74" spans="1:11" s="78" customFormat="1" ht="24.95" customHeight="1">
      <c r="A74" s="75"/>
      <c r="B74" s="356" t="s">
        <v>1070</v>
      </c>
      <c r="C74" s="76"/>
      <c r="D74" s="76">
        <v>0</v>
      </c>
      <c r="E74" s="77"/>
      <c r="F74" s="368"/>
      <c r="G74" s="77">
        <f t="shared" si="3"/>
        <v>0</v>
      </c>
      <c r="H74" s="77">
        <f t="shared" si="1"/>
        <v>0</v>
      </c>
      <c r="I74" s="257">
        <f t="shared" si="4"/>
        <v>0</v>
      </c>
    </row>
    <row r="75" spans="1:11" s="78" customFormat="1" ht="24.95" customHeight="1">
      <c r="A75" s="75"/>
      <c r="B75" s="356" t="s">
        <v>1071</v>
      </c>
      <c r="C75" s="76"/>
      <c r="D75" s="76">
        <v>0</v>
      </c>
      <c r="E75" s="77"/>
      <c r="F75" s="368"/>
      <c r="G75" s="77">
        <f t="shared" si="3"/>
        <v>0</v>
      </c>
      <c r="H75" s="77">
        <f t="shared" si="1"/>
        <v>0</v>
      </c>
      <c r="I75" s="257">
        <f t="shared" si="4"/>
        <v>0</v>
      </c>
    </row>
    <row r="76" spans="1:11" s="78" customFormat="1" ht="24.95" customHeight="1">
      <c r="A76" s="75"/>
      <c r="B76" s="356" t="s">
        <v>1072</v>
      </c>
      <c r="C76" s="371">
        <v>8</v>
      </c>
      <c r="D76" s="76">
        <v>1</v>
      </c>
      <c r="E76" s="77">
        <v>1.6</v>
      </c>
      <c r="F76" s="368">
        <v>4</v>
      </c>
      <c r="G76" s="77">
        <f t="shared" si="3"/>
        <v>6.4</v>
      </c>
      <c r="H76" s="77">
        <f t="shared" si="1"/>
        <v>0.39506172839506171</v>
      </c>
      <c r="I76" s="257">
        <f t="shared" si="4"/>
        <v>2.528395061728395</v>
      </c>
      <c r="K76" s="220"/>
    </row>
    <row r="77" spans="1:11" s="78" customFormat="1" ht="24.95" customHeight="1">
      <c r="A77" s="75"/>
      <c r="B77" s="373" t="s">
        <v>1174</v>
      </c>
      <c r="C77" s="371">
        <v>8</v>
      </c>
      <c r="D77" s="76">
        <v>1</v>
      </c>
      <c r="E77" s="372">
        <v>0.57999999999999996</v>
      </c>
      <c r="F77" s="368">
        <v>11</v>
      </c>
      <c r="G77" s="77">
        <f t="shared" si="3"/>
        <v>6.38</v>
      </c>
      <c r="H77" s="77">
        <f>+C77*C77/162</f>
        <v>0.39506172839506171</v>
      </c>
      <c r="I77" s="257">
        <f t="shared" si="4"/>
        <v>2.5204938271604935</v>
      </c>
      <c r="K77" s="220"/>
    </row>
    <row r="78" spans="1:11" s="78" customFormat="1" ht="24.95" customHeight="1">
      <c r="A78" s="75"/>
      <c r="B78" s="356" t="s">
        <v>1074</v>
      </c>
      <c r="C78" s="76"/>
      <c r="D78" s="76">
        <v>0</v>
      </c>
      <c r="E78" s="77"/>
      <c r="F78" s="368"/>
      <c r="G78" s="77">
        <f t="shared" si="3"/>
        <v>0</v>
      </c>
      <c r="H78" s="77">
        <f t="shared" si="1"/>
        <v>0</v>
      </c>
      <c r="I78" s="257">
        <f t="shared" si="4"/>
        <v>0</v>
      </c>
    </row>
    <row r="79" spans="1:11" s="78" customFormat="1" ht="24.95" customHeight="1">
      <c r="A79" s="75"/>
      <c r="B79" s="356" t="s">
        <v>1075</v>
      </c>
      <c r="C79" s="371">
        <v>8</v>
      </c>
      <c r="D79" s="76">
        <v>1</v>
      </c>
      <c r="E79" s="77">
        <v>1.9</v>
      </c>
      <c r="F79" s="368">
        <v>5</v>
      </c>
      <c r="G79" s="77">
        <f t="shared" si="3"/>
        <v>9.5</v>
      </c>
      <c r="H79" s="77">
        <f t="shared" si="1"/>
        <v>0.39506172839506171</v>
      </c>
      <c r="I79" s="257">
        <f t="shared" si="4"/>
        <v>3.7530864197530862</v>
      </c>
      <c r="K79" s="220"/>
    </row>
    <row r="80" spans="1:11" s="78" customFormat="1" ht="24.95" customHeight="1">
      <c r="A80" s="75"/>
      <c r="B80" s="373" t="s">
        <v>1174</v>
      </c>
      <c r="C80" s="371">
        <v>8</v>
      </c>
      <c r="D80" s="76">
        <v>1</v>
      </c>
      <c r="E80" s="372">
        <v>0.57999999999999996</v>
      </c>
      <c r="F80" s="368">
        <v>13</v>
      </c>
      <c r="G80" s="77">
        <f t="shared" si="3"/>
        <v>7.5399999999999991</v>
      </c>
      <c r="H80" s="77">
        <f t="shared" si="1"/>
        <v>0.39506172839506171</v>
      </c>
      <c r="I80" s="257">
        <f t="shared" si="4"/>
        <v>2.9787654320987649</v>
      </c>
      <c r="K80" s="220"/>
    </row>
    <row r="81" spans="1:11" s="78" customFormat="1" ht="24.95" customHeight="1">
      <c r="A81" s="75"/>
      <c r="B81" s="362" t="s">
        <v>1076</v>
      </c>
      <c r="C81" s="76"/>
      <c r="D81" s="76">
        <v>0</v>
      </c>
      <c r="E81" s="77"/>
      <c r="F81" s="368"/>
      <c r="G81" s="77">
        <f t="shared" si="3"/>
        <v>0</v>
      </c>
      <c r="H81" s="77">
        <f t="shared" si="1"/>
        <v>0</v>
      </c>
      <c r="I81" s="257">
        <f t="shared" si="4"/>
        <v>0</v>
      </c>
    </row>
    <row r="82" spans="1:11" s="78" customFormat="1" ht="24.95" customHeight="1">
      <c r="A82" s="75"/>
      <c r="B82" s="356" t="s">
        <v>1077</v>
      </c>
      <c r="C82" s="371"/>
      <c r="D82" s="371">
        <v>0</v>
      </c>
      <c r="E82" s="372"/>
      <c r="F82" s="368"/>
      <c r="G82" s="77">
        <f t="shared" si="3"/>
        <v>0</v>
      </c>
      <c r="H82" s="77">
        <f t="shared" si="1"/>
        <v>0</v>
      </c>
      <c r="I82" s="257">
        <f t="shared" si="4"/>
        <v>0</v>
      </c>
    </row>
    <row r="83" spans="1:11" s="78" customFormat="1" ht="24.95" customHeight="1">
      <c r="A83" s="75"/>
      <c r="B83" s="356" t="s">
        <v>1078</v>
      </c>
      <c r="C83" s="371">
        <v>8</v>
      </c>
      <c r="D83" s="76">
        <v>1</v>
      </c>
      <c r="E83" s="77">
        <v>1.3</v>
      </c>
      <c r="F83" s="368">
        <v>4</v>
      </c>
      <c r="G83" s="77">
        <f t="shared" si="3"/>
        <v>5.2</v>
      </c>
      <c r="H83" s="77">
        <f t="shared" si="1"/>
        <v>0.39506172839506171</v>
      </c>
      <c r="I83" s="257">
        <f t="shared" si="4"/>
        <v>2.0543209876543211</v>
      </c>
      <c r="K83" s="220"/>
    </row>
    <row r="84" spans="1:11" s="78" customFormat="1" ht="24.95" customHeight="1">
      <c r="A84" s="75"/>
      <c r="B84" s="373" t="s">
        <v>1174</v>
      </c>
      <c r="C84" s="371">
        <v>8</v>
      </c>
      <c r="D84" s="76">
        <v>1</v>
      </c>
      <c r="E84" s="372">
        <v>0.57999999999999996</v>
      </c>
      <c r="F84" s="368">
        <v>9</v>
      </c>
      <c r="G84" s="77">
        <f t="shared" si="3"/>
        <v>5.22</v>
      </c>
      <c r="H84" s="77">
        <f>+C84*C84/162</f>
        <v>0.39506172839506171</v>
      </c>
      <c r="I84" s="257">
        <f t="shared" si="4"/>
        <v>2.0622222222222222</v>
      </c>
      <c r="K84" s="220"/>
    </row>
    <row r="85" spans="1:11" s="78" customFormat="1" ht="24.95" customHeight="1">
      <c r="A85" s="75"/>
      <c r="B85" s="356" t="s">
        <v>1079</v>
      </c>
      <c r="C85" s="76"/>
      <c r="D85" s="76">
        <v>0</v>
      </c>
      <c r="E85" s="372"/>
      <c r="F85" s="368"/>
      <c r="G85" s="77">
        <f t="shared" si="3"/>
        <v>0</v>
      </c>
      <c r="H85" s="77">
        <f t="shared" si="1"/>
        <v>0</v>
      </c>
      <c r="I85" s="257">
        <f t="shared" si="4"/>
        <v>0</v>
      </c>
    </row>
    <row r="86" spans="1:11" s="78" customFormat="1" ht="24.95" customHeight="1">
      <c r="A86" s="75"/>
      <c r="B86" s="356" t="s">
        <v>1080</v>
      </c>
      <c r="C86" s="371">
        <v>8</v>
      </c>
      <c r="D86" s="76">
        <v>1</v>
      </c>
      <c r="E86" s="77">
        <v>1.6</v>
      </c>
      <c r="F86" s="368">
        <v>5</v>
      </c>
      <c r="G86" s="77">
        <f t="shared" si="3"/>
        <v>8</v>
      </c>
      <c r="H86" s="77">
        <f t="shared" si="1"/>
        <v>0.39506172839506171</v>
      </c>
      <c r="I86" s="257">
        <f t="shared" si="4"/>
        <v>3.1604938271604937</v>
      </c>
      <c r="K86" s="220"/>
    </row>
    <row r="87" spans="1:11" s="78" customFormat="1" ht="24.95" customHeight="1">
      <c r="A87" s="75"/>
      <c r="B87" s="373" t="s">
        <v>1174</v>
      </c>
      <c r="C87" s="371">
        <v>8</v>
      </c>
      <c r="D87" s="76">
        <v>1</v>
      </c>
      <c r="E87" s="372">
        <v>0.57999999999999996</v>
      </c>
      <c r="F87" s="368">
        <v>11</v>
      </c>
      <c r="G87" s="77">
        <f t="shared" si="3"/>
        <v>6.38</v>
      </c>
      <c r="H87" s="77">
        <f t="shared" si="1"/>
        <v>0.39506172839506171</v>
      </c>
      <c r="I87" s="257">
        <f t="shared" si="4"/>
        <v>2.5204938271604935</v>
      </c>
      <c r="K87" s="220"/>
    </row>
    <row r="88" spans="1:11" s="78" customFormat="1" ht="24.95" customHeight="1">
      <c r="A88" s="75"/>
      <c r="B88" s="356" t="s">
        <v>1081</v>
      </c>
      <c r="C88" s="371"/>
      <c r="D88" s="371">
        <v>0</v>
      </c>
      <c r="E88" s="372"/>
      <c r="F88" s="368"/>
      <c r="G88" s="77">
        <f t="shared" si="3"/>
        <v>0</v>
      </c>
      <c r="H88" s="77">
        <f t="shared" si="1"/>
        <v>0</v>
      </c>
      <c r="I88" s="257">
        <f t="shared" si="4"/>
        <v>0</v>
      </c>
    </row>
    <row r="89" spans="1:11" s="78" customFormat="1" ht="24.95" customHeight="1">
      <c r="A89" s="75"/>
      <c r="B89" s="356" t="s">
        <v>1051</v>
      </c>
      <c r="C89" s="371">
        <v>8</v>
      </c>
      <c r="D89" s="371">
        <v>4</v>
      </c>
      <c r="E89" s="372">
        <v>1.4</v>
      </c>
      <c r="F89" s="368">
        <v>4</v>
      </c>
      <c r="G89" s="77">
        <f t="shared" si="3"/>
        <v>22.4</v>
      </c>
      <c r="H89" s="77">
        <f t="shared" si="1"/>
        <v>0.39506172839506171</v>
      </c>
      <c r="I89" s="257">
        <f t="shared" si="4"/>
        <v>8.8493827160493819</v>
      </c>
      <c r="K89" s="220"/>
    </row>
    <row r="90" spans="1:11" s="78" customFormat="1" ht="24.95" customHeight="1">
      <c r="A90" s="75"/>
      <c r="B90" s="373" t="s">
        <v>1174</v>
      </c>
      <c r="C90" s="371">
        <v>8</v>
      </c>
      <c r="D90" s="76">
        <v>4</v>
      </c>
      <c r="E90" s="372">
        <v>0.57999999999999996</v>
      </c>
      <c r="F90" s="368">
        <v>9</v>
      </c>
      <c r="G90" s="77">
        <f t="shared" si="3"/>
        <v>20.88</v>
      </c>
      <c r="H90" s="77">
        <f>+C90*C90/162</f>
        <v>0.39506172839506171</v>
      </c>
      <c r="I90" s="257">
        <f t="shared" si="4"/>
        <v>8.2488888888888887</v>
      </c>
      <c r="K90" s="220"/>
    </row>
    <row r="91" spans="1:11" s="78" customFormat="1" ht="24.95" customHeight="1">
      <c r="A91" s="75"/>
      <c r="B91" s="356" t="s">
        <v>1082</v>
      </c>
      <c r="C91" s="371"/>
      <c r="D91" s="371">
        <v>0</v>
      </c>
      <c r="E91" s="372"/>
      <c r="F91" s="368"/>
      <c r="G91" s="77">
        <f t="shared" si="3"/>
        <v>0</v>
      </c>
      <c r="H91" s="77">
        <f t="shared" si="1"/>
        <v>0</v>
      </c>
      <c r="I91" s="257">
        <f t="shared" si="4"/>
        <v>0</v>
      </c>
    </row>
    <row r="92" spans="1:11" s="78" customFormat="1" ht="24.95" customHeight="1">
      <c r="A92" s="75"/>
      <c r="B92" s="356" t="s">
        <v>1051</v>
      </c>
      <c r="C92" s="371">
        <v>8</v>
      </c>
      <c r="D92" s="76">
        <v>2</v>
      </c>
      <c r="E92" s="77">
        <v>1.4</v>
      </c>
      <c r="F92" s="368">
        <v>4</v>
      </c>
      <c r="G92" s="77">
        <f t="shared" si="3"/>
        <v>11.2</v>
      </c>
      <c r="H92" s="77">
        <f t="shared" si="1"/>
        <v>0.39506172839506171</v>
      </c>
      <c r="I92" s="257">
        <f t="shared" si="4"/>
        <v>4.4246913580246909</v>
      </c>
      <c r="K92" s="220"/>
    </row>
    <row r="93" spans="1:11" s="78" customFormat="1" ht="24.95" customHeight="1">
      <c r="A93" s="75"/>
      <c r="B93" s="373" t="s">
        <v>1174</v>
      </c>
      <c r="C93" s="371">
        <v>8</v>
      </c>
      <c r="D93" s="76">
        <v>2</v>
      </c>
      <c r="E93" s="372">
        <v>0.57999999999999996</v>
      </c>
      <c r="F93" s="368">
        <v>9</v>
      </c>
      <c r="G93" s="77">
        <f t="shared" si="3"/>
        <v>10.44</v>
      </c>
      <c r="H93" s="77">
        <f t="shared" si="1"/>
        <v>0.39506172839506171</v>
      </c>
      <c r="I93" s="257">
        <f t="shared" si="4"/>
        <v>4.1244444444444444</v>
      </c>
      <c r="K93" s="220"/>
    </row>
    <row r="94" spans="1:11" s="78" customFormat="1" ht="24.95" customHeight="1">
      <c r="A94" s="75"/>
      <c r="B94" s="356" t="s">
        <v>1083</v>
      </c>
      <c r="C94" s="371">
        <v>8</v>
      </c>
      <c r="D94" s="76">
        <v>1</v>
      </c>
      <c r="E94" s="77">
        <v>1.4</v>
      </c>
      <c r="F94" s="368">
        <v>4</v>
      </c>
      <c r="G94" s="77">
        <f t="shared" si="3"/>
        <v>5.6</v>
      </c>
      <c r="H94" s="77">
        <f t="shared" si="1"/>
        <v>0.39506172839506171</v>
      </c>
      <c r="I94" s="257">
        <f t="shared" si="4"/>
        <v>2.2123456790123455</v>
      </c>
      <c r="K94" s="220"/>
    </row>
    <row r="95" spans="1:11" s="78" customFormat="1" ht="24.95" customHeight="1">
      <c r="A95" s="75"/>
      <c r="B95" s="373" t="s">
        <v>1174</v>
      </c>
      <c r="C95" s="371">
        <v>8</v>
      </c>
      <c r="D95" s="76">
        <v>2</v>
      </c>
      <c r="E95" s="372">
        <v>0.57999999999999996</v>
      </c>
      <c r="F95" s="368">
        <v>9</v>
      </c>
      <c r="G95" s="77">
        <f t="shared" si="3"/>
        <v>10.44</v>
      </c>
      <c r="H95" s="77">
        <f>+C95*C95/162</f>
        <v>0.39506172839506171</v>
      </c>
      <c r="I95" s="257">
        <f t="shared" si="4"/>
        <v>4.1244444444444444</v>
      </c>
      <c r="K95" s="220"/>
    </row>
    <row r="96" spans="1:11" s="78" customFormat="1" ht="24.95" customHeight="1">
      <c r="A96" s="75"/>
      <c r="B96" s="356" t="s">
        <v>1059</v>
      </c>
      <c r="C96" s="371">
        <v>8</v>
      </c>
      <c r="D96" s="76">
        <v>1</v>
      </c>
      <c r="E96" s="77">
        <v>1</v>
      </c>
      <c r="F96" s="368">
        <v>4</v>
      </c>
      <c r="G96" s="77">
        <f t="shared" si="3"/>
        <v>4</v>
      </c>
      <c r="H96" s="77">
        <f t="shared" si="1"/>
        <v>0.39506172839506171</v>
      </c>
      <c r="I96" s="257">
        <f t="shared" si="4"/>
        <v>1.5802469135802468</v>
      </c>
      <c r="K96" s="220"/>
    </row>
    <row r="97" spans="1:11" s="78" customFormat="1" ht="24.95" customHeight="1">
      <c r="A97" s="75"/>
      <c r="B97" s="373" t="s">
        <v>1174</v>
      </c>
      <c r="C97" s="371">
        <v>8</v>
      </c>
      <c r="D97" s="76">
        <v>1</v>
      </c>
      <c r="E97" s="372">
        <v>0.57999999999999996</v>
      </c>
      <c r="F97" s="368">
        <v>7</v>
      </c>
      <c r="G97" s="77">
        <f t="shared" si="3"/>
        <v>4.0599999999999996</v>
      </c>
      <c r="H97" s="77">
        <f t="shared" si="1"/>
        <v>0.39506172839506171</v>
      </c>
      <c r="I97" s="257">
        <f t="shared" si="4"/>
        <v>1.6039506172839504</v>
      </c>
      <c r="K97" s="220"/>
    </row>
    <row r="98" spans="1:11" s="78" customFormat="1" ht="24.95" customHeight="1">
      <c r="A98" s="75"/>
      <c r="B98" s="362" t="s">
        <v>1084</v>
      </c>
      <c r="C98" s="371"/>
      <c r="D98" s="371">
        <v>0</v>
      </c>
      <c r="E98" s="372"/>
      <c r="F98" s="368"/>
      <c r="G98" s="77">
        <f t="shared" si="3"/>
        <v>0</v>
      </c>
      <c r="H98" s="77">
        <f t="shared" si="1"/>
        <v>0</v>
      </c>
      <c r="I98" s="257">
        <f t="shared" si="4"/>
        <v>0</v>
      </c>
    </row>
    <row r="99" spans="1:11" s="78" customFormat="1" ht="24.95" customHeight="1">
      <c r="A99" s="75"/>
      <c r="B99" s="373" t="s">
        <v>1085</v>
      </c>
      <c r="C99" s="371"/>
      <c r="D99" s="371">
        <v>0</v>
      </c>
      <c r="E99" s="372"/>
      <c r="F99" s="368"/>
      <c r="G99" s="77">
        <f t="shared" si="3"/>
        <v>0</v>
      </c>
      <c r="H99" s="77">
        <f t="shared" si="1"/>
        <v>0</v>
      </c>
      <c r="I99" s="257">
        <f t="shared" si="4"/>
        <v>0</v>
      </c>
    </row>
    <row r="100" spans="1:11" s="78" customFormat="1" ht="24.95" customHeight="1">
      <c r="A100" s="75"/>
      <c r="B100" s="373" t="s">
        <v>941</v>
      </c>
      <c r="C100" s="371">
        <v>8</v>
      </c>
      <c r="D100" s="371">
        <v>1</v>
      </c>
      <c r="E100" s="372">
        <v>1.4</v>
      </c>
      <c r="F100" s="368">
        <v>4</v>
      </c>
      <c r="G100" s="77">
        <f t="shared" si="3"/>
        <v>5.6</v>
      </c>
      <c r="H100" s="77">
        <f t="shared" si="1"/>
        <v>0.39506172839506171</v>
      </c>
      <c r="I100" s="257">
        <f t="shared" si="4"/>
        <v>2.2123456790123455</v>
      </c>
      <c r="K100" s="220"/>
    </row>
    <row r="101" spans="1:11" s="78" customFormat="1" ht="24.95" customHeight="1">
      <c r="A101" s="75"/>
      <c r="B101" s="373" t="s">
        <v>1174</v>
      </c>
      <c r="C101" s="371">
        <v>8</v>
      </c>
      <c r="D101" s="76">
        <v>1</v>
      </c>
      <c r="E101" s="372">
        <v>0.57999999999999996</v>
      </c>
      <c r="F101" s="368">
        <v>9</v>
      </c>
      <c r="G101" s="77">
        <f t="shared" si="3"/>
        <v>5.22</v>
      </c>
      <c r="H101" s="77">
        <f>+C101*C101/162</f>
        <v>0.39506172839506171</v>
      </c>
      <c r="I101" s="257">
        <f t="shared" si="4"/>
        <v>2.0622222222222222</v>
      </c>
      <c r="K101" s="220"/>
    </row>
    <row r="102" spans="1:11" s="78" customFormat="1" ht="24.95" customHeight="1">
      <c r="A102" s="75"/>
      <c r="B102" s="356" t="s">
        <v>1086</v>
      </c>
      <c r="C102" s="76"/>
      <c r="D102" s="76">
        <v>0</v>
      </c>
      <c r="E102" s="77"/>
      <c r="F102" s="368"/>
      <c r="G102" s="77">
        <f t="shared" si="3"/>
        <v>0</v>
      </c>
      <c r="H102" s="77">
        <f t="shared" si="1"/>
        <v>0</v>
      </c>
      <c r="I102" s="257">
        <f t="shared" si="4"/>
        <v>0</v>
      </c>
    </row>
    <row r="103" spans="1:11" s="78" customFormat="1" ht="24.95" customHeight="1">
      <c r="A103" s="75"/>
      <c r="B103" s="374" t="s">
        <v>943</v>
      </c>
      <c r="C103" s="371">
        <v>8</v>
      </c>
      <c r="D103" s="76">
        <v>7</v>
      </c>
      <c r="E103" s="77">
        <v>1.4</v>
      </c>
      <c r="F103" s="368">
        <v>4</v>
      </c>
      <c r="G103" s="77">
        <f t="shared" si="3"/>
        <v>39.199999999999996</v>
      </c>
      <c r="H103" s="77">
        <f t="shared" si="1"/>
        <v>0.39506172839506171</v>
      </c>
      <c r="I103" s="257">
        <f t="shared" si="4"/>
        <v>15.486419753086418</v>
      </c>
      <c r="K103" s="220"/>
    </row>
    <row r="104" spans="1:11" s="78" customFormat="1" ht="24.95" customHeight="1">
      <c r="A104" s="75"/>
      <c r="B104" s="373" t="s">
        <v>1174</v>
      </c>
      <c r="C104" s="371">
        <v>8</v>
      </c>
      <c r="D104" s="76">
        <v>7</v>
      </c>
      <c r="E104" s="372">
        <v>0.57999999999999996</v>
      </c>
      <c r="F104" s="368">
        <v>9</v>
      </c>
      <c r="G104" s="77">
        <f t="shared" si="3"/>
        <v>36.54</v>
      </c>
      <c r="H104" s="77">
        <f>+C104*C104/162</f>
        <v>0.39506172839506171</v>
      </c>
      <c r="I104" s="257">
        <f t="shared" si="4"/>
        <v>14.435555555555554</v>
      </c>
      <c r="K104" s="220"/>
    </row>
    <row r="105" spans="1:11" s="78" customFormat="1" ht="24.95" customHeight="1">
      <c r="A105" s="75"/>
      <c r="B105" s="356" t="s">
        <v>1087</v>
      </c>
      <c r="C105" s="76"/>
      <c r="D105" s="76">
        <v>0</v>
      </c>
      <c r="E105" s="77"/>
      <c r="F105" s="368"/>
      <c r="G105" s="77">
        <f t="shared" si="3"/>
        <v>0</v>
      </c>
      <c r="H105" s="77">
        <f t="shared" ref="H105:H200" si="5">+C105*C105/162</f>
        <v>0</v>
      </c>
      <c r="I105" s="257">
        <f t="shared" si="4"/>
        <v>0</v>
      </c>
    </row>
    <row r="106" spans="1:11" s="78" customFormat="1" ht="24.95" customHeight="1">
      <c r="A106" s="75"/>
      <c r="B106" s="356" t="s">
        <v>946</v>
      </c>
      <c r="C106" s="371">
        <v>8</v>
      </c>
      <c r="D106" s="76">
        <v>1</v>
      </c>
      <c r="E106" s="77">
        <v>3.25</v>
      </c>
      <c r="F106" s="368">
        <v>5</v>
      </c>
      <c r="G106" s="77">
        <f t="shared" si="3"/>
        <v>16.25</v>
      </c>
      <c r="H106" s="77">
        <f t="shared" si="5"/>
        <v>0.39506172839506171</v>
      </c>
      <c r="I106" s="257">
        <f t="shared" si="4"/>
        <v>6.4197530864197532</v>
      </c>
      <c r="K106" s="220"/>
    </row>
    <row r="107" spans="1:11" s="78" customFormat="1" ht="24.95" customHeight="1">
      <c r="A107" s="75"/>
      <c r="B107" s="373" t="s">
        <v>1174</v>
      </c>
      <c r="C107" s="371">
        <v>8</v>
      </c>
      <c r="D107" s="76">
        <v>1</v>
      </c>
      <c r="E107" s="372">
        <v>0.57999999999999996</v>
      </c>
      <c r="F107" s="368">
        <v>22</v>
      </c>
      <c r="G107" s="77">
        <f t="shared" si="3"/>
        <v>12.76</v>
      </c>
      <c r="H107" s="77">
        <f t="shared" si="5"/>
        <v>0.39506172839506171</v>
      </c>
      <c r="I107" s="257">
        <f t="shared" si="4"/>
        <v>5.0409876543209871</v>
      </c>
      <c r="K107" s="220"/>
    </row>
    <row r="108" spans="1:11" s="78" customFormat="1" ht="24.95" customHeight="1">
      <c r="A108" s="75"/>
      <c r="B108" s="356" t="s">
        <v>1088</v>
      </c>
      <c r="C108" s="76"/>
      <c r="D108" s="76">
        <v>0</v>
      </c>
      <c r="E108" s="77"/>
      <c r="F108" s="368"/>
      <c r="G108" s="77">
        <f t="shared" si="3"/>
        <v>0</v>
      </c>
      <c r="H108" s="77">
        <f t="shared" si="5"/>
        <v>0</v>
      </c>
      <c r="I108" s="257">
        <f t="shared" si="4"/>
        <v>0</v>
      </c>
    </row>
    <row r="109" spans="1:11" s="78" customFormat="1" ht="24.95" customHeight="1">
      <c r="A109" s="75"/>
      <c r="B109" s="356" t="s">
        <v>948</v>
      </c>
      <c r="C109" s="371">
        <v>8</v>
      </c>
      <c r="D109" s="76">
        <v>4</v>
      </c>
      <c r="E109" s="77">
        <v>1.4</v>
      </c>
      <c r="F109" s="368">
        <v>4</v>
      </c>
      <c r="G109" s="77">
        <f t="shared" si="3"/>
        <v>22.4</v>
      </c>
      <c r="H109" s="77">
        <f t="shared" si="5"/>
        <v>0.39506172839506171</v>
      </c>
      <c r="I109" s="257">
        <f t="shared" si="4"/>
        <v>8.8493827160493819</v>
      </c>
      <c r="K109" s="220"/>
    </row>
    <row r="110" spans="1:11" s="78" customFormat="1" ht="24.95" customHeight="1">
      <c r="A110" s="75"/>
      <c r="B110" s="373" t="s">
        <v>1174</v>
      </c>
      <c r="C110" s="371">
        <v>8</v>
      </c>
      <c r="D110" s="76">
        <v>4</v>
      </c>
      <c r="E110" s="372">
        <v>0.57999999999999996</v>
      </c>
      <c r="F110" s="368">
        <v>9</v>
      </c>
      <c r="G110" s="77">
        <f t="shared" si="3"/>
        <v>20.88</v>
      </c>
      <c r="H110" s="77">
        <f>+C110*C110/162</f>
        <v>0.39506172839506171</v>
      </c>
      <c r="I110" s="257">
        <f t="shared" si="4"/>
        <v>8.2488888888888887</v>
      </c>
      <c r="K110" s="220"/>
    </row>
    <row r="111" spans="1:11" s="78" customFormat="1" ht="24.95" customHeight="1">
      <c r="A111" s="75"/>
      <c r="B111" s="356" t="s">
        <v>949</v>
      </c>
      <c r="C111" s="371">
        <v>8</v>
      </c>
      <c r="D111" s="76">
        <v>1</v>
      </c>
      <c r="E111" s="77">
        <v>1.4</v>
      </c>
      <c r="F111" s="368">
        <v>4</v>
      </c>
      <c r="G111" s="77">
        <f t="shared" si="3"/>
        <v>5.6</v>
      </c>
      <c r="H111" s="77">
        <f t="shared" si="5"/>
        <v>0.39506172839506171</v>
      </c>
      <c r="I111" s="257">
        <f t="shared" si="4"/>
        <v>2.2123456790123455</v>
      </c>
      <c r="K111" s="220"/>
    </row>
    <row r="112" spans="1:11" s="78" customFormat="1" ht="24.95" customHeight="1">
      <c r="A112" s="75"/>
      <c r="B112" s="373" t="s">
        <v>1174</v>
      </c>
      <c r="C112" s="371">
        <v>8</v>
      </c>
      <c r="D112" s="76">
        <v>1</v>
      </c>
      <c r="E112" s="372">
        <v>0.57999999999999996</v>
      </c>
      <c r="F112" s="368">
        <v>9</v>
      </c>
      <c r="G112" s="77">
        <f t="shared" si="3"/>
        <v>5.22</v>
      </c>
      <c r="H112" s="77">
        <f t="shared" si="5"/>
        <v>0.39506172839506171</v>
      </c>
      <c r="I112" s="257">
        <f t="shared" si="4"/>
        <v>2.0622222222222222</v>
      </c>
      <c r="K112" s="220"/>
    </row>
    <row r="113" spans="1:11" s="78" customFormat="1" ht="24.95" customHeight="1">
      <c r="A113" s="75"/>
      <c r="B113" s="356" t="s">
        <v>1089</v>
      </c>
      <c r="C113" s="76"/>
      <c r="D113" s="76">
        <v>0</v>
      </c>
      <c r="E113" s="77"/>
      <c r="F113" s="368"/>
      <c r="G113" s="77">
        <f t="shared" si="3"/>
        <v>0</v>
      </c>
      <c r="H113" s="77">
        <f t="shared" si="5"/>
        <v>0</v>
      </c>
      <c r="I113" s="257">
        <f t="shared" si="4"/>
        <v>0</v>
      </c>
    </row>
    <row r="114" spans="1:11" s="78" customFormat="1" ht="24.95" customHeight="1">
      <c r="A114" s="75"/>
      <c r="B114" s="356" t="s">
        <v>951</v>
      </c>
      <c r="C114" s="371">
        <v>8</v>
      </c>
      <c r="D114" s="76">
        <v>1</v>
      </c>
      <c r="E114" s="77">
        <v>1.4</v>
      </c>
      <c r="F114" s="368">
        <v>4</v>
      </c>
      <c r="G114" s="77">
        <f t="shared" si="3"/>
        <v>5.6</v>
      </c>
      <c r="H114" s="77">
        <f t="shared" si="5"/>
        <v>0.39506172839506171</v>
      </c>
      <c r="I114" s="257">
        <f t="shared" si="4"/>
        <v>2.2123456790123455</v>
      </c>
      <c r="K114" s="220"/>
    </row>
    <row r="115" spans="1:11" s="78" customFormat="1" ht="24.95" customHeight="1">
      <c r="A115" s="75"/>
      <c r="B115" s="373" t="s">
        <v>1174</v>
      </c>
      <c r="C115" s="371">
        <v>8</v>
      </c>
      <c r="D115" s="76">
        <v>1</v>
      </c>
      <c r="E115" s="372">
        <v>0.57999999999999996</v>
      </c>
      <c r="F115" s="368">
        <v>9</v>
      </c>
      <c r="G115" s="77">
        <f t="shared" si="3"/>
        <v>5.22</v>
      </c>
      <c r="H115" s="77">
        <f>+C115*C115/162</f>
        <v>0.39506172839506171</v>
      </c>
      <c r="I115" s="257">
        <f t="shared" si="4"/>
        <v>2.0622222222222222</v>
      </c>
      <c r="K115" s="220"/>
    </row>
    <row r="116" spans="1:11" s="78" customFormat="1" ht="24.95" customHeight="1">
      <c r="A116" s="75"/>
      <c r="B116" s="356" t="s">
        <v>1090</v>
      </c>
      <c r="C116" s="371"/>
      <c r="D116" s="371">
        <v>0</v>
      </c>
      <c r="E116" s="372"/>
      <c r="F116" s="368"/>
      <c r="G116" s="77">
        <f t="shared" si="3"/>
        <v>0</v>
      </c>
      <c r="H116" s="77">
        <f t="shared" si="5"/>
        <v>0</v>
      </c>
      <c r="I116" s="257">
        <f t="shared" si="4"/>
        <v>0</v>
      </c>
    </row>
    <row r="117" spans="1:11" s="78" customFormat="1" ht="24.95" customHeight="1">
      <c r="A117" s="75"/>
      <c r="B117" s="356" t="s">
        <v>953</v>
      </c>
      <c r="C117" s="371">
        <v>8</v>
      </c>
      <c r="D117" s="371">
        <v>1</v>
      </c>
      <c r="E117" s="372">
        <v>1.6</v>
      </c>
      <c r="F117" s="368">
        <v>5</v>
      </c>
      <c r="G117" s="77">
        <f t="shared" si="3"/>
        <v>8</v>
      </c>
      <c r="H117" s="77">
        <f t="shared" si="5"/>
        <v>0.39506172839506171</v>
      </c>
      <c r="I117" s="257">
        <f t="shared" si="4"/>
        <v>3.1604938271604937</v>
      </c>
      <c r="K117" s="220"/>
    </row>
    <row r="118" spans="1:11" s="78" customFormat="1" ht="24.95" customHeight="1">
      <c r="A118" s="75"/>
      <c r="B118" s="373" t="s">
        <v>1174</v>
      </c>
      <c r="C118" s="371">
        <v>8</v>
      </c>
      <c r="D118" s="76">
        <v>1</v>
      </c>
      <c r="E118" s="372">
        <v>0.57999999999999996</v>
      </c>
      <c r="F118" s="368">
        <v>11</v>
      </c>
      <c r="G118" s="77">
        <f t="shared" si="3"/>
        <v>6.38</v>
      </c>
      <c r="H118" s="77">
        <f t="shared" si="5"/>
        <v>0.39506172839506171</v>
      </c>
      <c r="I118" s="257">
        <f t="shared" si="4"/>
        <v>2.5204938271604935</v>
      </c>
      <c r="K118" s="220"/>
    </row>
    <row r="119" spans="1:11" s="78" customFormat="1" ht="24.95" customHeight="1">
      <c r="A119" s="75"/>
      <c r="B119" s="356" t="s">
        <v>956</v>
      </c>
      <c r="C119" s="371">
        <v>8</v>
      </c>
      <c r="D119" s="371">
        <v>1</v>
      </c>
      <c r="E119" s="372">
        <v>1.3</v>
      </c>
      <c r="F119" s="368">
        <v>4</v>
      </c>
      <c r="G119" s="77">
        <f t="shared" si="3"/>
        <v>5.2</v>
      </c>
      <c r="H119" s="77">
        <f t="shared" si="5"/>
        <v>0.39506172839506171</v>
      </c>
      <c r="I119" s="257">
        <f t="shared" si="4"/>
        <v>2.0543209876543211</v>
      </c>
      <c r="K119" s="220"/>
    </row>
    <row r="120" spans="1:11" s="78" customFormat="1" ht="24.95" customHeight="1">
      <c r="A120" s="75"/>
      <c r="B120" s="373" t="s">
        <v>1174</v>
      </c>
      <c r="C120" s="371">
        <v>8</v>
      </c>
      <c r="D120" s="76">
        <v>1</v>
      </c>
      <c r="E120" s="372">
        <v>0.57999999999999996</v>
      </c>
      <c r="F120" s="368">
        <v>9</v>
      </c>
      <c r="G120" s="77">
        <f t="shared" si="3"/>
        <v>5.22</v>
      </c>
      <c r="H120" s="77">
        <f>+C120*C120/162</f>
        <v>0.39506172839506171</v>
      </c>
      <c r="I120" s="257">
        <f t="shared" si="4"/>
        <v>2.0622222222222222</v>
      </c>
      <c r="K120" s="220"/>
    </row>
    <row r="121" spans="1:11" s="78" customFormat="1" ht="24.95" customHeight="1">
      <c r="A121" s="75"/>
      <c r="B121" s="356"/>
      <c r="C121" s="371"/>
      <c r="D121" s="371">
        <v>0</v>
      </c>
      <c r="E121" s="372"/>
      <c r="F121" s="368"/>
      <c r="G121" s="77">
        <f t="shared" si="3"/>
        <v>0</v>
      </c>
      <c r="H121" s="77">
        <f t="shared" si="5"/>
        <v>0</v>
      </c>
      <c r="I121" s="257">
        <f t="shared" si="4"/>
        <v>0</v>
      </c>
    </row>
    <row r="122" spans="1:11" s="78" customFormat="1" ht="24.95" customHeight="1">
      <c r="A122" s="75"/>
      <c r="B122" s="366" t="s">
        <v>937</v>
      </c>
      <c r="C122" s="371"/>
      <c r="D122" s="371">
        <v>0</v>
      </c>
      <c r="E122" s="372"/>
      <c r="F122" s="368"/>
      <c r="G122" s="77">
        <f t="shared" si="3"/>
        <v>0</v>
      </c>
      <c r="H122" s="77">
        <f t="shared" si="5"/>
        <v>0</v>
      </c>
      <c r="I122" s="257">
        <f t="shared" si="4"/>
        <v>0</v>
      </c>
    </row>
    <row r="123" spans="1:11" s="78" customFormat="1" ht="24.95" customHeight="1">
      <c r="A123" s="75"/>
      <c r="B123" s="366" t="s">
        <v>944</v>
      </c>
      <c r="C123" s="371"/>
      <c r="D123" s="371">
        <v>0</v>
      </c>
      <c r="E123" s="372"/>
      <c r="F123" s="368"/>
      <c r="G123" s="77">
        <f t="shared" si="3"/>
        <v>0</v>
      </c>
      <c r="H123" s="77">
        <f t="shared" si="5"/>
        <v>0</v>
      </c>
      <c r="I123" s="257">
        <f t="shared" si="4"/>
        <v>0</v>
      </c>
    </row>
    <row r="124" spans="1:11" s="78" customFormat="1" ht="24.95" customHeight="1">
      <c r="A124" s="75"/>
      <c r="B124" s="373" t="s">
        <v>940</v>
      </c>
      <c r="C124" s="371"/>
      <c r="D124" s="371">
        <v>0</v>
      </c>
      <c r="E124" s="372"/>
      <c r="F124" s="368"/>
      <c r="G124" s="77">
        <f t="shared" si="3"/>
        <v>0</v>
      </c>
      <c r="H124" s="77">
        <f t="shared" si="5"/>
        <v>0</v>
      </c>
      <c r="I124" s="257">
        <f t="shared" si="4"/>
        <v>0</v>
      </c>
    </row>
    <row r="125" spans="1:11" s="78" customFormat="1" ht="24.95" customHeight="1">
      <c r="A125" s="75"/>
      <c r="B125" s="373" t="s">
        <v>941</v>
      </c>
      <c r="C125" s="371">
        <v>8</v>
      </c>
      <c r="D125" s="371">
        <v>1</v>
      </c>
      <c r="E125" s="372">
        <v>1.4</v>
      </c>
      <c r="F125" s="368">
        <v>4</v>
      </c>
      <c r="G125" s="77">
        <f t="shared" si="3"/>
        <v>5.6</v>
      </c>
      <c r="H125" s="77">
        <f t="shared" si="5"/>
        <v>0.39506172839506171</v>
      </c>
      <c r="I125" s="257">
        <f t="shared" si="4"/>
        <v>2.2123456790123455</v>
      </c>
      <c r="K125" s="220"/>
    </row>
    <row r="126" spans="1:11" s="78" customFormat="1" ht="24.95" customHeight="1">
      <c r="A126" s="75"/>
      <c r="B126" s="373" t="s">
        <v>1174</v>
      </c>
      <c r="C126" s="371">
        <v>8</v>
      </c>
      <c r="D126" s="76">
        <v>1</v>
      </c>
      <c r="E126" s="372">
        <v>0.57999999999999996</v>
      </c>
      <c r="F126" s="368">
        <v>9</v>
      </c>
      <c r="G126" s="77">
        <f t="shared" si="3"/>
        <v>5.22</v>
      </c>
      <c r="H126" s="77">
        <f t="shared" si="5"/>
        <v>0.39506172839506171</v>
      </c>
      <c r="I126" s="257">
        <f t="shared" si="4"/>
        <v>2.0622222222222222</v>
      </c>
      <c r="K126" s="220"/>
    </row>
    <row r="127" spans="1:11" s="78" customFormat="1" ht="24.95" customHeight="1">
      <c r="A127" s="75"/>
      <c r="B127" s="356" t="s">
        <v>942</v>
      </c>
      <c r="C127" s="76"/>
      <c r="D127" s="76">
        <v>0</v>
      </c>
      <c r="E127" s="77"/>
      <c r="F127" s="368"/>
      <c r="G127" s="77">
        <f t="shared" si="3"/>
        <v>0</v>
      </c>
      <c r="H127" s="77">
        <f t="shared" si="5"/>
        <v>0</v>
      </c>
      <c r="I127" s="257">
        <f t="shared" si="4"/>
        <v>0</v>
      </c>
    </row>
    <row r="128" spans="1:11" s="78" customFormat="1" ht="24.95" customHeight="1">
      <c r="A128" s="75"/>
      <c r="B128" s="374" t="s">
        <v>943</v>
      </c>
      <c r="C128" s="371">
        <v>8</v>
      </c>
      <c r="D128" s="76">
        <v>7</v>
      </c>
      <c r="E128" s="77">
        <v>1.4</v>
      </c>
      <c r="F128" s="368">
        <v>4</v>
      </c>
      <c r="G128" s="77">
        <f t="shared" si="3"/>
        <v>39.199999999999996</v>
      </c>
      <c r="H128" s="77">
        <f t="shared" si="5"/>
        <v>0.39506172839506171</v>
      </c>
      <c r="I128" s="257">
        <f t="shared" si="4"/>
        <v>15.486419753086418</v>
      </c>
      <c r="K128" s="220"/>
    </row>
    <row r="129" spans="1:11" s="78" customFormat="1" ht="24.95" customHeight="1">
      <c r="A129" s="75"/>
      <c r="B129" s="373" t="s">
        <v>1174</v>
      </c>
      <c r="C129" s="371">
        <v>8</v>
      </c>
      <c r="D129" s="76">
        <v>7</v>
      </c>
      <c r="E129" s="372">
        <v>0.57999999999999996</v>
      </c>
      <c r="F129" s="368">
        <v>9</v>
      </c>
      <c r="G129" s="77">
        <f t="shared" si="3"/>
        <v>36.54</v>
      </c>
      <c r="H129" s="77">
        <f>+C129*C129/162</f>
        <v>0.39506172839506171</v>
      </c>
      <c r="I129" s="257">
        <f t="shared" si="4"/>
        <v>14.435555555555554</v>
      </c>
      <c r="K129" s="220"/>
    </row>
    <row r="130" spans="1:11" s="78" customFormat="1" ht="24.95" customHeight="1">
      <c r="A130" s="75"/>
      <c r="B130" s="356" t="s">
        <v>945</v>
      </c>
      <c r="C130" s="76"/>
      <c r="D130" s="76">
        <v>0</v>
      </c>
      <c r="E130" s="77"/>
      <c r="F130" s="368"/>
      <c r="G130" s="77">
        <f t="shared" si="3"/>
        <v>0</v>
      </c>
      <c r="H130" s="77">
        <f t="shared" si="5"/>
        <v>0</v>
      </c>
      <c r="I130" s="257">
        <f t="shared" si="4"/>
        <v>0</v>
      </c>
    </row>
    <row r="131" spans="1:11" s="78" customFormat="1" ht="24.95" customHeight="1">
      <c r="A131" s="75"/>
      <c r="B131" s="356" t="s">
        <v>946</v>
      </c>
      <c r="C131" s="371">
        <v>8</v>
      </c>
      <c r="D131" s="76">
        <v>1</v>
      </c>
      <c r="E131" s="77">
        <v>3.25</v>
      </c>
      <c r="F131" s="368">
        <v>5</v>
      </c>
      <c r="G131" s="77">
        <f t="shared" si="3"/>
        <v>16.25</v>
      </c>
      <c r="H131" s="77">
        <f t="shared" si="5"/>
        <v>0.39506172839506171</v>
      </c>
      <c r="I131" s="257">
        <f t="shared" si="4"/>
        <v>6.4197530864197532</v>
      </c>
      <c r="K131" s="220"/>
    </row>
    <row r="132" spans="1:11" s="78" customFormat="1" ht="24.95" customHeight="1">
      <c r="A132" s="75"/>
      <c r="B132" s="373" t="s">
        <v>1174</v>
      </c>
      <c r="C132" s="371">
        <v>8</v>
      </c>
      <c r="D132" s="76">
        <v>1</v>
      </c>
      <c r="E132" s="372">
        <v>0.57999999999999996</v>
      </c>
      <c r="F132" s="368">
        <v>22</v>
      </c>
      <c r="G132" s="77">
        <f t="shared" si="3"/>
        <v>12.76</v>
      </c>
      <c r="H132" s="77">
        <f t="shared" si="5"/>
        <v>0.39506172839506171</v>
      </c>
      <c r="I132" s="257">
        <f t="shared" si="4"/>
        <v>5.0409876543209871</v>
      </c>
      <c r="K132" s="220"/>
    </row>
    <row r="133" spans="1:11" s="78" customFormat="1" ht="24.95" customHeight="1">
      <c r="A133" s="75"/>
      <c r="B133" s="356" t="s">
        <v>947</v>
      </c>
      <c r="C133" s="76"/>
      <c r="D133" s="76">
        <v>0</v>
      </c>
      <c r="E133" s="77"/>
      <c r="F133" s="368"/>
      <c r="G133" s="77">
        <f t="shared" si="3"/>
        <v>0</v>
      </c>
      <c r="H133" s="77">
        <f t="shared" si="5"/>
        <v>0</v>
      </c>
      <c r="I133" s="257">
        <f t="shared" si="4"/>
        <v>0</v>
      </c>
    </row>
    <row r="134" spans="1:11" s="78" customFormat="1" ht="24.95" customHeight="1">
      <c r="A134" s="75"/>
      <c r="B134" s="356" t="s">
        <v>948</v>
      </c>
      <c r="C134" s="371">
        <v>8</v>
      </c>
      <c r="D134" s="76">
        <v>4</v>
      </c>
      <c r="E134" s="77">
        <v>1.4</v>
      </c>
      <c r="F134" s="368">
        <v>4</v>
      </c>
      <c r="G134" s="77">
        <f t="shared" si="3"/>
        <v>22.4</v>
      </c>
      <c r="H134" s="77">
        <f t="shared" si="5"/>
        <v>0.39506172839506171</v>
      </c>
      <c r="I134" s="257">
        <f t="shared" si="4"/>
        <v>8.8493827160493819</v>
      </c>
      <c r="K134" s="220"/>
    </row>
    <row r="135" spans="1:11" s="78" customFormat="1" ht="24.95" customHeight="1">
      <c r="A135" s="75"/>
      <c r="B135" s="373" t="s">
        <v>1174</v>
      </c>
      <c r="C135" s="371">
        <v>8</v>
      </c>
      <c r="D135" s="76">
        <v>4</v>
      </c>
      <c r="E135" s="372">
        <v>0.57999999999999996</v>
      </c>
      <c r="F135" s="368">
        <v>9</v>
      </c>
      <c r="G135" s="77">
        <f t="shared" si="3"/>
        <v>20.88</v>
      </c>
      <c r="H135" s="77">
        <f>+C135*C135/162</f>
        <v>0.39506172839506171</v>
      </c>
      <c r="I135" s="257">
        <f t="shared" si="4"/>
        <v>8.2488888888888887</v>
      </c>
      <c r="K135" s="220"/>
    </row>
    <row r="136" spans="1:11" s="78" customFormat="1" ht="24.95" customHeight="1">
      <c r="A136" s="75"/>
      <c r="B136" s="356" t="s">
        <v>949</v>
      </c>
      <c r="C136" s="371">
        <v>8</v>
      </c>
      <c r="D136" s="76">
        <v>1</v>
      </c>
      <c r="E136" s="77">
        <v>1.4</v>
      </c>
      <c r="F136" s="368">
        <v>4</v>
      </c>
      <c r="G136" s="77">
        <f t="shared" si="3"/>
        <v>5.6</v>
      </c>
      <c r="H136" s="77">
        <f t="shared" si="5"/>
        <v>0.39506172839506171</v>
      </c>
      <c r="I136" s="257">
        <f t="shared" si="4"/>
        <v>2.2123456790123455</v>
      </c>
      <c r="K136" s="220"/>
    </row>
    <row r="137" spans="1:11" s="78" customFormat="1" ht="24.95" customHeight="1">
      <c r="A137" s="75"/>
      <c r="B137" s="373" t="s">
        <v>1174</v>
      </c>
      <c r="C137" s="371">
        <v>8</v>
      </c>
      <c r="D137" s="76">
        <v>1</v>
      </c>
      <c r="E137" s="372">
        <v>0.57999999999999996</v>
      </c>
      <c r="F137" s="368">
        <v>9</v>
      </c>
      <c r="G137" s="77">
        <f t="shared" ref="G137:G200" si="6">+F137*E137*D137</f>
        <v>5.22</v>
      </c>
      <c r="H137" s="77">
        <f t="shared" si="5"/>
        <v>0.39506172839506171</v>
      </c>
      <c r="I137" s="257">
        <f t="shared" ref="I137:I200" si="7">+H137*G137</f>
        <v>2.0622222222222222</v>
      </c>
      <c r="K137" s="220"/>
    </row>
    <row r="138" spans="1:11" s="78" customFormat="1" ht="24.95" customHeight="1">
      <c r="A138" s="75"/>
      <c r="B138" s="356" t="s">
        <v>950</v>
      </c>
      <c r="C138" s="76"/>
      <c r="D138" s="76">
        <v>0</v>
      </c>
      <c r="E138" s="77"/>
      <c r="F138" s="368"/>
      <c r="G138" s="77">
        <f t="shared" si="6"/>
        <v>0</v>
      </c>
      <c r="H138" s="77">
        <f t="shared" si="5"/>
        <v>0</v>
      </c>
      <c r="I138" s="257">
        <f t="shared" si="7"/>
        <v>0</v>
      </c>
    </row>
    <row r="139" spans="1:11" s="78" customFormat="1" ht="24.95" customHeight="1">
      <c r="A139" s="75"/>
      <c r="B139" s="356" t="s">
        <v>951</v>
      </c>
      <c r="C139" s="371">
        <v>8</v>
      </c>
      <c r="D139" s="76">
        <v>1</v>
      </c>
      <c r="E139" s="77">
        <v>1.4</v>
      </c>
      <c r="F139" s="368">
        <v>4</v>
      </c>
      <c r="G139" s="77">
        <f t="shared" si="6"/>
        <v>5.6</v>
      </c>
      <c r="H139" s="77">
        <f t="shared" si="5"/>
        <v>0.39506172839506171</v>
      </c>
      <c r="I139" s="257">
        <f t="shared" si="7"/>
        <v>2.2123456790123455</v>
      </c>
      <c r="K139" s="220"/>
    </row>
    <row r="140" spans="1:11" s="78" customFormat="1" ht="24.95" customHeight="1">
      <c r="A140" s="75"/>
      <c r="B140" s="373" t="s">
        <v>1174</v>
      </c>
      <c r="C140" s="371">
        <v>8</v>
      </c>
      <c r="D140" s="76">
        <v>1</v>
      </c>
      <c r="E140" s="372">
        <v>0.57999999999999996</v>
      </c>
      <c r="F140" s="368">
        <v>9</v>
      </c>
      <c r="G140" s="77">
        <f t="shared" si="6"/>
        <v>5.22</v>
      </c>
      <c r="H140" s="77">
        <f>+C140*C140/162</f>
        <v>0.39506172839506171</v>
      </c>
      <c r="I140" s="257">
        <f t="shared" si="7"/>
        <v>2.0622222222222222</v>
      </c>
      <c r="K140" s="220"/>
    </row>
    <row r="141" spans="1:11" s="78" customFormat="1" ht="24.95" customHeight="1">
      <c r="A141" s="75"/>
      <c r="B141" s="356" t="s">
        <v>952</v>
      </c>
      <c r="C141" s="76"/>
      <c r="D141" s="76">
        <v>0</v>
      </c>
      <c r="E141" s="77"/>
      <c r="F141" s="368"/>
      <c r="G141" s="77">
        <f t="shared" si="6"/>
        <v>0</v>
      </c>
      <c r="H141" s="77">
        <f t="shared" si="5"/>
        <v>0</v>
      </c>
      <c r="I141" s="257">
        <f t="shared" si="7"/>
        <v>0</v>
      </c>
    </row>
    <row r="142" spans="1:11" s="78" customFormat="1" ht="24.95" customHeight="1">
      <c r="A142" s="75"/>
      <c r="B142" s="356" t="s">
        <v>953</v>
      </c>
      <c r="C142" s="371">
        <v>8</v>
      </c>
      <c r="D142" s="76">
        <v>1</v>
      </c>
      <c r="E142" s="77">
        <v>1.6</v>
      </c>
      <c r="F142" s="368">
        <v>5</v>
      </c>
      <c r="G142" s="77">
        <f t="shared" si="6"/>
        <v>8</v>
      </c>
      <c r="H142" s="77">
        <f t="shared" si="5"/>
        <v>0.39506172839506171</v>
      </c>
      <c r="I142" s="257">
        <f t="shared" si="7"/>
        <v>3.1604938271604937</v>
      </c>
      <c r="K142" s="220"/>
    </row>
    <row r="143" spans="1:11" s="78" customFormat="1" ht="24.95" customHeight="1">
      <c r="A143" s="75"/>
      <c r="B143" s="373" t="s">
        <v>1174</v>
      </c>
      <c r="C143" s="371">
        <v>8</v>
      </c>
      <c r="D143" s="76">
        <v>1</v>
      </c>
      <c r="E143" s="372">
        <v>0.57999999999999996</v>
      </c>
      <c r="F143" s="368">
        <v>11</v>
      </c>
      <c r="G143" s="77">
        <f t="shared" si="6"/>
        <v>6.38</v>
      </c>
      <c r="H143" s="77">
        <f t="shared" si="5"/>
        <v>0.39506172839506171</v>
      </c>
      <c r="I143" s="257">
        <f t="shared" si="7"/>
        <v>2.5204938271604935</v>
      </c>
      <c r="K143" s="220"/>
    </row>
    <row r="144" spans="1:11" s="78" customFormat="1" ht="24.95" customHeight="1">
      <c r="A144" s="75"/>
      <c r="B144" s="356" t="s">
        <v>954</v>
      </c>
      <c r="C144" s="76"/>
      <c r="D144" s="76">
        <v>0</v>
      </c>
      <c r="E144" s="77"/>
      <c r="F144" s="368"/>
      <c r="G144" s="77">
        <f t="shared" si="6"/>
        <v>0</v>
      </c>
      <c r="H144" s="77">
        <f t="shared" si="5"/>
        <v>0</v>
      </c>
      <c r="I144" s="257">
        <f t="shared" si="7"/>
        <v>0</v>
      </c>
    </row>
    <row r="145" spans="1:11" s="78" customFormat="1" ht="24.95" customHeight="1">
      <c r="A145" s="75"/>
      <c r="B145" s="356" t="s">
        <v>955</v>
      </c>
      <c r="C145" s="371"/>
      <c r="D145" s="371">
        <v>0</v>
      </c>
      <c r="E145" s="372"/>
      <c r="F145" s="368"/>
      <c r="G145" s="77">
        <f t="shared" si="6"/>
        <v>0</v>
      </c>
      <c r="H145" s="77">
        <f t="shared" si="5"/>
        <v>0</v>
      </c>
      <c r="I145" s="257">
        <f t="shared" si="7"/>
        <v>0</v>
      </c>
    </row>
    <row r="146" spans="1:11" s="78" customFormat="1" ht="24.95" customHeight="1">
      <c r="A146" s="75"/>
      <c r="B146" s="356" t="s">
        <v>953</v>
      </c>
      <c r="C146" s="371">
        <v>8</v>
      </c>
      <c r="D146" s="371">
        <v>1</v>
      </c>
      <c r="E146" s="372">
        <v>1.6</v>
      </c>
      <c r="F146" s="368">
        <v>5</v>
      </c>
      <c r="G146" s="77">
        <f t="shared" si="6"/>
        <v>8</v>
      </c>
      <c r="H146" s="77">
        <f t="shared" si="5"/>
        <v>0.39506172839506171</v>
      </c>
      <c r="I146" s="257">
        <f t="shared" si="7"/>
        <v>3.1604938271604937</v>
      </c>
      <c r="K146" s="220"/>
    </row>
    <row r="147" spans="1:11" s="78" customFormat="1" ht="24.95" customHeight="1">
      <c r="A147" s="75"/>
      <c r="B147" s="373" t="s">
        <v>1174</v>
      </c>
      <c r="C147" s="371">
        <v>8</v>
      </c>
      <c r="D147" s="76">
        <v>1</v>
      </c>
      <c r="E147" s="372">
        <v>0.57999999999999996</v>
      </c>
      <c r="F147" s="368">
        <v>11</v>
      </c>
      <c r="G147" s="77">
        <f t="shared" si="6"/>
        <v>6.38</v>
      </c>
      <c r="H147" s="77">
        <f>+C147*C147/162</f>
        <v>0.39506172839506171</v>
      </c>
      <c r="I147" s="257">
        <f t="shared" si="7"/>
        <v>2.5204938271604935</v>
      </c>
      <c r="K147" s="220"/>
    </row>
    <row r="148" spans="1:11" s="78" customFormat="1" ht="24.95" customHeight="1">
      <c r="A148" s="75"/>
      <c r="B148" s="356" t="s">
        <v>956</v>
      </c>
      <c r="C148" s="371">
        <v>8</v>
      </c>
      <c r="D148" s="371">
        <v>1</v>
      </c>
      <c r="E148" s="372">
        <v>1.3</v>
      </c>
      <c r="F148" s="368">
        <v>4</v>
      </c>
      <c r="G148" s="77">
        <f t="shared" si="6"/>
        <v>5.2</v>
      </c>
      <c r="H148" s="77">
        <f t="shared" si="5"/>
        <v>0.39506172839506171</v>
      </c>
      <c r="I148" s="257">
        <f t="shared" si="7"/>
        <v>2.0543209876543211</v>
      </c>
      <c r="K148" s="220"/>
    </row>
    <row r="149" spans="1:11" s="78" customFormat="1" ht="24.95" customHeight="1">
      <c r="A149" s="75"/>
      <c r="B149" s="373" t="s">
        <v>1174</v>
      </c>
      <c r="C149" s="371">
        <v>8</v>
      </c>
      <c r="D149" s="76">
        <v>1</v>
      </c>
      <c r="E149" s="372">
        <v>0.57999999999999996</v>
      </c>
      <c r="F149" s="368">
        <v>9</v>
      </c>
      <c r="G149" s="77">
        <f t="shared" si="6"/>
        <v>5.22</v>
      </c>
      <c r="H149" s="77">
        <f t="shared" si="5"/>
        <v>0.39506172839506171</v>
      </c>
      <c r="I149" s="257">
        <f t="shared" si="7"/>
        <v>2.0622222222222222</v>
      </c>
      <c r="K149" s="220"/>
    </row>
    <row r="150" spans="1:11" s="78" customFormat="1" ht="24.95" customHeight="1">
      <c r="A150" s="75"/>
      <c r="B150" s="356" t="s">
        <v>957</v>
      </c>
      <c r="C150" s="371"/>
      <c r="D150" s="371">
        <v>0</v>
      </c>
      <c r="E150" s="372"/>
      <c r="F150" s="368"/>
      <c r="G150" s="77">
        <f t="shared" si="6"/>
        <v>0</v>
      </c>
      <c r="H150" s="77">
        <f t="shared" si="5"/>
        <v>0</v>
      </c>
      <c r="I150" s="257">
        <f t="shared" si="7"/>
        <v>0</v>
      </c>
    </row>
    <row r="151" spans="1:11" s="78" customFormat="1" ht="24.95" customHeight="1">
      <c r="A151" s="75"/>
      <c r="B151" s="356"/>
      <c r="C151" s="371">
        <v>8</v>
      </c>
      <c r="D151" s="371">
        <v>1</v>
      </c>
      <c r="E151" s="372">
        <v>2.1749999999999998</v>
      </c>
      <c r="F151" s="368">
        <v>5</v>
      </c>
      <c r="G151" s="77">
        <f t="shared" si="6"/>
        <v>10.875</v>
      </c>
      <c r="H151" s="77">
        <f t="shared" si="5"/>
        <v>0.39506172839506171</v>
      </c>
      <c r="I151" s="257">
        <f t="shared" si="7"/>
        <v>4.2962962962962958</v>
      </c>
      <c r="K151" s="220"/>
    </row>
    <row r="152" spans="1:11" s="78" customFormat="1" ht="24.95" customHeight="1">
      <c r="A152" s="75"/>
      <c r="B152" s="373" t="s">
        <v>1174</v>
      </c>
      <c r="C152" s="371">
        <v>8</v>
      </c>
      <c r="D152" s="76">
        <v>1</v>
      </c>
      <c r="E152" s="372">
        <v>0.57999999999999996</v>
      </c>
      <c r="F152" s="368">
        <v>15</v>
      </c>
      <c r="G152" s="77">
        <f t="shared" si="6"/>
        <v>8.6999999999999993</v>
      </c>
      <c r="H152" s="77">
        <f>+C152*C152/162</f>
        <v>0.39506172839506171</v>
      </c>
      <c r="I152" s="257">
        <f t="shared" si="7"/>
        <v>3.4370370370370367</v>
      </c>
      <c r="K152" s="220"/>
    </row>
    <row r="153" spans="1:11" s="78" customFormat="1" ht="24.95" customHeight="1">
      <c r="A153" s="75"/>
      <c r="B153" s="362" t="s">
        <v>959</v>
      </c>
      <c r="C153" s="76"/>
      <c r="D153" s="76">
        <v>0</v>
      </c>
      <c r="E153" s="77"/>
      <c r="F153" s="368"/>
      <c r="G153" s="77">
        <f t="shared" si="6"/>
        <v>0</v>
      </c>
      <c r="H153" s="77">
        <f t="shared" si="5"/>
        <v>0</v>
      </c>
      <c r="I153" s="257">
        <f t="shared" si="7"/>
        <v>0</v>
      </c>
    </row>
    <row r="154" spans="1:11" s="78" customFormat="1" ht="24.95" customHeight="1">
      <c r="A154" s="75"/>
      <c r="B154" s="356" t="s">
        <v>962</v>
      </c>
      <c r="C154" s="76"/>
      <c r="D154" s="76">
        <v>0</v>
      </c>
      <c r="E154" s="77"/>
      <c r="F154" s="368"/>
      <c r="G154" s="77">
        <f t="shared" si="6"/>
        <v>0</v>
      </c>
      <c r="H154" s="77">
        <f t="shared" si="5"/>
        <v>0</v>
      </c>
      <c r="I154" s="257">
        <f t="shared" si="7"/>
        <v>0</v>
      </c>
    </row>
    <row r="155" spans="1:11" s="78" customFormat="1" ht="24.95" customHeight="1">
      <c r="A155" s="75"/>
      <c r="B155" s="356" t="s">
        <v>963</v>
      </c>
      <c r="C155" s="371">
        <v>8</v>
      </c>
      <c r="D155" s="76">
        <v>1</v>
      </c>
      <c r="E155" s="77">
        <v>1.2000000000000002</v>
      </c>
      <c r="F155" s="368">
        <v>4</v>
      </c>
      <c r="G155" s="77">
        <f t="shared" si="6"/>
        <v>4.8000000000000007</v>
      </c>
      <c r="H155" s="77">
        <f t="shared" si="5"/>
        <v>0.39506172839506171</v>
      </c>
      <c r="I155" s="257">
        <f t="shared" si="7"/>
        <v>1.8962962962962964</v>
      </c>
      <c r="K155" s="220"/>
    </row>
    <row r="156" spans="1:11" s="78" customFormat="1" ht="24.95" customHeight="1">
      <c r="A156" s="75"/>
      <c r="B156" s="373" t="s">
        <v>1174</v>
      </c>
      <c r="C156" s="371">
        <v>8</v>
      </c>
      <c r="D156" s="76">
        <v>1</v>
      </c>
      <c r="E156" s="372">
        <v>0.57999999999999996</v>
      </c>
      <c r="F156" s="368">
        <v>8</v>
      </c>
      <c r="G156" s="77">
        <f t="shared" si="6"/>
        <v>4.6399999999999997</v>
      </c>
      <c r="H156" s="77">
        <f t="shared" si="5"/>
        <v>0.39506172839506171</v>
      </c>
      <c r="I156" s="257">
        <f t="shared" si="7"/>
        <v>1.8330864197530863</v>
      </c>
      <c r="K156" s="220"/>
    </row>
    <row r="157" spans="1:11" s="78" customFormat="1" ht="24.95" customHeight="1">
      <c r="A157" s="75"/>
      <c r="B157" s="356" t="s">
        <v>964</v>
      </c>
      <c r="C157" s="371">
        <v>8</v>
      </c>
      <c r="D157" s="76">
        <v>2</v>
      </c>
      <c r="E157" s="77">
        <v>1.6</v>
      </c>
      <c r="F157" s="368">
        <v>5</v>
      </c>
      <c r="G157" s="77">
        <f t="shared" si="6"/>
        <v>16</v>
      </c>
      <c r="H157" s="77">
        <f t="shared" si="5"/>
        <v>0.39506172839506171</v>
      </c>
      <c r="I157" s="257">
        <f t="shared" si="7"/>
        <v>6.3209876543209873</v>
      </c>
      <c r="K157" s="220"/>
    </row>
    <row r="158" spans="1:11" s="78" customFormat="1" ht="24.95" customHeight="1">
      <c r="A158" s="75"/>
      <c r="B158" s="373" t="s">
        <v>1174</v>
      </c>
      <c r="C158" s="371">
        <v>8</v>
      </c>
      <c r="D158" s="76">
        <v>2</v>
      </c>
      <c r="E158" s="372">
        <v>0.57999999999999996</v>
      </c>
      <c r="F158" s="368">
        <v>11</v>
      </c>
      <c r="G158" s="77">
        <f t="shared" si="6"/>
        <v>12.76</v>
      </c>
      <c r="H158" s="77">
        <f>+C158*C158/162</f>
        <v>0.39506172839506171</v>
      </c>
      <c r="I158" s="257">
        <f t="shared" si="7"/>
        <v>5.0409876543209871</v>
      </c>
      <c r="K158" s="220"/>
    </row>
    <row r="159" spans="1:11" s="78" customFormat="1" ht="24.95" customHeight="1">
      <c r="A159" s="75"/>
      <c r="B159" s="356" t="s">
        <v>965</v>
      </c>
      <c r="C159" s="76"/>
      <c r="D159" s="76">
        <v>0</v>
      </c>
      <c r="E159" s="77"/>
      <c r="F159" s="368"/>
      <c r="G159" s="77">
        <f t="shared" si="6"/>
        <v>0</v>
      </c>
      <c r="H159" s="77">
        <f t="shared" si="5"/>
        <v>0</v>
      </c>
      <c r="I159" s="257">
        <f t="shared" si="7"/>
        <v>0</v>
      </c>
    </row>
    <row r="160" spans="1:11" s="78" customFormat="1" ht="24.95" customHeight="1">
      <c r="A160" s="75"/>
      <c r="B160" s="356" t="s">
        <v>966</v>
      </c>
      <c r="C160" s="371">
        <v>8</v>
      </c>
      <c r="D160" s="76">
        <v>2</v>
      </c>
      <c r="E160" s="77">
        <v>1.4</v>
      </c>
      <c r="F160" s="368">
        <v>4</v>
      </c>
      <c r="G160" s="77">
        <f t="shared" si="6"/>
        <v>11.2</v>
      </c>
      <c r="H160" s="77">
        <f t="shared" si="5"/>
        <v>0.39506172839506171</v>
      </c>
      <c r="I160" s="257">
        <f t="shared" si="7"/>
        <v>4.4246913580246909</v>
      </c>
      <c r="K160" s="220"/>
    </row>
    <row r="161" spans="1:11" s="78" customFormat="1" ht="24.95" customHeight="1">
      <c r="A161" s="75"/>
      <c r="B161" s="373" t="s">
        <v>1174</v>
      </c>
      <c r="C161" s="371">
        <v>8</v>
      </c>
      <c r="D161" s="76">
        <v>2</v>
      </c>
      <c r="E161" s="372">
        <v>0.57999999999999996</v>
      </c>
      <c r="F161" s="368">
        <v>9</v>
      </c>
      <c r="G161" s="77">
        <f t="shared" si="6"/>
        <v>10.44</v>
      </c>
      <c r="H161" s="77">
        <f t="shared" si="5"/>
        <v>0.39506172839506171</v>
      </c>
      <c r="I161" s="257">
        <f t="shared" si="7"/>
        <v>4.1244444444444444</v>
      </c>
      <c r="K161" s="220"/>
    </row>
    <row r="162" spans="1:11" s="78" customFormat="1" ht="24.95" customHeight="1">
      <c r="A162" s="75"/>
      <c r="B162" s="356" t="s">
        <v>969</v>
      </c>
      <c r="C162" s="76"/>
      <c r="D162" s="76">
        <v>0</v>
      </c>
      <c r="E162" s="77"/>
      <c r="F162" s="368"/>
      <c r="G162" s="77">
        <f t="shared" si="6"/>
        <v>0</v>
      </c>
      <c r="H162" s="77">
        <f t="shared" si="5"/>
        <v>0</v>
      </c>
      <c r="I162" s="257">
        <f t="shared" si="7"/>
        <v>0</v>
      </c>
    </row>
    <row r="163" spans="1:11" s="78" customFormat="1" ht="24.95" customHeight="1">
      <c r="A163" s="75"/>
      <c r="B163" s="366" t="s">
        <v>1091</v>
      </c>
      <c r="C163" s="371"/>
      <c r="D163" s="371">
        <v>0</v>
      </c>
      <c r="E163" s="372"/>
      <c r="F163" s="368"/>
      <c r="G163" s="77">
        <f t="shared" si="6"/>
        <v>0</v>
      </c>
      <c r="H163" s="77">
        <f t="shared" si="5"/>
        <v>0</v>
      </c>
      <c r="I163" s="257">
        <f t="shared" si="7"/>
        <v>0</v>
      </c>
    </row>
    <row r="164" spans="1:11" s="78" customFormat="1" ht="24.95" customHeight="1">
      <c r="A164" s="75"/>
      <c r="B164" s="373" t="s">
        <v>1049</v>
      </c>
      <c r="C164" s="371"/>
      <c r="D164" s="371">
        <v>0</v>
      </c>
      <c r="E164" s="372"/>
      <c r="F164" s="368"/>
      <c r="G164" s="77">
        <f t="shared" si="6"/>
        <v>0</v>
      </c>
      <c r="H164" s="77">
        <f t="shared" si="5"/>
        <v>0</v>
      </c>
      <c r="I164" s="257">
        <f t="shared" si="7"/>
        <v>0</v>
      </c>
    </row>
    <row r="165" spans="1:11" s="78" customFormat="1" ht="24.95" customHeight="1">
      <c r="A165" s="75"/>
      <c r="B165" s="373" t="s">
        <v>941</v>
      </c>
      <c r="C165" s="371">
        <v>8</v>
      </c>
      <c r="D165" s="371">
        <v>3</v>
      </c>
      <c r="E165" s="372">
        <v>1.4</v>
      </c>
      <c r="F165" s="368">
        <v>4</v>
      </c>
      <c r="G165" s="77">
        <f t="shared" si="6"/>
        <v>16.799999999999997</v>
      </c>
      <c r="H165" s="77">
        <f t="shared" si="5"/>
        <v>0.39506172839506171</v>
      </c>
      <c r="I165" s="257">
        <f t="shared" si="7"/>
        <v>6.637037037037036</v>
      </c>
      <c r="K165" s="220"/>
    </row>
    <row r="166" spans="1:11" s="78" customFormat="1" ht="24.95" customHeight="1">
      <c r="A166" s="75"/>
      <c r="B166" s="373" t="s">
        <v>1174</v>
      </c>
      <c r="C166" s="371">
        <v>8</v>
      </c>
      <c r="D166" s="371">
        <v>3</v>
      </c>
      <c r="E166" s="372">
        <v>0.57999999999999996</v>
      </c>
      <c r="F166" s="368">
        <v>9</v>
      </c>
      <c r="G166" s="77">
        <f t="shared" si="6"/>
        <v>15.66</v>
      </c>
      <c r="H166" s="77">
        <f>+C166*C166/162</f>
        <v>0.39506172839506171</v>
      </c>
      <c r="I166" s="257">
        <f t="shared" si="7"/>
        <v>6.1866666666666665</v>
      </c>
      <c r="K166" s="220"/>
    </row>
    <row r="167" spans="1:11" s="78" customFormat="1" ht="24.95" customHeight="1">
      <c r="A167" s="75"/>
      <c r="B167" s="373" t="s">
        <v>1092</v>
      </c>
      <c r="C167" s="371">
        <v>8</v>
      </c>
      <c r="D167" s="371">
        <v>1</v>
      </c>
      <c r="E167" s="372">
        <v>2.25</v>
      </c>
      <c r="F167" s="368">
        <v>5</v>
      </c>
      <c r="G167" s="77">
        <f t="shared" si="6"/>
        <v>11.25</v>
      </c>
      <c r="H167" s="77">
        <f t="shared" si="5"/>
        <v>0.39506172839506171</v>
      </c>
      <c r="I167" s="257">
        <f t="shared" si="7"/>
        <v>4.4444444444444446</v>
      </c>
      <c r="K167" s="220"/>
    </row>
    <row r="168" spans="1:11" s="78" customFormat="1" ht="24.95" customHeight="1">
      <c r="A168" s="75"/>
      <c r="B168" s="373" t="s">
        <v>1174</v>
      </c>
      <c r="C168" s="371">
        <v>8</v>
      </c>
      <c r="D168" s="371">
        <v>1</v>
      </c>
      <c r="E168" s="372">
        <v>0.57999999999999996</v>
      </c>
      <c r="F168" s="368">
        <v>15</v>
      </c>
      <c r="G168" s="77">
        <f t="shared" si="6"/>
        <v>8.6999999999999993</v>
      </c>
      <c r="H168" s="77">
        <f t="shared" si="5"/>
        <v>0.39506172839506171</v>
      </c>
      <c r="I168" s="257">
        <f t="shared" si="7"/>
        <v>3.4370370370370367</v>
      </c>
      <c r="K168" s="220"/>
    </row>
    <row r="169" spans="1:11" s="78" customFormat="1" ht="24.95" customHeight="1">
      <c r="A169" s="75"/>
      <c r="B169" s="373" t="s">
        <v>1050</v>
      </c>
      <c r="C169" s="371"/>
      <c r="D169" s="371">
        <v>0</v>
      </c>
      <c r="E169" s="372"/>
      <c r="F169" s="368"/>
      <c r="G169" s="77">
        <f t="shared" si="6"/>
        <v>0</v>
      </c>
      <c r="H169" s="77">
        <f t="shared" si="5"/>
        <v>0</v>
      </c>
      <c r="I169" s="257">
        <f t="shared" si="7"/>
        <v>0</v>
      </c>
    </row>
    <row r="170" spans="1:11" s="78" customFormat="1" ht="24.95" customHeight="1">
      <c r="A170" s="75"/>
      <c r="B170" s="373" t="s">
        <v>1093</v>
      </c>
      <c r="C170" s="371">
        <v>8</v>
      </c>
      <c r="D170" s="371">
        <v>3</v>
      </c>
      <c r="E170" s="372">
        <v>1.4</v>
      </c>
      <c r="F170" s="368">
        <v>4</v>
      </c>
      <c r="G170" s="77">
        <f t="shared" si="6"/>
        <v>16.799999999999997</v>
      </c>
      <c r="H170" s="77">
        <f t="shared" si="5"/>
        <v>0.39506172839506171</v>
      </c>
      <c r="I170" s="257">
        <f t="shared" si="7"/>
        <v>6.637037037037036</v>
      </c>
      <c r="K170" s="220"/>
    </row>
    <row r="171" spans="1:11" s="78" customFormat="1" ht="24.95" customHeight="1">
      <c r="A171" s="75"/>
      <c r="B171" s="373" t="s">
        <v>1174</v>
      </c>
      <c r="C171" s="371">
        <v>8</v>
      </c>
      <c r="D171" s="371">
        <v>3</v>
      </c>
      <c r="E171" s="372">
        <v>0.57999999999999996</v>
      </c>
      <c r="F171" s="368">
        <v>9</v>
      </c>
      <c r="G171" s="77">
        <f t="shared" si="6"/>
        <v>15.66</v>
      </c>
      <c r="H171" s="77">
        <f>+C171*C171/162</f>
        <v>0.39506172839506171</v>
      </c>
      <c r="I171" s="257">
        <f t="shared" si="7"/>
        <v>6.1866666666666665</v>
      </c>
      <c r="K171" s="220"/>
    </row>
    <row r="172" spans="1:11" s="78" customFormat="1" ht="24.95" customHeight="1">
      <c r="A172" s="75"/>
      <c r="B172" s="373" t="s">
        <v>1094</v>
      </c>
      <c r="C172" s="371">
        <v>8</v>
      </c>
      <c r="D172" s="371">
        <v>1</v>
      </c>
      <c r="E172" s="372">
        <v>2.25</v>
      </c>
      <c r="F172" s="368">
        <v>5</v>
      </c>
      <c r="G172" s="77">
        <f t="shared" si="6"/>
        <v>11.25</v>
      </c>
      <c r="H172" s="77">
        <f t="shared" si="5"/>
        <v>0.39506172839506171</v>
      </c>
      <c r="I172" s="257">
        <f t="shared" si="7"/>
        <v>4.4444444444444446</v>
      </c>
      <c r="K172" s="220"/>
    </row>
    <row r="173" spans="1:11" s="78" customFormat="1" ht="24.95" customHeight="1">
      <c r="A173" s="75"/>
      <c r="B173" s="373" t="s">
        <v>1174</v>
      </c>
      <c r="C173" s="371">
        <v>8</v>
      </c>
      <c r="D173" s="371">
        <v>1</v>
      </c>
      <c r="E173" s="372">
        <v>0.57999999999999996</v>
      </c>
      <c r="F173" s="368">
        <v>15</v>
      </c>
      <c r="G173" s="77">
        <f t="shared" si="6"/>
        <v>8.6999999999999993</v>
      </c>
      <c r="H173" s="77">
        <f t="shared" si="5"/>
        <v>0.39506172839506171</v>
      </c>
      <c r="I173" s="257">
        <f t="shared" si="7"/>
        <v>3.4370370370370367</v>
      </c>
      <c r="K173" s="220"/>
    </row>
    <row r="174" spans="1:11" s="78" customFormat="1" ht="24.95" customHeight="1">
      <c r="A174" s="75"/>
      <c r="B174" s="374" t="s">
        <v>1095</v>
      </c>
      <c r="C174" s="76"/>
      <c r="D174" s="76">
        <v>0</v>
      </c>
      <c r="E174" s="77"/>
      <c r="F174" s="368"/>
      <c r="G174" s="77">
        <f t="shared" si="6"/>
        <v>0</v>
      </c>
      <c r="H174" s="77">
        <f t="shared" si="5"/>
        <v>0</v>
      </c>
      <c r="I174" s="257">
        <f t="shared" si="7"/>
        <v>0</v>
      </c>
    </row>
    <row r="175" spans="1:11" s="78" customFormat="1" ht="24.95" customHeight="1">
      <c r="A175" s="75"/>
      <c r="B175" s="374" t="s">
        <v>1056</v>
      </c>
      <c r="C175" s="76"/>
      <c r="D175" s="76">
        <v>0</v>
      </c>
      <c r="E175" s="77"/>
      <c r="F175" s="368"/>
      <c r="G175" s="77">
        <f t="shared" si="6"/>
        <v>0</v>
      </c>
      <c r="H175" s="77">
        <f t="shared" si="5"/>
        <v>0</v>
      </c>
      <c r="I175" s="257">
        <f t="shared" si="7"/>
        <v>0</v>
      </c>
    </row>
    <row r="176" spans="1:11" s="78" customFormat="1" ht="24.95" customHeight="1">
      <c r="A176" s="75"/>
      <c r="B176" s="374" t="s">
        <v>1051</v>
      </c>
      <c r="C176" s="371">
        <v>8</v>
      </c>
      <c r="D176" s="76">
        <v>4</v>
      </c>
      <c r="E176" s="77">
        <v>1.4</v>
      </c>
      <c r="F176" s="368">
        <v>4</v>
      </c>
      <c r="G176" s="77">
        <f t="shared" si="6"/>
        <v>22.4</v>
      </c>
      <c r="H176" s="77">
        <f t="shared" si="5"/>
        <v>0.39506172839506171</v>
      </c>
      <c r="I176" s="257">
        <f t="shared" si="7"/>
        <v>8.8493827160493819</v>
      </c>
      <c r="K176" s="220"/>
    </row>
    <row r="177" spans="1:11" s="78" customFormat="1" ht="24.95" customHeight="1">
      <c r="A177" s="75"/>
      <c r="B177" s="373" t="s">
        <v>1174</v>
      </c>
      <c r="C177" s="371">
        <v>8</v>
      </c>
      <c r="D177" s="76">
        <v>4</v>
      </c>
      <c r="E177" s="372">
        <v>0.57999999999999996</v>
      </c>
      <c r="F177" s="368">
        <v>9</v>
      </c>
      <c r="G177" s="77">
        <f t="shared" si="6"/>
        <v>20.88</v>
      </c>
      <c r="H177" s="77">
        <f>+C177*C177/162</f>
        <v>0.39506172839506171</v>
      </c>
      <c r="I177" s="257">
        <f t="shared" si="7"/>
        <v>8.2488888888888887</v>
      </c>
      <c r="K177" s="220"/>
    </row>
    <row r="178" spans="1:11" s="78" customFormat="1" ht="24.95" customHeight="1">
      <c r="A178" s="75"/>
      <c r="B178" s="356" t="s">
        <v>1057</v>
      </c>
      <c r="C178" s="76"/>
      <c r="D178" s="76">
        <v>0</v>
      </c>
      <c r="E178" s="77"/>
      <c r="F178" s="368"/>
      <c r="G178" s="77">
        <f t="shared" si="6"/>
        <v>0</v>
      </c>
      <c r="H178" s="77">
        <f t="shared" si="5"/>
        <v>0</v>
      </c>
      <c r="I178" s="257">
        <f t="shared" si="7"/>
        <v>0</v>
      </c>
    </row>
    <row r="179" spans="1:11" s="78" customFormat="1" ht="24.95" customHeight="1">
      <c r="A179" s="75"/>
      <c r="B179" s="356" t="s">
        <v>1051</v>
      </c>
      <c r="C179" s="371">
        <v>8</v>
      </c>
      <c r="D179" s="76">
        <v>4</v>
      </c>
      <c r="E179" s="77">
        <v>1.4</v>
      </c>
      <c r="F179" s="368">
        <v>4</v>
      </c>
      <c r="G179" s="77">
        <f t="shared" si="6"/>
        <v>22.4</v>
      </c>
      <c r="H179" s="77">
        <f t="shared" si="5"/>
        <v>0.39506172839506171</v>
      </c>
      <c r="I179" s="257">
        <f t="shared" si="7"/>
        <v>8.8493827160493819</v>
      </c>
      <c r="K179" s="220"/>
    </row>
    <row r="180" spans="1:11" s="78" customFormat="1" ht="24.95" customHeight="1">
      <c r="A180" s="75"/>
      <c r="B180" s="373" t="s">
        <v>1174</v>
      </c>
      <c r="C180" s="371">
        <v>8</v>
      </c>
      <c r="D180" s="76">
        <v>4</v>
      </c>
      <c r="E180" s="372">
        <v>0.57999999999999996</v>
      </c>
      <c r="F180" s="368">
        <v>9</v>
      </c>
      <c r="G180" s="77">
        <f t="shared" si="6"/>
        <v>20.88</v>
      </c>
      <c r="H180" s="77">
        <f t="shared" si="5"/>
        <v>0.39506172839506171</v>
      </c>
      <c r="I180" s="257">
        <f t="shared" si="7"/>
        <v>8.2488888888888887</v>
      </c>
      <c r="K180" s="220"/>
    </row>
    <row r="181" spans="1:11" s="78" customFormat="1" ht="24.95" customHeight="1">
      <c r="A181" s="75"/>
      <c r="B181" s="356" t="s">
        <v>1097</v>
      </c>
      <c r="C181" s="76"/>
      <c r="D181" s="76">
        <v>0</v>
      </c>
      <c r="E181" s="77"/>
      <c r="F181" s="368"/>
      <c r="G181" s="77">
        <f t="shared" si="6"/>
        <v>0</v>
      </c>
      <c r="H181" s="77">
        <f t="shared" si="5"/>
        <v>0</v>
      </c>
      <c r="I181" s="257">
        <f t="shared" si="7"/>
        <v>0</v>
      </c>
    </row>
    <row r="182" spans="1:11" s="78" customFormat="1" ht="24.95" customHeight="1">
      <c r="A182" s="75"/>
      <c r="B182" s="356" t="s">
        <v>1063</v>
      </c>
      <c r="C182" s="76"/>
      <c r="D182" s="76">
        <v>0</v>
      </c>
      <c r="E182" s="77"/>
      <c r="F182" s="368"/>
      <c r="G182" s="77">
        <f t="shared" si="6"/>
        <v>0</v>
      </c>
      <c r="H182" s="77">
        <f t="shared" si="5"/>
        <v>0</v>
      </c>
      <c r="I182" s="257">
        <f t="shared" si="7"/>
        <v>0</v>
      </c>
    </row>
    <row r="183" spans="1:11" s="78" customFormat="1" ht="24.95" customHeight="1">
      <c r="A183" s="75"/>
      <c r="B183" s="356" t="s">
        <v>1065</v>
      </c>
      <c r="C183" s="371">
        <v>8</v>
      </c>
      <c r="D183" s="76">
        <v>3</v>
      </c>
      <c r="E183" s="77">
        <v>1.4</v>
      </c>
      <c r="F183" s="368">
        <v>4</v>
      </c>
      <c r="G183" s="77">
        <f t="shared" si="6"/>
        <v>16.799999999999997</v>
      </c>
      <c r="H183" s="77">
        <f t="shared" si="5"/>
        <v>0.39506172839506171</v>
      </c>
      <c r="I183" s="257">
        <f t="shared" si="7"/>
        <v>6.637037037037036</v>
      </c>
      <c r="K183" s="220"/>
    </row>
    <row r="184" spans="1:11" s="78" customFormat="1" ht="24.95" customHeight="1">
      <c r="A184" s="75"/>
      <c r="B184" s="373" t="s">
        <v>1174</v>
      </c>
      <c r="C184" s="371">
        <v>8</v>
      </c>
      <c r="D184" s="76">
        <v>3</v>
      </c>
      <c r="E184" s="372">
        <v>0.57999999999999996</v>
      </c>
      <c r="F184" s="368">
        <v>9</v>
      </c>
      <c r="G184" s="77">
        <f t="shared" si="6"/>
        <v>15.66</v>
      </c>
      <c r="H184" s="77">
        <f>+C184*C184/162</f>
        <v>0.39506172839506171</v>
      </c>
      <c r="I184" s="257">
        <f t="shared" si="7"/>
        <v>6.1866666666666665</v>
      </c>
      <c r="K184" s="220"/>
    </row>
    <row r="185" spans="1:11" s="78" customFormat="1" ht="24.95" customHeight="1">
      <c r="A185" s="75"/>
      <c r="B185" s="356" t="s">
        <v>1098</v>
      </c>
      <c r="C185" s="371">
        <v>8</v>
      </c>
      <c r="D185" s="76">
        <v>1</v>
      </c>
      <c r="E185" s="77">
        <v>2.25</v>
      </c>
      <c r="F185" s="368">
        <v>5</v>
      </c>
      <c r="G185" s="77">
        <f t="shared" si="6"/>
        <v>11.25</v>
      </c>
      <c r="H185" s="77">
        <f t="shared" si="5"/>
        <v>0.39506172839506171</v>
      </c>
      <c r="I185" s="257">
        <f t="shared" si="7"/>
        <v>4.4444444444444446</v>
      </c>
      <c r="K185" s="220"/>
    </row>
    <row r="186" spans="1:11" s="78" customFormat="1" ht="24.95" customHeight="1">
      <c r="A186" s="75"/>
      <c r="B186" s="373" t="s">
        <v>1174</v>
      </c>
      <c r="C186" s="371">
        <v>8</v>
      </c>
      <c r="D186" s="76">
        <v>1</v>
      </c>
      <c r="E186" s="372">
        <v>0.57999999999999996</v>
      </c>
      <c r="F186" s="368">
        <v>15</v>
      </c>
      <c r="G186" s="77">
        <f t="shared" si="6"/>
        <v>8.6999999999999993</v>
      </c>
      <c r="H186" s="77">
        <f t="shared" si="5"/>
        <v>0.39506172839506171</v>
      </c>
      <c r="I186" s="257">
        <f t="shared" si="7"/>
        <v>3.4370370370370367</v>
      </c>
      <c r="K186" s="220"/>
    </row>
    <row r="187" spans="1:11" s="78" customFormat="1" ht="24.95" customHeight="1">
      <c r="A187" s="75"/>
      <c r="B187" s="356" t="s">
        <v>1069</v>
      </c>
      <c r="C187" s="371">
        <v>8</v>
      </c>
      <c r="D187" s="76">
        <v>1</v>
      </c>
      <c r="E187" s="77">
        <v>2.2000000000000002</v>
      </c>
      <c r="F187" s="368">
        <v>5</v>
      </c>
      <c r="G187" s="77">
        <f t="shared" si="6"/>
        <v>11</v>
      </c>
      <c r="H187" s="77">
        <f t="shared" si="5"/>
        <v>0.39506172839506171</v>
      </c>
      <c r="I187" s="257">
        <f t="shared" si="7"/>
        <v>4.3456790123456788</v>
      </c>
      <c r="K187" s="220"/>
    </row>
    <row r="188" spans="1:11" s="78" customFormat="1" ht="24.95" customHeight="1">
      <c r="A188" s="75"/>
      <c r="B188" s="373" t="s">
        <v>1174</v>
      </c>
      <c r="C188" s="371">
        <v>8</v>
      </c>
      <c r="D188" s="76">
        <v>1</v>
      </c>
      <c r="E188" s="372">
        <v>0.57999999999999996</v>
      </c>
      <c r="F188" s="368">
        <v>15</v>
      </c>
      <c r="G188" s="77">
        <f t="shared" si="6"/>
        <v>8.6999999999999993</v>
      </c>
      <c r="H188" s="77">
        <f>+C188*C188/162</f>
        <v>0.39506172839506171</v>
      </c>
      <c r="I188" s="257">
        <f t="shared" si="7"/>
        <v>3.4370370370370367</v>
      </c>
      <c r="K188" s="220"/>
    </row>
    <row r="189" spans="1:11" s="78" customFormat="1" ht="24.95" customHeight="1">
      <c r="A189" s="75"/>
      <c r="B189" s="356" t="s">
        <v>1099</v>
      </c>
      <c r="C189" s="76"/>
      <c r="D189" s="76">
        <v>0</v>
      </c>
      <c r="E189" s="77"/>
      <c r="F189" s="368"/>
      <c r="G189" s="77">
        <f t="shared" si="6"/>
        <v>0</v>
      </c>
      <c r="H189" s="77">
        <f t="shared" si="5"/>
        <v>0</v>
      </c>
      <c r="I189" s="257">
        <f t="shared" si="7"/>
        <v>0</v>
      </c>
    </row>
    <row r="190" spans="1:11" s="78" customFormat="1" ht="24.95" customHeight="1">
      <c r="A190" s="75"/>
      <c r="B190" s="356" t="s">
        <v>1051</v>
      </c>
      <c r="C190" s="371">
        <v>8</v>
      </c>
      <c r="D190" s="76">
        <v>3</v>
      </c>
      <c r="E190" s="77">
        <v>1.4</v>
      </c>
      <c r="F190" s="368">
        <v>4</v>
      </c>
      <c r="G190" s="77">
        <f t="shared" si="6"/>
        <v>16.799999999999997</v>
      </c>
      <c r="H190" s="77">
        <f t="shared" si="5"/>
        <v>0.39506172839506171</v>
      </c>
      <c r="I190" s="257">
        <f t="shared" si="7"/>
        <v>6.637037037037036</v>
      </c>
      <c r="K190" s="220"/>
    </row>
    <row r="191" spans="1:11" s="78" customFormat="1" ht="24.95" customHeight="1">
      <c r="A191" s="75"/>
      <c r="B191" s="373" t="s">
        <v>1174</v>
      </c>
      <c r="C191" s="371">
        <v>8</v>
      </c>
      <c r="D191" s="76">
        <v>3</v>
      </c>
      <c r="E191" s="372">
        <v>0.57999999999999996</v>
      </c>
      <c r="F191" s="368">
        <v>9</v>
      </c>
      <c r="G191" s="77">
        <f t="shared" si="6"/>
        <v>15.66</v>
      </c>
      <c r="H191" s="77">
        <f t="shared" si="5"/>
        <v>0.39506172839506171</v>
      </c>
      <c r="I191" s="257">
        <f t="shared" si="7"/>
        <v>6.1866666666666665</v>
      </c>
      <c r="K191" s="220"/>
    </row>
    <row r="192" spans="1:11" s="78" customFormat="1" ht="24.95" customHeight="1">
      <c r="A192" s="75"/>
      <c r="B192" s="356" t="s">
        <v>1092</v>
      </c>
      <c r="C192" s="371">
        <v>8</v>
      </c>
      <c r="D192" s="76">
        <v>1</v>
      </c>
      <c r="E192" s="77">
        <v>2.25</v>
      </c>
      <c r="F192" s="368">
        <v>5</v>
      </c>
      <c r="G192" s="77">
        <f t="shared" si="6"/>
        <v>11.25</v>
      </c>
      <c r="H192" s="77">
        <f t="shared" si="5"/>
        <v>0.39506172839506171</v>
      </c>
      <c r="I192" s="257">
        <f t="shared" si="7"/>
        <v>4.4444444444444446</v>
      </c>
      <c r="K192" s="220"/>
    </row>
    <row r="193" spans="1:11" s="78" customFormat="1" ht="24.95" customHeight="1">
      <c r="A193" s="75"/>
      <c r="B193" s="373" t="s">
        <v>1174</v>
      </c>
      <c r="C193" s="371">
        <v>8</v>
      </c>
      <c r="D193" s="76">
        <v>1</v>
      </c>
      <c r="E193" s="372">
        <v>0.57999999999999996</v>
      </c>
      <c r="F193" s="368">
        <v>15</v>
      </c>
      <c r="G193" s="77">
        <f t="shared" si="6"/>
        <v>8.6999999999999993</v>
      </c>
      <c r="H193" s="77">
        <f>+C193*C193/162</f>
        <v>0.39506172839506171</v>
      </c>
      <c r="I193" s="257">
        <f t="shared" si="7"/>
        <v>3.4370370370370367</v>
      </c>
      <c r="K193" s="220"/>
    </row>
    <row r="194" spans="1:11" s="78" customFormat="1" ht="24.95" customHeight="1">
      <c r="A194" s="75"/>
      <c r="B194" s="356" t="s">
        <v>1069</v>
      </c>
      <c r="C194" s="371">
        <v>8</v>
      </c>
      <c r="D194" s="76">
        <v>1</v>
      </c>
      <c r="E194" s="77">
        <v>2.2000000000000002</v>
      </c>
      <c r="F194" s="368">
        <v>5</v>
      </c>
      <c r="G194" s="77">
        <f t="shared" si="6"/>
        <v>11</v>
      </c>
      <c r="H194" s="77">
        <f t="shared" si="5"/>
        <v>0.39506172839506171</v>
      </c>
      <c r="I194" s="257">
        <f t="shared" si="7"/>
        <v>4.3456790123456788</v>
      </c>
      <c r="K194" s="220"/>
    </row>
    <row r="195" spans="1:11" s="78" customFormat="1" ht="24.95" customHeight="1">
      <c r="A195" s="75"/>
      <c r="B195" s="373" t="s">
        <v>1174</v>
      </c>
      <c r="C195" s="371">
        <v>8</v>
      </c>
      <c r="D195" s="76">
        <v>1</v>
      </c>
      <c r="E195" s="372">
        <v>0.57999999999999996</v>
      </c>
      <c r="F195" s="368">
        <v>15</v>
      </c>
      <c r="G195" s="77">
        <f t="shared" si="6"/>
        <v>8.6999999999999993</v>
      </c>
      <c r="H195" s="77">
        <f t="shared" si="5"/>
        <v>0.39506172839506171</v>
      </c>
      <c r="I195" s="257">
        <f t="shared" si="7"/>
        <v>3.4370370370370367</v>
      </c>
      <c r="K195" s="220"/>
    </row>
    <row r="196" spans="1:11" s="78" customFormat="1" ht="24.95" customHeight="1">
      <c r="A196" s="75"/>
      <c r="B196" s="356" t="s">
        <v>1076</v>
      </c>
      <c r="C196" s="76"/>
      <c r="D196" s="76">
        <v>0</v>
      </c>
      <c r="E196" s="77"/>
      <c r="F196" s="368"/>
      <c r="G196" s="77">
        <f t="shared" si="6"/>
        <v>0</v>
      </c>
      <c r="H196" s="77">
        <f t="shared" si="5"/>
        <v>0</v>
      </c>
      <c r="I196" s="257">
        <f t="shared" si="7"/>
        <v>0</v>
      </c>
    </row>
    <row r="197" spans="1:11" s="78" customFormat="1" ht="24.95" customHeight="1">
      <c r="A197" s="75"/>
      <c r="B197" s="356" t="s">
        <v>1100</v>
      </c>
      <c r="C197" s="371"/>
      <c r="D197" s="371">
        <v>0</v>
      </c>
      <c r="E197" s="372"/>
      <c r="F197" s="368"/>
      <c r="G197" s="77">
        <f t="shared" si="6"/>
        <v>0</v>
      </c>
      <c r="H197" s="77">
        <f t="shared" si="5"/>
        <v>0</v>
      </c>
      <c r="I197" s="257">
        <f t="shared" si="7"/>
        <v>0</v>
      </c>
    </row>
    <row r="198" spans="1:11" s="78" customFormat="1" ht="24.95" customHeight="1">
      <c r="A198" s="75"/>
      <c r="B198" s="356" t="s">
        <v>1101</v>
      </c>
      <c r="C198" s="371">
        <v>8</v>
      </c>
      <c r="D198" s="371">
        <v>1</v>
      </c>
      <c r="E198" s="372">
        <v>5.3000000000000007</v>
      </c>
      <c r="F198" s="368">
        <v>5</v>
      </c>
      <c r="G198" s="77">
        <f t="shared" si="6"/>
        <v>26.500000000000004</v>
      </c>
      <c r="H198" s="77">
        <f t="shared" si="5"/>
        <v>0.39506172839506171</v>
      </c>
      <c r="I198" s="257">
        <f t="shared" si="7"/>
        <v>10.469135802469136</v>
      </c>
      <c r="K198" s="220"/>
    </row>
    <row r="199" spans="1:11" s="78" customFormat="1" ht="24.95" customHeight="1">
      <c r="A199" s="75"/>
      <c r="B199" s="373" t="s">
        <v>1174</v>
      </c>
      <c r="C199" s="371">
        <v>8</v>
      </c>
      <c r="D199" s="76">
        <v>1</v>
      </c>
      <c r="E199" s="372">
        <v>0.57999999999999996</v>
      </c>
      <c r="F199" s="368">
        <v>35</v>
      </c>
      <c r="G199" s="77">
        <f t="shared" si="6"/>
        <v>20.299999999999997</v>
      </c>
      <c r="H199" s="77">
        <f>+C199*C199/162</f>
        <v>0.39506172839506171</v>
      </c>
      <c r="I199" s="257">
        <f t="shared" si="7"/>
        <v>8.019753086419751</v>
      </c>
      <c r="K199" s="220"/>
    </row>
    <row r="200" spans="1:11" s="78" customFormat="1" ht="24.95" customHeight="1">
      <c r="A200" s="75"/>
      <c r="B200" s="356" t="s">
        <v>1081</v>
      </c>
      <c r="C200" s="371"/>
      <c r="D200" s="371">
        <v>0</v>
      </c>
      <c r="E200" s="372"/>
      <c r="F200" s="368"/>
      <c r="G200" s="77">
        <f t="shared" si="6"/>
        <v>0</v>
      </c>
      <c r="H200" s="77">
        <f t="shared" si="5"/>
        <v>0</v>
      </c>
      <c r="I200" s="257">
        <f t="shared" si="7"/>
        <v>0</v>
      </c>
    </row>
    <row r="201" spans="1:11" s="78" customFormat="1" ht="24.95" customHeight="1">
      <c r="A201" s="75"/>
      <c r="B201" s="356" t="s">
        <v>1051</v>
      </c>
      <c r="C201" s="371">
        <v>8</v>
      </c>
      <c r="D201" s="371">
        <v>4</v>
      </c>
      <c r="E201" s="372">
        <v>1.4</v>
      </c>
      <c r="F201" s="368">
        <v>4</v>
      </c>
      <c r="G201" s="77">
        <f t="shared" ref="G201:G263" si="8">+F201*E201*D201</f>
        <v>22.4</v>
      </c>
      <c r="H201" s="77">
        <f t="shared" ref="H201:H295" si="9">+C201*C201/162</f>
        <v>0.39506172839506171</v>
      </c>
      <c r="I201" s="257">
        <f t="shared" ref="I201:I263" si="10">+H201*G201</f>
        <v>8.8493827160493819</v>
      </c>
      <c r="K201" s="220"/>
    </row>
    <row r="202" spans="1:11" s="78" customFormat="1" ht="24.95" customHeight="1">
      <c r="A202" s="75"/>
      <c r="B202" s="373" t="s">
        <v>1174</v>
      </c>
      <c r="C202" s="371">
        <v>8</v>
      </c>
      <c r="D202" s="76">
        <v>4</v>
      </c>
      <c r="E202" s="372">
        <v>0.57999999999999996</v>
      </c>
      <c r="F202" s="368">
        <v>9</v>
      </c>
      <c r="G202" s="77">
        <f t="shared" si="8"/>
        <v>20.88</v>
      </c>
      <c r="H202" s="77">
        <f t="shared" si="9"/>
        <v>0.39506172839506171</v>
      </c>
      <c r="I202" s="257">
        <f t="shared" si="10"/>
        <v>8.2488888888888887</v>
      </c>
      <c r="K202" s="220"/>
    </row>
    <row r="203" spans="1:11" s="78" customFormat="1" ht="24.95" customHeight="1">
      <c r="A203" s="75"/>
      <c r="B203" s="356" t="s">
        <v>1082</v>
      </c>
      <c r="C203" s="371"/>
      <c r="D203" s="371">
        <v>0</v>
      </c>
      <c r="E203" s="372"/>
      <c r="F203" s="368"/>
      <c r="G203" s="77">
        <f t="shared" si="8"/>
        <v>0</v>
      </c>
      <c r="H203" s="77">
        <f t="shared" si="9"/>
        <v>0</v>
      </c>
      <c r="I203" s="257">
        <f t="shared" si="10"/>
        <v>0</v>
      </c>
    </row>
    <row r="204" spans="1:11" s="78" customFormat="1" ht="24.95" customHeight="1">
      <c r="A204" s="75"/>
      <c r="B204" s="356" t="s">
        <v>1051</v>
      </c>
      <c r="C204" s="371">
        <v>8</v>
      </c>
      <c r="D204" s="76">
        <v>3</v>
      </c>
      <c r="E204" s="77">
        <v>1.4</v>
      </c>
      <c r="F204" s="368">
        <v>4</v>
      </c>
      <c r="G204" s="77">
        <f t="shared" si="8"/>
        <v>16.799999999999997</v>
      </c>
      <c r="H204" s="77">
        <f t="shared" si="9"/>
        <v>0.39506172839506171</v>
      </c>
      <c r="I204" s="257">
        <f t="shared" si="10"/>
        <v>6.637037037037036</v>
      </c>
      <c r="K204" s="220"/>
    </row>
    <row r="205" spans="1:11" s="78" customFormat="1" ht="24.95" customHeight="1">
      <c r="A205" s="75"/>
      <c r="B205" s="373" t="s">
        <v>1174</v>
      </c>
      <c r="C205" s="371">
        <v>8</v>
      </c>
      <c r="D205" s="76">
        <v>3</v>
      </c>
      <c r="E205" s="372">
        <v>0.57999999999999996</v>
      </c>
      <c r="F205" s="368">
        <v>9</v>
      </c>
      <c r="G205" s="77">
        <f t="shared" si="8"/>
        <v>15.66</v>
      </c>
      <c r="H205" s="77">
        <f>+C205*C205/162</f>
        <v>0.39506172839506171</v>
      </c>
      <c r="I205" s="257">
        <f t="shared" si="10"/>
        <v>6.1866666666666665</v>
      </c>
      <c r="K205" s="220"/>
    </row>
    <row r="206" spans="1:11" s="78" customFormat="1" ht="24.95" customHeight="1">
      <c r="A206" s="75"/>
      <c r="B206" s="356" t="s">
        <v>1083</v>
      </c>
      <c r="C206" s="371">
        <v>8</v>
      </c>
      <c r="D206" s="76">
        <v>1</v>
      </c>
      <c r="E206" s="77">
        <v>1.4</v>
      </c>
      <c r="F206" s="368">
        <v>4</v>
      </c>
      <c r="G206" s="77">
        <f t="shared" si="8"/>
        <v>5.6</v>
      </c>
      <c r="H206" s="77">
        <f t="shared" si="9"/>
        <v>0.39506172839506171</v>
      </c>
      <c r="I206" s="257">
        <f t="shared" si="10"/>
        <v>2.2123456790123455</v>
      </c>
      <c r="K206" s="220"/>
    </row>
    <row r="207" spans="1:11" s="78" customFormat="1" ht="24.95" customHeight="1">
      <c r="A207" s="75"/>
      <c r="B207" s="373" t="s">
        <v>1174</v>
      </c>
      <c r="C207" s="371">
        <v>8</v>
      </c>
      <c r="D207" s="76">
        <v>1</v>
      </c>
      <c r="E207" s="372">
        <v>0.57999999999999996</v>
      </c>
      <c r="F207" s="368">
        <v>9</v>
      </c>
      <c r="G207" s="77">
        <f t="shared" si="8"/>
        <v>5.22</v>
      </c>
      <c r="H207" s="77">
        <f t="shared" si="9"/>
        <v>0.39506172839506171</v>
      </c>
      <c r="I207" s="257">
        <f t="shared" si="10"/>
        <v>2.0622222222222222</v>
      </c>
      <c r="K207" s="220"/>
    </row>
    <row r="208" spans="1:11" s="78" customFormat="1" ht="24.95" customHeight="1">
      <c r="A208" s="75"/>
      <c r="B208" s="356" t="s">
        <v>1102</v>
      </c>
      <c r="C208" s="76"/>
      <c r="D208" s="76">
        <v>0</v>
      </c>
      <c r="E208" s="77"/>
      <c r="F208" s="368"/>
      <c r="G208" s="77">
        <f t="shared" si="8"/>
        <v>0</v>
      </c>
      <c r="H208" s="77">
        <f t="shared" si="9"/>
        <v>0</v>
      </c>
      <c r="I208" s="257">
        <f t="shared" si="10"/>
        <v>0</v>
      </c>
    </row>
    <row r="209" spans="1:11" s="78" customFormat="1" ht="24.95" customHeight="1">
      <c r="A209" s="75"/>
      <c r="B209" s="373" t="s">
        <v>1085</v>
      </c>
      <c r="C209" s="371"/>
      <c r="D209" s="371">
        <v>0</v>
      </c>
      <c r="E209" s="372"/>
      <c r="F209" s="368"/>
      <c r="G209" s="77">
        <f t="shared" si="8"/>
        <v>0</v>
      </c>
      <c r="H209" s="77">
        <f t="shared" si="9"/>
        <v>0</v>
      </c>
      <c r="I209" s="257">
        <f t="shared" si="10"/>
        <v>0</v>
      </c>
    </row>
    <row r="210" spans="1:11" s="78" customFormat="1" ht="24.95" customHeight="1">
      <c r="A210" s="75"/>
      <c r="B210" s="373" t="s">
        <v>941</v>
      </c>
      <c r="C210" s="371">
        <v>8</v>
      </c>
      <c r="D210" s="371">
        <v>1</v>
      </c>
      <c r="E210" s="372">
        <v>1.4</v>
      </c>
      <c r="F210" s="368">
        <v>4</v>
      </c>
      <c r="G210" s="77">
        <f t="shared" si="8"/>
        <v>5.6</v>
      </c>
      <c r="H210" s="77">
        <f t="shared" si="9"/>
        <v>0.39506172839506171</v>
      </c>
      <c r="I210" s="257">
        <f t="shared" si="10"/>
        <v>2.2123456790123455</v>
      </c>
      <c r="K210" s="220"/>
    </row>
    <row r="211" spans="1:11" s="78" customFormat="1" ht="24.95" customHeight="1">
      <c r="A211" s="75"/>
      <c r="B211" s="373" t="s">
        <v>1174</v>
      </c>
      <c r="C211" s="371">
        <v>8</v>
      </c>
      <c r="D211" s="76">
        <v>1</v>
      </c>
      <c r="E211" s="372">
        <v>0.57999999999999996</v>
      </c>
      <c r="F211" s="368">
        <v>9</v>
      </c>
      <c r="G211" s="77">
        <f t="shared" si="8"/>
        <v>5.22</v>
      </c>
      <c r="H211" s="77">
        <f>+C211*C211/162</f>
        <v>0.39506172839506171</v>
      </c>
      <c r="I211" s="257">
        <f t="shared" si="10"/>
        <v>2.0622222222222222</v>
      </c>
      <c r="K211" s="220"/>
    </row>
    <row r="212" spans="1:11" s="78" customFormat="1" ht="24.95" customHeight="1">
      <c r="A212" s="75"/>
      <c r="B212" s="356" t="s">
        <v>1086</v>
      </c>
      <c r="C212" s="76"/>
      <c r="D212" s="76">
        <v>0</v>
      </c>
      <c r="E212" s="77"/>
      <c r="F212" s="368"/>
      <c r="G212" s="77">
        <f t="shared" si="8"/>
        <v>0</v>
      </c>
      <c r="H212" s="77">
        <f t="shared" si="9"/>
        <v>0</v>
      </c>
      <c r="I212" s="257">
        <f t="shared" si="10"/>
        <v>0</v>
      </c>
      <c r="K212" s="220"/>
    </row>
    <row r="213" spans="1:11" s="78" customFormat="1" ht="24.95" customHeight="1">
      <c r="A213" s="75"/>
      <c r="B213" s="374" t="s">
        <v>943</v>
      </c>
      <c r="C213" s="371">
        <v>8</v>
      </c>
      <c r="D213" s="76">
        <v>7</v>
      </c>
      <c r="E213" s="77">
        <v>1.4</v>
      </c>
      <c r="F213" s="368">
        <v>4</v>
      </c>
      <c r="G213" s="77">
        <f t="shared" si="8"/>
        <v>39.199999999999996</v>
      </c>
      <c r="H213" s="77">
        <f t="shared" si="9"/>
        <v>0.39506172839506171</v>
      </c>
      <c r="I213" s="257">
        <f t="shared" si="10"/>
        <v>15.486419753086418</v>
      </c>
      <c r="K213" s="220"/>
    </row>
    <row r="214" spans="1:11" s="78" customFormat="1" ht="24.95" customHeight="1">
      <c r="A214" s="75"/>
      <c r="B214" s="373" t="s">
        <v>1174</v>
      </c>
      <c r="C214" s="371">
        <v>8</v>
      </c>
      <c r="D214" s="76">
        <v>7</v>
      </c>
      <c r="E214" s="372">
        <v>0.57999999999999996</v>
      </c>
      <c r="F214" s="368">
        <v>9</v>
      </c>
      <c r="G214" s="77">
        <f t="shared" si="8"/>
        <v>36.54</v>
      </c>
      <c r="H214" s="77">
        <f t="shared" si="9"/>
        <v>0.39506172839506171</v>
      </c>
      <c r="I214" s="257">
        <f t="shared" si="10"/>
        <v>14.435555555555554</v>
      </c>
      <c r="K214" s="220"/>
    </row>
    <row r="215" spans="1:11" s="78" customFormat="1" ht="24.95" customHeight="1">
      <c r="A215" s="75"/>
      <c r="B215" s="356" t="s">
        <v>1087</v>
      </c>
      <c r="C215" s="76"/>
      <c r="D215" s="76">
        <v>0</v>
      </c>
      <c r="E215" s="77"/>
      <c r="F215" s="368"/>
      <c r="G215" s="77">
        <f t="shared" si="8"/>
        <v>0</v>
      </c>
      <c r="H215" s="77">
        <f t="shared" si="9"/>
        <v>0</v>
      </c>
      <c r="I215" s="257">
        <f t="shared" si="10"/>
        <v>0</v>
      </c>
    </row>
    <row r="216" spans="1:11" s="78" customFormat="1" ht="24.95" customHeight="1">
      <c r="A216" s="75"/>
      <c r="B216" s="356" t="s">
        <v>946</v>
      </c>
      <c r="C216" s="371">
        <v>8</v>
      </c>
      <c r="D216" s="76">
        <v>1</v>
      </c>
      <c r="E216" s="77">
        <v>3.25</v>
      </c>
      <c r="F216" s="368">
        <v>5</v>
      </c>
      <c r="G216" s="77">
        <f t="shared" si="8"/>
        <v>16.25</v>
      </c>
      <c r="H216" s="77">
        <f t="shared" si="9"/>
        <v>0.39506172839506171</v>
      </c>
      <c r="I216" s="257">
        <f t="shared" si="10"/>
        <v>6.4197530864197532</v>
      </c>
      <c r="K216" s="220"/>
    </row>
    <row r="217" spans="1:11" s="78" customFormat="1" ht="24.95" customHeight="1">
      <c r="A217" s="75"/>
      <c r="B217" s="373" t="s">
        <v>1174</v>
      </c>
      <c r="C217" s="371">
        <v>8</v>
      </c>
      <c r="D217" s="76">
        <v>1</v>
      </c>
      <c r="E217" s="372">
        <v>0.57999999999999996</v>
      </c>
      <c r="F217" s="368">
        <v>22</v>
      </c>
      <c r="G217" s="77">
        <f t="shared" si="8"/>
        <v>12.76</v>
      </c>
      <c r="H217" s="77">
        <f>+C217*C217/162</f>
        <v>0.39506172839506171</v>
      </c>
      <c r="I217" s="257">
        <f t="shared" si="10"/>
        <v>5.0409876543209871</v>
      </c>
      <c r="K217" s="220"/>
    </row>
    <row r="218" spans="1:11" s="78" customFormat="1" ht="24.95" customHeight="1">
      <c r="A218" s="75"/>
      <c r="B218" s="356" t="s">
        <v>1088</v>
      </c>
      <c r="C218" s="76"/>
      <c r="D218" s="76">
        <v>0</v>
      </c>
      <c r="E218" s="77"/>
      <c r="F218" s="368"/>
      <c r="G218" s="77">
        <f t="shared" si="8"/>
        <v>0</v>
      </c>
      <c r="H218" s="77">
        <f t="shared" si="9"/>
        <v>0</v>
      </c>
      <c r="I218" s="257">
        <f t="shared" si="10"/>
        <v>0</v>
      </c>
    </row>
    <row r="219" spans="1:11" s="78" customFormat="1" ht="24.95" customHeight="1">
      <c r="A219" s="75"/>
      <c r="B219" s="356" t="s">
        <v>948</v>
      </c>
      <c r="C219" s="371">
        <v>8</v>
      </c>
      <c r="D219" s="76">
        <v>4</v>
      </c>
      <c r="E219" s="77">
        <v>1.4</v>
      </c>
      <c r="F219" s="368">
        <v>4</v>
      </c>
      <c r="G219" s="77">
        <f t="shared" si="8"/>
        <v>22.4</v>
      </c>
      <c r="H219" s="77">
        <f t="shared" si="9"/>
        <v>0.39506172839506171</v>
      </c>
      <c r="I219" s="257">
        <f t="shared" si="10"/>
        <v>8.8493827160493819</v>
      </c>
      <c r="K219" s="220"/>
    </row>
    <row r="220" spans="1:11" s="78" customFormat="1" ht="24.95" customHeight="1">
      <c r="A220" s="75"/>
      <c r="B220" s="373" t="s">
        <v>1174</v>
      </c>
      <c r="C220" s="371">
        <v>8</v>
      </c>
      <c r="D220" s="76">
        <v>4</v>
      </c>
      <c r="E220" s="372">
        <v>0.57999999999999996</v>
      </c>
      <c r="F220" s="368">
        <v>9</v>
      </c>
      <c r="G220" s="77">
        <f t="shared" si="8"/>
        <v>20.88</v>
      </c>
      <c r="H220" s="77">
        <f t="shared" si="9"/>
        <v>0.39506172839506171</v>
      </c>
      <c r="I220" s="257">
        <f t="shared" si="10"/>
        <v>8.2488888888888887</v>
      </c>
      <c r="K220" s="220"/>
    </row>
    <row r="221" spans="1:11" s="78" customFormat="1" ht="24.95" customHeight="1">
      <c r="A221" s="75"/>
      <c r="B221" s="356" t="s">
        <v>949</v>
      </c>
      <c r="C221" s="371">
        <v>8</v>
      </c>
      <c r="D221" s="76">
        <v>1</v>
      </c>
      <c r="E221" s="77">
        <v>1.4</v>
      </c>
      <c r="F221" s="368">
        <v>4</v>
      </c>
      <c r="G221" s="77">
        <f t="shared" si="8"/>
        <v>5.6</v>
      </c>
      <c r="H221" s="77">
        <f t="shared" si="9"/>
        <v>0.39506172839506171</v>
      </c>
      <c r="I221" s="257">
        <f t="shared" si="10"/>
        <v>2.2123456790123455</v>
      </c>
      <c r="K221" s="220"/>
    </row>
    <row r="222" spans="1:11" s="78" customFormat="1" ht="24.95" customHeight="1">
      <c r="A222" s="75"/>
      <c r="B222" s="373" t="s">
        <v>1174</v>
      </c>
      <c r="C222" s="371">
        <v>8</v>
      </c>
      <c r="D222" s="76">
        <v>1</v>
      </c>
      <c r="E222" s="372">
        <v>0.57999999999999996</v>
      </c>
      <c r="F222" s="368">
        <v>9</v>
      </c>
      <c r="G222" s="77">
        <f t="shared" si="8"/>
        <v>5.22</v>
      </c>
      <c r="H222" s="77">
        <f>+C222*C222/162</f>
        <v>0.39506172839506171</v>
      </c>
      <c r="I222" s="257">
        <f t="shared" si="10"/>
        <v>2.0622222222222222</v>
      </c>
      <c r="K222" s="220"/>
    </row>
    <row r="223" spans="1:11" s="78" customFormat="1" ht="24.95" customHeight="1">
      <c r="A223" s="75"/>
      <c r="B223" s="356" t="s">
        <v>1089</v>
      </c>
      <c r="C223" s="76"/>
      <c r="D223" s="76">
        <v>0</v>
      </c>
      <c r="E223" s="77"/>
      <c r="F223" s="368"/>
      <c r="G223" s="77">
        <f t="shared" si="8"/>
        <v>0</v>
      </c>
      <c r="H223" s="77">
        <f t="shared" si="9"/>
        <v>0</v>
      </c>
      <c r="I223" s="257">
        <f t="shared" si="10"/>
        <v>0</v>
      </c>
    </row>
    <row r="224" spans="1:11" s="78" customFormat="1" ht="24.95" customHeight="1">
      <c r="A224" s="75"/>
      <c r="B224" s="356" t="s">
        <v>951</v>
      </c>
      <c r="C224" s="371">
        <v>8</v>
      </c>
      <c r="D224" s="76">
        <v>1</v>
      </c>
      <c r="E224" s="77">
        <v>1.4</v>
      </c>
      <c r="F224" s="368">
        <v>4</v>
      </c>
      <c r="G224" s="77">
        <f t="shared" si="8"/>
        <v>5.6</v>
      </c>
      <c r="H224" s="77">
        <f t="shared" si="9"/>
        <v>0.39506172839506171</v>
      </c>
      <c r="I224" s="257">
        <f t="shared" si="10"/>
        <v>2.2123456790123455</v>
      </c>
      <c r="K224" s="220"/>
    </row>
    <row r="225" spans="1:11" s="78" customFormat="1" ht="24.95" customHeight="1">
      <c r="A225" s="75"/>
      <c r="B225" s="373" t="s">
        <v>1174</v>
      </c>
      <c r="C225" s="371">
        <v>8</v>
      </c>
      <c r="D225" s="76">
        <v>1</v>
      </c>
      <c r="E225" s="372">
        <v>0.57999999999999996</v>
      </c>
      <c r="F225" s="368">
        <v>9</v>
      </c>
      <c r="G225" s="77">
        <f t="shared" si="8"/>
        <v>5.22</v>
      </c>
      <c r="H225" s="77">
        <f t="shared" si="9"/>
        <v>0.39506172839506171</v>
      </c>
      <c r="I225" s="257">
        <f t="shared" si="10"/>
        <v>2.0622222222222222</v>
      </c>
      <c r="K225" s="220"/>
    </row>
    <row r="226" spans="1:11" s="78" customFormat="1" ht="24.95" customHeight="1">
      <c r="A226" s="75"/>
      <c r="B226" s="356" t="s">
        <v>1090</v>
      </c>
      <c r="C226" s="371"/>
      <c r="D226" s="371">
        <v>0</v>
      </c>
      <c r="E226" s="372"/>
      <c r="F226" s="368"/>
      <c r="G226" s="77">
        <f t="shared" si="8"/>
        <v>0</v>
      </c>
      <c r="H226" s="77">
        <f t="shared" si="9"/>
        <v>0</v>
      </c>
      <c r="I226" s="257">
        <f t="shared" si="10"/>
        <v>0</v>
      </c>
    </row>
    <row r="227" spans="1:11" s="78" customFormat="1" ht="24.95" customHeight="1">
      <c r="A227" s="75"/>
      <c r="B227" s="356" t="s">
        <v>953</v>
      </c>
      <c r="C227" s="371">
        <v>8</v>
      </c>
      <c r="D227" s="371">
        <v>1</v>
      </c>
      <c r="E227" s="372">
        <v>1.6</v>
      </c>
      <c r="F227" s="368">
        <v>5</v>
      </c>
      <c r="G227" s="77">
        <f t="shared" si="8"/>
        <v>8</v>
      </c>
      <c r="H227" s="77">
        <f t="shared" si="9"/>
        <v>0.39506172839506171</v>
      </c>
      <c r="I227" s="257">
        <f t="shared" si="10"/>
        <v>3.1604938271604937</v>
      </c>
      <c r="K227" s="220"/>
    </row>
    <row r="228" spans="1:11" s="78" customFormat="1" ht="24.95" customHeight="1">
      <c r="A228" s="75"/>
      <c r="B228" s="373" t="s">
        <v>1174</v>
      </c>
      <c r="C228" s="371">
        <v>8</v>
      </c>
      <c r="D228" s="76">
        <v>1</v>
      </c>
      <c r="E228" s="372">
        <v>0.57999999999999996</v>
      </c>
      <c r="F228" s="368">
        <v>11</v>
      </c>
      <c r="G228" s="77">
        <f t="shared" si="8"/>
        <v>6.38</v>
      </c>
      <c r="H228" s="77">
        <f>+C228*C228/162</f>
        <v>0.39506172839506171</v>
      </c>
      <c r="I228" s="257">
        <f t="shared" si="10"/>
        <v>2.5204938271604935</v>
      </c>
      <c r="K228" s="220"/>
    </row>
    <row r="229" spans="1:11" s="78" customFormat="1" ht="24.95" customHeight="1">
      <c r="A229" s="75"/>
      <c r="B229" s="356" t="s">
        <v>956</v>
      </c>
      <c r="C229" s="371">
        <v>8</v>
      </c>
      <c r="D229" s="371">
        <v>1</v>
      </c>
      <c r="E229" s="372">
        <v>1.3</v>
      </c>
      <c r="F229" s="368">
        <v>4</v>
      </c>
      <c r="G229" s="77">
        <f t="shared" si="8"/>
        <v>5.2</v>
      </c>
      <c r="H229" s="77">
        <f t="shared" si="9"/>
        <v>0.39506172839506171</v>
      </c>
      <c r="I229" s="257">
        <f t="shared" si="10"/>
        <v>2.0543209876543211</v>
      </c>
      <c r="K229" s="220"/>
    </row>
    <row r="230" spans="1:11" s="78" customFormat="1" ht="24.95" customHeight="1">
      <c r="A230" s="75"/>
      <c r="B230" s="373" t="s">
        <v>1174</v>
      </c>
      <c r="C230" s="371">
        <v>8</v>
      </c>
      <c r="D230" s="76">
        <v>1</v>
      </c>
      <c r="E230" s="372">
        <v>0.57999999999999996</v>
      </c>
      <c r="F230" s="368">
        <v>9</v>
      </c>
      <c r="G230" s="77">
        <f t="shared" si="8"/>
        <v>5.22</v>
      </c>
      <c r="H230" s="77">
        <f t="shared" si="9"/>
        <v>0.39506172839506171</v>
      </c>
      <c r="I230" s="257">
        <f t="shared" si="10"/>
        <v>2.0622222222222222</v>
      </c>
      <c r="K230" s="220"/>
    </row>
    <row r="231" spans="1:11" s="78" customFormat="1" ht="24.95" customHeight="1">
      <c r="A231" s="75"/>
      <c r="B231" s="362" t="s">
        <v>1103</v>
      </c>
      <c r="C231" s="371"/>
      <c r="D231" s="371">
        <v>0</v>
      </c>
      <c r="E231" s="372"/>
      <c r="F231" s="368"/>
      <c r="G231" s="77">
        <f t="shared" si="8"/>
        <v>0</v>
      </c>
      <c r="H231" s="77">
        <f t="shared" si="9"/>
        <v>0</v>
      </c>
      <c r="I231" s="257">
        <f t="shared" si="10"/>
        <v>0</v>
      </c>
    </row>
    <row r="232" spans="1:11" s="78" customFormat="1" ht="24.95" customHeight="1">
      <c r="A232" s="75"/>
      <c r="B232" s="356" t="s">
        <v>1104</v>
      </c>
      <c r="C232" s="76"/>
      <c r="D232" s="76">
        <v>0</v>
      </c>
      <c r="E232" s="77"/>
      <c r="F232" s="368"/>
      <c r="G232" s="77">
        <f t="shared" si="8"/>
        <v>0</v>
      </c>
      <c r="H232" s="77">
        <f t="shared" si="9"/>
        <v>0</v>
      </c>
      <c r="I232" s="257">
        <f t="shared" si="10"/>
        <v>0</v>
      </c>
    </row>
    <row r="233" spans="1:11" s="78" customFormat="1" ht="24.95" customHeight="1">
      <c r="A233" s="75"/>
      <c r="B233" s="356" t="s">
        <v>963</v>
      </c>
      <c r="C233" s="371">
        <v>8</v>
      </c>
      <c r="D233" s="76">
        <v>1</v>
      </c>
      <c r="E233" s="77">
        <v>1.2000000000000002</v>
      </c>
      <c r="F233" s="368">
        <v>4</v>
      </c>
      <c r="G233" s="77">
        <f t="shared" si="8"/>
        <v>4.8000000000000007</v>
      </c>
      <c r="H233" s="77">
        <f t="shared" si="9"/>
        <v>0.39506172839506171</v>
      </c>
      <c r="I233" s="257">
        <f t="shared" si="10"/>
        <v>1.8962962962962964</v>
      </c>
      <c r="K233" s="220"/>
    </row>
    <row r="234" spans="1:11" s="78" customFormat="1" ht="24.95" customHeight="1">
      <c r="A234" s="75"/>
      <c r="B234" s="373" t="s">
        <v>1174</v>
      </c>
      <c r="C234" s="371">
        <v>8</v>
      </c>
      <c r="D234" s="76">
        <v>1</v>
      </c>
      <c r="E234" s="372">
        <v>0.57999999999999996</v>
      </c>
      <c r="F234" s="368">
        <v>8</v>
      </c>
      <c r="G234" s="77">
        <f t="shared" si="8"/>
        <v>4.6399999999999997</v>
      </c>
      <c r="H234" s="77">
        <f>+C234*C234/162</f>
        <v>0.39506172839506171</v>
      </c>
      <c r="I234" s="257">
        <f t="shared" si="10"/>
        <v>1.8330864197530863</v>
      </c>
      <c r="K234" s="220"/>
    </row>
    <row r="235" spans="1:11" s="78" customFormat="1" ht="24.95" customHeight="1">
      <c r="A235" s="75"/>
      <c r="B235" s="356" t="s">
        <v>964</v>
      </c>
      <c r="C235" s="371">
        <v>8</v>
      </c>
      <c r="D235" s="76">
        <v>2</v>
      </c>
      <c r="E235" s="77">
        <v>1.6</v>
      </c>
      <c r="F235" s="368">
        <v>5</v>
      </c>
      <c r="G235" s="77">
        <f t="shared" si="8"/>
        <v>16</v>
      </c>
      <c r="H235" s="77">
        <f t="shared" si="9"/>
        <v>0.39506172839506171</v>
      </c>
      <c r="I235" s="257">
        <f t="shared" si="10"/>
        <v>6.3209876543209873</v>
      </c>
      <c r="K235" s="220"/>
    </row>
    <row r="236" spans="1:11" s="78" customFormat="1" ht="24.95" customHeight="1">
      <c r="A236" s="75"/>
      <c r="B236" s="373" t="s">
        <v>1174</v>
      </c>
      <c r="C236" s="371">
        <v>8</v>
      </c>
      <c r="D236" s="76">
        <v>2</v>
      </c>
      <c r="E236" s="372">
        <v>0.57999999999999996</v>
      </c>
      <c r="F236" s="368">
        <v>11</v>
      </c>
      <c r="G236" s="77">
        <f t="shared" si="8"/>
        <v>12.76</v>
      </c>
      <c r="H236" s="77">
        <f t="shared" si="9"/>
        <v>0.39506172839506171</v>
      </c>
      <c r="I236" s="257">
        <f t="shared" si="10"/>
        <v>5.0409876543209871</v>
      </c>
      <c r="K236" s="220"/>
    </row>
    <row r="237" spans="1:11" s="78" customFormat="1" ht="24.95" customHeight="1">
      <c r="A237" s="75"/>
      <c r="B237" s="356" t="s">
        <v>1105</v>
      </c>
      <c r="C237" s="76"/>
      <c r="D237" s="76">
        <v>0</v>
      </c>
      <c r="E237" s="77"/>
      <c r="F237" s="368"/>
      <c r="G237" s="77">
        <f t="shared" si="8"/>
        <v>0</v>
      </c>
      <c r="H237" s="77">
        <f t="shared" si="9"/>
        <v>0</v>
      </c>
      <c r="I237" s="257">
        <f t="shared" si="10"/>
        <v>0</v>
      </c>
    </row>
    <row r="238" spans="1:11" s="78" customFormat="1" ht="24.95" customHeight="1">
      <c r="A238" s="75"/>
      <c r="B238" s="356" t="s">
        <v>966</v>
      </c>
      <c r="C238" s="371">
        <v>8</v>
      </c>
      <c r="D238" s="76">
        <v>2</v>
      </c>
      <c r="E238" s="77">
        <v>1.4</v>
      </c>
      <c r="F238" s="368">
        <v>4</v>
      </c>
      <c r="G238" s="77">
        <f t="shared" si="8"/>
        <v>11.2</v>
      </c>
      <c r="H238" s="77">
        <f t="shared" si="9"/>
        <v>0.39506172839506171</v>
      </c>
      <c r="I238" s="257">
        <f t="shared" si="10"/>
        <v>4.4246913580246909</v>
      </c>
      <c r="K238" s="220"/>
    </row>
    <row r="239" spans="1:11" s="78" customFormat="1" ht="24.95" customHeight="1">
      <c r="A239" s="75"/>
      <c r="B239" s="373" t="s">
        <v>1174</v>
      </c>
      <c r="C239" s="371">
        <v>8</v>
      </c>
      <c r="D239" s="76">
        <v>2</v>
      </c>
      <c r="E239" s="372">
        <v>0.57999999999999996</v>
      </c>
      <c r="F239" s="368">
        <v>9</v>
      </c>
      <c r="G239" s="77">
        <f t="shared" si="8"/>
        <v>10.44</v>
      </c>
      <c r="H239" s="77">
        <f>+C239*C239/162</f>
        <v>0.39506172839506171</v>
      </c>
      <c r="I239" s="257">
        <f t="shared" si="10"/>
        <v>4.1244444444444444</v>
      </c>
      <c r="K239" s="220"/>
    </row>
    <row r="240" spans="1:11" s="78" customFormat="1" ht="24.95" customHeight="1">
      <c r="A240" s="75"/>
      <c r="B240" s="366" t="s">
        <v>938</v>
      </c>
      <c r="C240" s="371"/>
      <c r="D240" s="371">
        <v>0</v>
      </c>
      <c r="E240" s="372"/>
      <c r="F240" s="368"/>
      <c r="G240" s="77">
        <f t="shared" si="8"/>
        <v>0</v>
      </c>
      <c r="H240" s="77">
        <f t="shared" si="9"/>
        <v>0</v>
      </c>
      <c r="I240" s="257">
        <f t="shared" si="10"/>
        <v>0</v>
      </c>
    </row>
    <row r="241" spans="1:11" s="78" customFormat="1" ht="24.95" customHeight="1">
      <c r="A241" s="75"/>
      <c r="B241" s="366" t="s">
        <v>1180</v>
      </c>
      <c r="C241" s="371"/>
      <c r="D241" s="371">
        <v>0</v>
      </c>
      <c r="E241" s="372"/>
      <c r="F241" s="368"/>
      <c r="G241" s="77">
        <f t="shared" si="8"/>
        <v>0</v>
      </c>
      <c r="H241" s="77">
        <f t="shared" si="9"/>
        <v>0</v>
      </c>
      <c r="I241" s="257">
        <f t="shared" si="10"/>
        <v>0</v>
      </c>
    </row>
    <row r="242" spans="1:11" s="78" customFormat="1" ht="24.95" customHeight="1">
      <c r="A242" s="75"/>
      <c r="B242" s="373" t="s">
        <v>940</v>
      </c>
      <c r="C242" s="371"/>
      <c r="D242" s="371">
        <v>0</v>
      </c>
      <c r="E242" s="372"/>
      <c r="F242" s="368"/>
      <c r="G242" s="77">
        <f t="shared" si="8"/>
        <v>0</v>
      </c>
      <c r="H242" s="77">
        <f t="shared" si="9"/>
        <v>0</v>
      </c>
      <c r="I242" s="257">
        <f t="shared" si="10"/>
        <v>0</v>
      </c>
    </row>
    <row r="243" spans="1:11" s="78" customFormat="1" ht="24.95" customHeight="1">
      <c r="A243" s="75"/>
      <c r="B243" s="373" t="s">
        <v>941</v>
      </c>
      <c r="C243" s="371">
        <v>8</v>
      </c>
      <c r="D243" s="371">
        <v>1</v>
      </c>
      <c r="E243" s="372">
        <v>1.4</v>
      </c>
      <c r="F243" s="368">
        <v>4</v>
      </c>
      <c r="G243" s="77">
        <f t="shared" si="8"/>
        <v>5.6</v>
      </c>
      <c r="H243" s="77">
        <f t="shared" si="9"/>
        <v>0.39506172839506171</v>
      </c>
      <c r="I243" s="257">
        <f t="shared" si="10"/>
        <v>2.2123456790123455</v>
      </c>
      <c r="K243" s="220"/>
    </row>
    <row r="244" spans="1:11" s="78" customFormat="1" ht="24.95" customHeight="1">
      <c r="A244" s="75"/>
      <c r="B244" s="373" t="s">
        <v>1174</v>
      </c>
      <c r="C244" s="371">
        <v>8</v>
      </c>
      <c r="D244" s="371">
        <v>1</v>
      </c>
      <c r="E244" s="372">
        <v>0.57999999999999996</v>
      </c>
      <c r="F244" s="368">
        <v>9</v>
      </c>
      <c r="G244" s="77">
        <f t="shared" si="8"/>
        <v>5.22</v>
      </c>
      <c r="H244" s="77">
        <f t="shared" si="9"/>
        <v>0.39506172839506171</v>
      </c>
      <c r="I244" s="257">
        <f t="shared" si="10"/>
        <v>2.0622222222222222</v>
      </c>
      <c r="K244" s="220"/>
    </row>
    <row r="245" spans="1:11" s="78" customFormat="1" ht="24.95" customHeight="1">
      <c r="A245" s="75"/>
      <c r="B245" s="356" t="s">
        <v>942</v>
      </c>
      <c r="C245" s="76"/>
      <c r="D245" s="76">
        <v>0</v>
      </c>
      <c r="E245" s="77"/>
      <c r="F245" s="368"/>
      <c r="G245" s="77">
        <f t="shared" si="8"/>
        <v>0</v>
      </c>
      <c r="H245" s="77">
        <f t="shared" si="9"/>
        <v>0</v>
      </c>
      <c r="I245" s="257">
        <f t="shared" si="10"/>
        <v>0</v>
      </c>
    </row>
    <row r="246" spans="1:11" s="78" customFormat="1" ht="24.95" customHeight="1">
      <c r="A246" s="75"/>
      <c r="B246" s="374" t="s">
        <v>943</v>
      </c>
      <c r="C246" s="371">
        <v>8</v>
      </c>
      <c r="D246" s="76">
        <v>7</v>
      </c>
      <c r="E246" s="77">
        <v>1.4</v>
      </c>
      <c r="F246" s="368">
        <v>4</v>
      </c>
      <c r="G246" s="77">
        <f t="shared" si="8"/>
        <v>39.199999999999996</v>
      </c>
      <c r="H246" s="77">
        <f t="shared" si="9"/>
        <v>0.39506172839506171</v>
      </c>
      <c r="I246" s="257">
        <f t="shared" si="10"/>
        <v>15.486419753086418</v>
      </c>
      <c r="K246" s="220"/>
    </row>
    <row r="247" spans="1:11" s="78" customFormat="1" ht="24.95" customHeight="1">
      <c r="A247" s="75"/>
      <c r="B247" s="373" t="s">
        <v>1174</v>
      </c>
      <c r="C247" s="371">
        <v>8</v>
      </c>
      <c r="D247" s="76">
        <v>7</v>
      </c>
      <c r="E247" s="372">
        <v>0.57999999999999996</v>
      </c>
      <c r="F247" s="368">
        <v>9</v>
      </c>
      <c r="G247" s="77">
        <f t="shared" si="8"/>
        <v>36.54</v>
      </c>
      <c r="H247" s="77">
        <f>+C247*C247/162</f>
        <v>0.39506172839506171</v>
      </c>
      <c r="I247" s="257">
        <f t="shared" si="10"/>
        <v>14.435555555555554</v>
      </c>
      <c r="K247" s="220"/>
    </row>
    <row r="248" spans="1:11" s="78" customFormat="1" ht="24.95" customHeight="1">
      <c r="A248" s="75"/>
      <c r="B248" s="356" t="s">
        <v>945</v>
      </c>
      <c r="C248" s="76"/>
      <c r="D248" s="76">
        <v>0</v>
      </c>
      <c r="E248" s="77"/>
      <c r="F248" s="368"/>
      <c r="G248" s="77">
        <f t="shared" si="8"/>
        <v>0</v>
      </c>
      <c r="H248" s="77">
        <f t="shared" si="9"/>
        <v>0</v>
      </c>
      <c r="I248" s="257">
        <f t="shared" si="10"/>
        <v>0</v>
      </c>
    </row>
    <row r="249" spans="1:11" s="78" customFormat="1" ht="24.95" customHeight="1">
      <c r="A249" s="75"/>
      <c r="B249" s="356" t="s">
        <v>946</v>
      </c>
      <c r="C249" s="371">
        <v>8</v>
      </c>
      <c r="D249" s="76">
        <v>1</v>
      </c>
      <c r="E249" s="77">
        <v>3.25</v>
      </c>
      <c r="F249" s="368">
        <v>5</v>
      </c>
      <c r="G249" s="77">
        <f t="shared" si="8"/>
        <v>16.25</v>
      </c>
      <c r="H249" s="77">
        <f t="shared" si="9"/>
        <v>0.39506172839506171</v>
      </c>
      <c r="I249" s="257">
        <f t="shared" si="10"/>
        <v>6.4197530864197532</v>
      </c>
      <c r="K249" s="220"/>
    </row>
    <row r="250" spans="1:11" s="78" customFormat="1" ht="24.95" customHeight="1">
      <c r="A250" s="75"/>
      <c r="B250" s="373" t="s">
        <v>1174</v>
      </c>
      <c r="C250" s="371">
        <v>8</v>
      </c>
      <c r="D250" s="76">
        <v>1</v>
      </c>
      <c r="E250" s="372">
        <v>0.57999999999999996</v>
      </c>
      <c r="F250" s="368">
        <v>22</v>
      </c>
      <c r="G250" s="77">
        <f t="shared" si="8"/>
        <v>12.76</v>
      </c>
      <c r="H250" s="77">
        <f t="shared" si="9"/>
        <v>0.39506172839506171</v>
      </c>
      <c r="I250" s="257">
        <f t="shared" si="10"/>
        <v>5.0409876543209871</v>
      </c>
      <c r="K250" s="220"/>
    </row>
    <row r="251" spans="1:11" s="78" customFormat="1" ht="24.95" customHeight="1">
      <c r="A251" s="75"/>
      <c r="B251" s="356" t="s">
        <v>947</v>
      </c>
      <c r="C251" s="76"/>
      <c r="D251" s="76">
        <v>0</v>
      </c>
      <c r="E251" s="77"/>
      <c r="F251" s="368"/>
      <c r="G251" s="77">
        <f t="shared" si="8"/>
        <v>0</v>
      </c>
      <c r="H251" s="77">
        <f t="shared" si="9"/>
        <v>0</v>
      </c>
      <c r="I251" s="257">
        <f t="shared" si="10"/>
        <v>0</v>
      </c>
    </row>
    <row r="252" spans="1:11" s="78" customFormat="1" ht="24.95" customHeight="1">
      <c r="A252" s="75"/>
      <c r="B252" s="356" t="s">
        <v>948</v>
      </c>
      <c r="C252" s="371">
        <v>8</v>
      </c>
      <c r="D252" s="76">
        <v>4</v>
      </c>
      <c r="E252" s="77">
        <v>1.4</v>
      </c>
      <c r="F252" s="368">
        <v>4</v>
      </c>
      <c r="G252" s="77">
        <f t="shared" si="8"/>
        <v>22.4</v>
      </c>
      <c r="H252" s="77">
        <f t="shared" si="9"/>
        <v>0.39506172839506171</v>
      </c>
      <c r="I252" s="257">
        <f t="shared" si="10"/>
        <v>8.8493827160493819</v>
      </c>
      <c r="K252" s="220"/>
    </row>
    <row r="253" spans="1:11" s="78" customFormat="1" ht="24.95" customHeight="1">
      <c r="A253" s="75"/>
      <c r="B253" s="373" t="s">
        <v>1174</v>
      </c>
      <c r="C253" s="371">
        <v>8</v>
      </c>
      <c r="D253" s="76">
        <v>4</v>
      </c>
      <c r="E253" s="372">
        <v>0.57999999999999996</v>
      </c>
      <c r="F253" s="368">
        <v>9</v>
      </c>
      <c r="G253" s="77">
        <f t="shared" si="8"/>
        <v>20.88</v>
      </c>
      <c r="H253" s="77">
        <f>+C253*C253/162</f>
        <v>0.39506172839506171</v>
      </c>
      <c r="I253" s="257">
        <f t="shared" si="10"/>
        <v>8.2488888888888887</v>
      </c>
      <c r="K253" s="220"/>
    </row>
    <row r="254" spans="1:11" s="78" customFormat="1" ht="24.95" customHeight="1">
      <c r="A254" s="75"/>
      <c r="B254" s="356" t="s">
        <v>949</v>
      </c>
      <c r="C254" s="371">
        <v>8</v>
      </c>
      <c r="D254" s="76">
        <v>1</v>
      </c>
      <c r="E254" s="77">
        <v>1.4</v>
      </c>
      <c r="F254" s="368">
        <v>4</v>
      </c>
      <c r="G254" s="77">
        <f t="shared" si="8"/>
        <v>5.6</v>
      </c>
      <c r="H254" s="77">
        <f t="shared" si="9"/>
        <v>0.39506172839506171</v>
      </c>
      <c r="I254" s="257">
        <f t="shared" si="10"/>
        <v>2.2123456790123455</v>
      </c>
      <c r="K254" s="220"/>
    </row>
    <row r="255" spans="1:11" s="78" customFormat="1" ht="24.95" customHeight="1">
      <c r="A255" s="75"/>
      <c r="B255" s="373" t="s">
        <v>1174</v>
      </c>
      <c r="C255" s="371">
        <v>8</v>
      </c>
      <c r="D255" s="76">
        <v>1</v>
      </c>
      <c r="E255" s="372">
        <v>0.57999999999999996</v>
      </c>
      <c r="F255" s="368">
        <v>9</v>
      </c>
      <c r="G255" s="77">
        <f t="shared" si="8"/>
        <v>5.22</v>
      </c>
      <c r="H255" s="77">
        <f t="shared" si="9"/>
        <v>0.39506172839506171</v>
      </c>
      <c r="I255" s="257">
        <f t="shared" si="10"/>
        <v>2.0622222222222222</v>
      </c>
      <c r="K255" s="220"/>
    </row>
    <row r="256" spans="1:11" s="78" customFormat="1" ht="24.95" customHeight="1">
      <c r="A256" s="75"/>
      <c r="B256" s="356" t="s">
        <v>950</v>
      </c>
      <c r="C256" s="76"/>
      <c r="D256" s="76">
        <v>0</v>
      </c>
      <c r="E256" s="77"/>
      <c r="F256" s="368"/>
      <c r="G256" s="77">
        <f t="shared" si="8"/>
        <v>0</v>
      </c>
      <c r="H256" s="77">
        <f t="shared" si="9"/>
        <v>0</v>
      </c>
      <c r="I256" s="257">
        <f t="shared" si="10"/>
        <v>0</v>
      </c>
    </row>
    <row r="257" spans="1:11" s="78" customFormat="1" ht="24.95" customHeight="1">
      <c r="A257" s="75"/>
      <c r="B257" s="356" t="s">
        <v>951</v>
      </c>
      <c r="C257" s="371">
        <v>8</v>
      </c>
      <c r="D257" s="76">
        <v>1</v>
      </c>
      <c r="E257" s="77">
        <v>1.4</v>
      </c>
      <c r="F257" s="368">
        <v>4</v>
      </c>
      <c r="G257" s="77">
        <f t="shared" si="8"/>
        <v>5.6</v>
      </c>
      <c r="H257" s="77">
        <f t="shared" si="9"/>
        <v>0.39506172839506171</v>
      </c>
      <c r="I257" s="257">
        <f t="shared" si="10"/>
        <v>2.2123456790123455</v>
      </c>
      <c r="K257" s="220"/>
    </row>
    <row r="258" spans="1:11" s="78" customFormat="1" ht="24.95" customHeight="1">
      <c r="A258" s="75"/>
      <c r="B258" s="373" t="s">
        <v>1174</v>
      </c>
      <c r="C258" s="371">
        <v>8</v>
      </c>
      <c r="D258" s="76">
        <v>1</v>
      </c>
      <c r="E258" s="372">
        <v>0.57999999999999996</v>
      </c>
      <c r="F258" s="368">
        <v>9</v>
      </c>
      <c r="G258" s="77">
        <f t="shared" si="8"/>
        <v>5.22</v>
      </c>
      <c r="H258" s="77">
        <f>+C258*C258/162</f>
        <v>0.39506172839506171</v>
      </c>
      <c r="I258" s="257">
        <f t="shared" si="10"/>
        <v>2.0622222222222222</v>
      </c>
      <c r="K258" s="220"/>
    </row>
    <row r="259" spans="1:11" s="78" customFormat="1" ht="24.95" customHeight="1">
      <c r="A259" s="75"/>
      <c r="B259" s="356" t="s">
        <v>955</v>
      </c>
      <c r="C259" s="371"/>
      <c r="D259" s="371">
        <v>0</v>
      </c>
      <c r="E259" s="372"/>
      <c r="F259" s="368"/>
      <c r="G259" s="77">
        <f t="shared" si="8"/>
        <v>0</v>
      </c>
      <c r="H259" s="77">
        <f t="shared" si="9"/>
        <v>0</v>
      </c>
      <c r="I259" s="257">
        <f t="shared" si="10"/>
        <v>0</v>
      </c>
    </row>
    <row r="260" spans="1:11" s="78" customFormat="1" ht="24.95" customHeight="1">
      <c r="A260" s="75"/>
      <c r="B260" s="356" t="s">
        <v>953</v>
      </c>
      <c r="C260" s="371">
        <v>8</v>
      </c>
      <c r="D260" s="371">
        <v>1</v>
      </c>
      <c r="E260" s="372">
        <v>1.6</v>
      </c>
      <c r="F260" s="368">
        <v>5</v>
      </c>
      <c r="G260" s="77">
        <f t="shared" si="8"/>
        <v>8</v>
      </c>
      <c r="H260" s="77">
        <f t="shared" si="9"/>
        <v>0.39506172839506171</v>
      </c>
      <c r="I260" s="257">
        <f t="shared" si="10"/>
        <v>3.1604938271604937</v>
      </c>
      <c r="K260" s="220"/>
    </row>
    <row r="261" spans="1:11" s="78" customFormat="1" ht="24.95" customHeight="1">
      <c r="A261" s="75"/>
      <c r="B261" s="373" t="s">
        <v>1174</v>
      </c>
      <c r="C261" s="371">
        <v>8</v>
      </c>
      <c r="D261" s="76">
        <v>1</v>
      </c>
      <c r="E261" s="372">
        <v>0.57999999999999996</v>
      </c>
      <c r="F261" s="368">
        <v>11</v>
      </c>
      <c r="G261" s="77">
        <f t="shared" si="8"/>
        <v>6.38</v>
      </c>
      <c r="H261" s="77">
        <f t="shared" si="9"/>
        <v>0.39506172839506171</v>
      </c>
      <c r="I261" s="257">
        <f t="shared" si="10"/>
        <v>2.5204938271604935</v>
      </c>
      <c r="K261" s="220"/>
    </row>
    <row r="262" spans="1:11" s="78" customFormat="1" ht="24.95" customHeight="1">
      <c r="A262" s="75"/>
      <c r="B262" s="356" t="s">
        <v>956</v>
      </c>
      <c r="C262" s="371">
        <v>8</v>
      </c>
      <c r="D262" s="371">
        <v>1</v>
      </c>
      <c r="E262" s="372">
        <v>1.3</v>
      </c>
      <c r="F262" s="368">
        <v>4</v>
      </c>
      <c r="G262" s="77">
        <f t="shared" si="8"/>
        <v>5.2</v>
      </c>
      <c r="H262" s="77">
        <f t="shared" si="9"/>
        <v>0.39506172839506171</v>
      </c>
      <c r="I262" s="257">
        <f t="shared" si="10"/>
        <v>2.0543209876543211</v>
      </c>
      <c r="K262" s="220"/>
    </row>
    <row r="263" spans="1:11" s="78" customFormat="1" ht="24.95" customHeight="1">
      <c r="A263" s="75"/>
      <c r="B263" s="373" t="s">
        <v>1174</v>
      </c>
      <c r="C263" s="371">
        <v>8</v>
      </c>
      <c r="D263" s="76">
        <v>1</v>
      </c>
      <c r="E263" s="372">
        <v>0.57999999999999996</v>
      </c>
      <c r="F263" s="368">
        <v>9</v>
      </c>
      <c r="G263" s="77">
        <f t="shared" si="8"/>
        <v>5.22</v>
      </c>
      <c r="H263" s="77">
        <f>+C263*C263/162</f>
        <v>0.39506172839506171</v>
      </c>
      <c r="I263" s="257">
        <f t="shared" si="10"/>
        <v>2.0622222222222222</v>
      </c>
      <c r="K263" s="220"/>
    </row>
    <row r="264" spans="1:11" s="78" customFormat="1" ht="24.95" customHeight="1">
      <c r="A264" s="75"/>
      <c r="B264" s="362" t="s">
        <v>959</v>
      </c>
      <c r="C264" s="76"/>
      <c r="D264" s="76">
        <v>0</v>
      </c>
      <c r="E264" s="77"/>
      <c r="F264" s="368"/>
      <c r="G264" s="77">
        <f t="shared" ref="G264:G327" si="11">+F264*E264*D264</f>
        <v>0</v>
      </c>
      <c r="H264" s="77">
        <f t="shared" si="9"/>
        <v>0</v>
      </c>
      <c r="I264" s="257">
        <f t="shared" ref="I264:I327" si="12">+H264*G264</f>
        <v>0</v>
      </c>
    </row>
    <row r="265" spans="1:11" s="78" customFormat="1" ht="24.95" customHeight="1">
      <c r="A265" s="75"/>
      <c r="B265" s="356" t="s">
        <v>962</v>
      </c>
      <c r="C265" s="76"/>
      <c r="D265" s="76">
        <v>0</v>
      </c>
      <c r="E265" s="77"/>
      <c r="F265" s="368"/>
      <c r="G265" s="77">
        <f t="shared" si="11"/>
        <v>0</v>
      </c>
      <c r="H265" s="77">
        <f t="shared" si="9"/>
        <v>0</v>
      </c>
      <c r="I265" s="257">
        <f t="shared" si="12"/>
        <v>0</v>
      </c>
    </row>
    <row r="266" spans="1:11" s="78" customFormat="1" ht="24.95" customHeight="1">
      <c r="A266" s="75"/>
      <c r="B266" s="356" t="s">
        <v>963</v>
      </c>
      <c r="C266" s="371">
        <v>8</v>
      </c>
      <c r="D266" s="76">
        <v>1</v>
      </c>
      <c r="E266" s="77">
        <v>1.2000000000000002</v>
      </c>
      <c r="F266" s="368">
        <v>4</v>
      </c>
      <c r="G266" s="77">
        <f t="shared" si="11"/>
        <v>4.8000000000000007</v>
      </c>
      <c r="H266" s="77">
        <f t="shared" si="9"/>
        <v>0.39506172839506171</v>
      </c>
      <c r="I266" s="257">
        <f t="shared" si="12"/>
        <v>1.8962962962962964</v>
      </c>
      <c r="K266" s="220"/>
    </row>
    <row r="267" spans="1:11" s="78" customFormat="1" ht="24.95" customHeight="1">
      <c r="A267" s="75"/>
      <c r="B267" s="373" t="s">
        <v>1174</v>
      </c>
      <c r="C267" s="371">
        <v>8</v>
      </c>
      <c r="D267" s="76">
        <v>1</v>
      </c>
      <c r="E267" s="372">
        <v>0.57999999999999996</v>
      </c>
      <c r="F267" s="368">
        <v>8</v>
      </c>
      <c r="G267" s="77">
        <f t="shared" si="11"/>
        <v>4.6399999999999997</v>
      </c>
      <c r="H267" s="77">
        <f t="shared" si="9"/>
        <v>0.39506172839506171</v>
      </c>
      <c r="I267" s="257">
        <f t="shared" si="12"/>
        <v>1.8330864197530863</v>
      </c>
      <c r="K267" s="220"/>
    </row>
    <row r="268" spans="1:11" s="78" customFormat="1" ht="24.95" customHeight="1">
      <c r="A268" s="75"/>
      <c r="B268" s="356" t="s">
        <v>964</v>
      </c>
      <c r="C268" s="371">
        <v>8</v>
      </c>
      <c r="D268" s="76">
        <v>2</v>
      </c>
      <c r="E268" s="77">
        <v>1.6</v>
      </c>
      <c r="F268" s="368">
        <v>5</v>
      </c>
      <c r="G268" s="77">
        <f t="shared" si="11"/>
        <v>16</v>
      </c>
      <c r="H268" s="77">
        <f t="shared" si="9"/>
        <v>0.39506172839506171</v>
      </c>
      <c r="I268" s="257">
        <f t="shared" si="12"/>
        <v>6.3209876543209873</v>
      </c>
      <c r="K268" s="220"/>
    </row>
    <row r="269" spans="1:11" s="78" customFormat="1" ht="24.95" customHeight="1">
      <c r="A269" s="75"/>
      <c r="B269" s="373" t="s">
        <v>1174</v>
      </c>
      <c r="C269" s="371">
        <v>8</v>
      </c>
      <c r="D269" s="76">
        <v>1</v>
      </c>
      <c r="E269" s="372">
        <v>0.57999999999999996</v>
      </c>
      <c r="F269" s="368">
        <v>11</v>
      </c>
      <c r="G269" s="77">
        <f t="shared" si="11"/>
        <v>6.38</v>
      </c>
      <c r="H269" s="77">
        <f>+C269*C269/162</f>
        <v>0.39506172839506171</v>
      </c>
      <c r="I269" s="257">
        <f t="shared" si="12"/>
        <v>2.5204938271604935</v>
      </c>
      <c r="K269" s="220"/>
    </row>
    <row r="270" spans="1:11" s="78" customFormat="1" ht="24.95" customHeight="1">
      <c r="A270" s="75"/>
      <c r="B270" s="356" t="s">
        <v>965</v>
      </c>
      <c r="C270" s="76"/>
      <c r="D270" s="76">
        <v>0</v>
      </c>
      <c r="E270" s="77"/>
      <c r="F270" s="368"/>
      <c r="G270" s="77">
        <f t="shared" si="11"/>
        <v>0</v>
      </c>
      <c r="H270" s="77">
        <f t="shared" si="9"/>
        <v>0</v>
      </c>
      <c r="I270" s="257">
        <f t="shared" si="12"/>
        <v>0</v>
      </c>
    </row>
    <row r="271" spans="1:11" s="78" customFormat="1" ht="24.95" customHeight="1">
      <c r="A271" s="75"/>
      <c r="B271" s="356" t="s">
        <v>966</v>
      </c>
      <c r="C271" s="371">
        <v>8</v>
      </c>
      <c r="D271" s="76">
        <v>2</v>
      </c>
      <c r="E271" s="77">
        <v>1.4</v>
      </c>
      <c r="F271" s="368">
        <v>4</v>
      </c>
      <c r="G271" s="77">
        <f t="shared" si="11"/>
        <v>11.2</v>
      </c>
      <c r="H271" s="77">
        <f t="shared" si="9"/>
        <v>0.39506172839506171</v>
      </c>
      <c r="I271" s="257">
        <f t="shared" si="12"/>
        <v>4.4246913580246909</v>
      </c>
      <c r="K271" s="220"/>
    </row>
    <row r="272" spans="1:11" s="78" customFormat="1" ht="24.95" customHeight="1">
      <c r="A272" s="75"/>
      <c r="B272" s="373" t="s">
        <v>1174</v>
      </c>
      <c r="C272" s="371">
        <v>8</v>
      </c>
      <c r="D272" s="76">
        <v>2</v>
      </c>
      <c r="E272" s="372">
        <v>0.57999999999999996</v>
      </c>
      <c r="F272" s="368">
        <v>9</v>
      </c>
      <c r="G272" s="77">
        <f t="shared" si="11"/>
        <v>10.44</v>
      </c>
      <c r="H272" s="77">
        <f t="shared" si="9"/>
        <v>0.39506172839506171</v>
      </c>
      <c r="I272" s="257">
        <f t="shared" si="12"/>
        <v>4.1244444444444444</v>
      </c>
      <c r="K272" s="220"/>
    </row>
    <row r="273" spans="1:11" s="78" customFormat="1" ht="24.95" customHeight="1">
      <c r="A273" s="75"/>
      <c r="B273" s="362" t="s">
        <v>1106</v>
      </c>
      <c r="C273" s="371"/>
      <c r="D273" s="371">
        <v>0</v>
      </c>
      <c r="E273" s="372"/>
      <c r="F273" s="368"/>
      <c r="G273" s="77">
        <f t="shared" si="11"/>
        <v>0</v>
      </c>
      <c r="H273" s="77">
        <f t="shared" si="9"/>
        <v>0</v>
      </c>
      <c r="I273" s="257">
        <f t="shared" si="12"/>
        <v>0</v>
      </c>
    </row>
    <row r="274" spans="1:11" s="78" customFormat="1" ht="24.95" customHeight="1">
      <c r="A274" s="75"/>
      <c r="B274" s="373" t="s">
        <v>1049</v>
      </c>
      <c r="C274" s="371"/>
      <c r="D274" s="371">
        <v>0</v>
      </c>
      <c r="E274" s="372"/>
      <c r="F274" s="368"/>
      <c r="G274" s="77">
        <f t="shared" si="11"/>
        <v>0</v>
      </c>
      <c r="H274" s="77">
        <f t="shared" si="9"/>
        <v>0</v>
      </c>
      <c r="I274" s="257">
        <f t="shared" si="12"/>
        <v>0</v>
      </c>
    </row>
    <row r="275" spans="1:11" s="78" customFormat="1" ht="24.95" customHeight="1">
      <c r="A275" s="75"/>
      <c r="B275" s="373" t="s">
        <v>941</v>
      </c>
      <c r="C275" s="371">
        <v>8</v>
      </c>
      <c r="D275" s="371">
        <v>3</v>
      </c>
      <c r="E275" s="372">
        <v>1.4</v>
      </c>
      <c r="F275" s="368">
        <v>4</v>
      </c>
      <c r="G275" s="77">
        <f t="shared" si="11"/>
        <v>16.799999999999997</v>
      </c>
      <c r="H275" s="77">
        <f t="shared" si="9"/>
        <v>0.39506172839506171</v>
      </c>
      <c r="I275" s="257">
        <f t="shared" si="12"/>
        <v>6.637037037037036</v>
      </c>
      <c r="K275" s="220"/>
    </row>
    <row r="276" spans="1:11" s="78" customFormat="1" ht="24.95" customHeight="1">
      <c r="A276" s="75"/>
      <c r="B276" s="373" t="s">
        <v>1174</v>
      </c>
      <c r="C276" s="371">
        <v>8</v>
      </c>
      <c r="D276" s="371">
        <v>3</v>
      </c>
      <c r="E276" s="372">
        <v>0.57999999999999996</v>
      </c>
      <c r="F276" s="368">
        <v>9</v>
      </c>
      <c r="G276" s="77">
        <f t="shared" si="11"/>
        <v>15.66</v>
      </c>
      <c r="H276" s="77">
        <f>+C276*C276/162</f>
        <v>0.39506172839506171</v>
      </c>
      <c r="I276" s="257">
        <f t="shared" si="12"/>
        <v>6.1866666666666665</v>
      </c>
      <c r="K276" s="220"/>
    </row>
    <row r="277" spans="1:11" s="78" customFormat="1" ht="24.95" customHeight="1">
      <c r="A277" s="75"/>
      <c r="B277" s="373" t="s">
        <v>1092</v>
      </c>
      <c r="C277" s="371">
        <v>8</v>
      </c>
      <c r="D277" s="371">
        <v>1</v>
      </c>
      <c r="E277" s="372">
        <v>2.25</v>
      </c>
      <c r="F277" s="368">
        <v>5</v>
      </c>
      <c r="G277" s="77">
        <f t="shared" si="11"/>
        <v>11.25</v>
      </c>
      <c r="H277" s="77">
        <f t="shared" si="9"/>
        <v>0.39506172839506171</v>
      </c>
      <c r="I277" s="257">
        <f t="shared" si="12"/>
        <v>4.4444444444444446</v>
      </c>
      <c r="K277" s="220"/>
    </row>
    <row r="278" spans="1:11" s="78" customFormat="1" ht="24.95" customHeight="1">
      <c r="A278" s="75"/>
      <c r="B278" s="373" t="s">
        <v>1174</v>
      </c>
      <c r="C278" s="371">
        <v>8</v>
      </c>
      <c r="D278" s="371">
        <v>1</v>
      </c>
      <c r="E278" s="372">
        <v>0.57999999999999996</v>
      </c>
      <c r="F278" s="368">
        <v>15</v>
      </c>
      <c r="G278" s="77">
        <f t="shared" si="11"/>
        <v>8.6999999999999993</v>
      </c>
      <c r="H278" s="77">
        <f t="shared" si="9"/>
        <v>0.39506172839506171</v>
      </c>
      <c r="I278" s="257">
        <f t="shared" si="12"/>
        <v>3.4370370370370367</v>
      </c>
      <c r="K278" s="220"/>
    </row>
    <row r="279" spans="1:11" s="78" customFormat="1" ht="24.95" customHeight="1">
      <c r="A279" s="75"/>
      <c r="B279" s="373" t="s">
        <v>1050</v>
      </c>
      <c r="C279" s="371"/>
      <c r="D279" s="371">
        <v>0</v>
      </c>
      <c r="E279" s="372"/>
      <c r="F279" s="368"/>
      <c r="G279" s="77">
        <f t="shared" si="11"/>
        <v>0</v>
      </c>
      <c r="H279" s="77">
        <f t="shared" si="9"/>
        <v>0</v>
      </c>
      <c r="I279" s="257">
        <f t="shared" si="12"/>
        <v>0</v>
      </c>
    </row>
    <row r="280" spans="1:11" s="78" customFormat="1" ht="24.95" customHeight="1">
      <c r="A280" s="75"/>
      <c r="B280" s="373" t="s">
        <v>1093</v>
      </c>
      <c r="C280" s="371">
        <v>8</v>
      </c>
      <c r="D280" s="371">
        <v>3</v>
      </c>
      <c r="E280" s="372">
        <v>1.4</v>
      </c>
      <c r="F280" s="368">
        <v>4</v>
      </c>
      <c r="G280" s="77">
        <f t="shared" si="11"/>
        <v>16.799999999999997</v>
      </c>
      <c r="H280" s="77">
        <f t="shared" si="9"/>
        <v>0.39506172839506171</v>
      </c>
      <c r="I280" s="257">
        <f t="shared" si="12"/>
        <v>6.637037037037036</v>
      </c>
      <c r="K280" s="220"/>
    </row>
    <row r="281" spans="1:11" s="78" customFormat="1" ht="24.95" customHeight="1">
      <c r="A281" s="75"/>
      <c r="B281" s="373" t="s">
        <v>1174</v>
      </c>
      <c r="C281" s="371">
        <v>8</v>
      </c>
      <c r="D281" s="371">
        <v>3</v>
      </c>
      <c r="E281" s="372">
        <v>0.57999999999999996</v>
      </c>
      <c r="F281" s="368">
        <v>9</v>
      </c>
      <c r="G281" s="77">
        <f t="shared" si="11"/>
        <v>15.66</v>
      </c>
      <c r="H281" s="77">
        <f>+C281*C281/162</f>
        <v>0.39506172839506171</v>
      </c>
      <c r="I281" s="257">
        <f t="shared" si="12"/>
        <v>6.1866666666666665</v>
      </c>
      <c r="K281" s="220"/>
    </row>
    <row r="282" spans="1:11" s="78" customFormat="1" ht="24.95" customHeight="1">
      <c r="A282" s="75"/>
      <c r="B282" s="373" t="s">
        <v>1094</v>
      </c>
      <c r="C282" s="371">
        <v>8</v>
      </c>
      <c r="D282" s="371">
        <v>1</v>
      </c>
      <c r="E282" s="372">
        <v>2.25</v>
      </c>
      <c r="F282" s="368">
        <v>5</v>
      </c>
      <c r="G282" s="77">
        <f t="shared" si="11"/>
        <v>11.25</v>
      </c>
      <c r="H282" s="77">
        <f t="shared" si="9"/>
        <v>0.39506172839506171</v>
      </c>
      <c r="I282" s="257">
        <f t="shared" si="12"/>
        <v>4.4444444444444446</v>
      </c>
      <c r="K282" s="220"/>
    </row>
    <row r="283" spans="1:11" s="78" customFormat="1" ht="24.95" customHeight="1">
      <c r="A283" s="75"/>
      <c r="B283" s="373" t="s">
        <v>1174</v>
      </c>
      <c r="C283" s="371">
        <v>8</v>
      </c>
      <c r="D283" s="371">
        <v>1</v>
      </c>
      <c r="E283" s="372">
        <v>0.57999999999999996</v>
      </c>
      <c r="F283" s="368">
        <v>15</v>
      </c>
      <c r="G283" s="77">
        <f t="shared" si="11"/>
        <v>8.6999999999999993</v>
      </c>
      <c r="H283" s="77">
        <f t="shared" si="9"/>
        <v>0.39506172839506171</v>
      </c>
      <c r="I283" s="257">
        <f t="shared" si="12"/>
        <v>3.4370370370370367</v>
      </c>
      <c r="K283" s="220"/>
    </row>
    <row r="284" spans="1:11" s="78" customFormat="1" ht="24.95" customHeight="1">
      <c r="A284" s="75"/>
      <c r="B284" s="375" t="s">
        <v>1095</v>
      </c>
      <c r="C284" s="76"/>
      <c r="D284" s="76">
        <v>0</v>
      </c>
      <c r="E284" s="77"/>
      <c r="F284" s="368"/>
      <c r="G284" s="77">
        <f t="shared" si="11"/>
        <v>0</v>
      </c>
      <c r="H284" s="77">
        <f t="shared" si="9"/>
        <v>0</v>
      </c>
      <c r="I284" s="257">
        <f t="shared" si="12"/>
        <v>0</v>
      </c>
    </row>
    <row r="285" spans="1:11" s="78" customFormat="1" ht="24.95" customHeight="1">
      <c r="A285" s="75"/>
      <c r="B285" s="374" t="s">
        <v>1056</v>
      </c>
      <c r="C285" s="76"/>
      <c r="D285" s="76">
        <v>0</v>
      </c>
      <c r="E285" s="77"/>
      <c r="F285" s="368"/>
      <c r="G285" s="77">
        <f t="shared" si="11"/>
        <v>0</v>
      </c>
      <c r="H285" s="77">
        <f t="shared" si="9"/>
        <v>0</v>
      </c>
      <c r="I285" s="257">
        <f t="shared" si="12"/>
        <v>0</v>
      </c>
    </row>
    <row r="286" spans="1:11" s="78" customFormat="1" ht="24.95" customHeight="1">
      <c r="A286" s="75"/>
      <c r="B286" s="374" t="s">
        <v>1051</v>
      </c>
      <c r="C286" s="371">
        <v>8</v>
      </c>
      <c r="D286" s="76">
        <v>4</v>
      </c>
      <c r="E286" s="77">
        <v>1.4</v>
      </c>
      <c r="F286" s="368">
        <v>4</v>
      </c>
      <c r="G286" s="77">
        <f t="shared" si="11"/>
        <v>22.4</v>
      </c>
      <c r="H286" s="77">
        <f t="shared" si="9"/>
        <v>0.39506172839506171</v>
      </c>
      <c r="I286" s="257">
        <f t="shared" si="12"/>
        <v>8.8493827160493819</v>
      </c>
      <c r="K286" s="220"/>
    </row>
    <row r="287" spans="1:11" s="78" customFormat="1" ht="24.95" customHeight="1">
      <c r="A287" s="75"/>
      <c r="B287" s="373" t="s">
        <v>1174</v>
      </c>
      <c r="C287" s="371">
        <v>8</v>
      </c>
      <c r="D287" s="76">
        <v>4</v>
      </c>
      <c r="E287" s="372">
        <v>0.57999999999999996</v>
      </c>
      <c r="F287" s="368">
        <v>9</v>
      </c>
      <c r="G287" s="77">
        <f t="shared" si="11"/>
        <v>20.88</v>
      </c>
      <c r="H287" s="77">
        <f>+C287*C287/162</f>
        <v>0.39506172839506171</v>
      </c>
      <c r="I287" s="257">
        <f t="shared" si="12"/>
        <v>8.2488888888888887</v>
      </c>
      <c r="K287" s="220"/>
    </row>
    <row r="288" spans="1:11" s="78" customFormat="1" ht="24.95" customHeight="1">
      <c r="A288" s="75"/>
      <c r="B288" s="356" t="s">
        <v>1057</v>
      </c>
      <c r="C288" s="76"/>
      <c r="D288" s="76">
        <v>0</v>
      </c>
      <c r="E288" s="77"/>
      <c r="F288" s="368"/>
      <c r="G288" s="77">
        <f t="shared" si="11"/>
        <v>0</v>
      </c>
      <c r="H288" s="77">
        <f t="shared" si="9"/>
        <v>0</v>
      </c>
      <c r="I288" s="257">
        <f t="shared" si="12"/>
        <v>0</v>
      </c>
    </row>
    <row r="289" spans="1:11" s="78" customFormat="1" ht="24.95" customHeight="1">
      <c r="A289" s="75"/>
      <c r="B289" s="356" t="s">
        <v>1051</v>
      </c>
      <c r="C289" s="371">
        <v>8</v>
      </c>
      <c r="D289" s="76">
        <v>4</v>
      </c>
      <c r="E289" s="77">
        <v>1.4</v>
      </c>
      <c r="F289" s="368">
        <v>4</v>
      </c>
      <c r="G289" s="77">
        <f t="shared" si="11"/>
        <v>22.4</v>
      </c>
      <c r="H289" s="77">
        <f t="shared" si="9"/>
        <v>0.39506172839506171</v>
      </c>
      <c r="I289" s="257">
        <f t="shared" si="12"/>
        <v>8.8493827160493819</v>
      </c>
      <c r="K289" s="220"/>
    </row>
    <row r="290" spans="1:11" s="78" customFormat="1" ht="24.95" customHeight="1">
      <c r="A290" s="75"/>
      <c r="B290" s="373" t="s">
        <v>1174</v>
      </c>
      <c r="C290" s="371">
        <v>8</v>
      </c>
      <c r="D290" s="76">
        <v>4</v>
      </c>
      <c r="E290" s="372">
        <v>0.57999999999999996</v>
      </c>
      <c r="F290" s="368">
        <v>9</v>
      </c>
      <c r="G290" s="77">
        <f t="shared" si="11"/>
        <v>20.88</v>
      </c>
      <c r="H290" s="77">
        <f t="shared" si="9"/>
        <v>0.39506172839506171</v>
      </c>
      <c r="I290" s="257">
        <f t="shared" si="12"/>
        <v>8.2488888888888887</v>
      </c>
      <c r="K290" s="220"/>
    </row>
    <row r="291" spans="1:11" s="78" customFormat="1" ht="24.95" customHeight="1">
      <c r="A291" s="75"/>
      <c r="B291" s="362" t="s">
        <v>1097</v>
      </c>
      <c r="C291" s="76"/>
      <c r="D291" s="76">
        <v>0</v>
      </c>
      <c r="E291" s="77"/>
      <c r="F291" s="368"/>
      <c r="G291" s="77">
        <f t="shared" si="11"/>
        <v>0</v>
      </c>
      <c r="H291" s="77">
        <f t="shared" si="9"/>
        <v>0</v>
      </c>
      <c r="I291" s="257">
        <f t="shared" si="12"/>
        <v>0</v>
      </c>
    </row>
    <row r="292" spans="1:11" s="78" customFormat="1" ht="24.95" customHeight="1">
      <c r="A292" s="75"/>
      <c r="B292" s="356" t="s">
        <v>1063</v>
      </c>
      <c r="C292" s="76"/>
      <c r="D292" s="76">
        <v>0</v>
      </c>
      <c r="E292" s="77"/>
      <c r="F292" s="368"/>
      <c r="G292" s="77">
        <f t="shared" si="11"/>
        <v>0</v>
      </c>
      <c r="H292" s="77">
        <f t="shared" si="9"/>
        <v>0</v>
      </c>
      <c r="I292" s="257">
        <f t="shared" si="12"/>
        <v>0</v>
      </c>
    </row>
    <row r="293" spans="1:11" s="78" customFormat="1" ht="24.95" customHeight="1">
      <c r="A293" s="75"/>
      <c r="B293" s="356" t="s">
        <v>1065</v>
      </c>
      <c r="C293" s="371">
        <v>8</v>
      </c>
      <c r="D293" s="76">
        <v>3</v>
      </c>
      <c r="E293" s="77">
        <v>1.4</v>
      </c>
      <c r="F293" s="368">
        <v>4</v>
      </c>
      <c r="G293" s="77">
        <f t="shared" si="11"/>
        <v>16.799999999999997</v>
      </c>
      <c r="H293" s="77">
        <f t="shared" si="9"/>
        <v>0.39506172839506171</v>
      </c>
      <c r="I293" s="257">
        <f t="shared" si="12"/>
        <v>6.637037037037036</v>
      </c>
      <c r="K293" s="220"/>
    </row>
    <row r="294" spans="1:11" s="78" customFormat="1" ht="24.95" customHeight="1">
      <c r="A294" s="75"/>
      <c r="B294" s="373" t="s">
        <v>1174</v>
      </c>
      <c r="C294" s="371">
        <v>8</v>
      </c>
      <c r="D294" s="76">
        <v>3</v>
      </c>
      <c r="E294" s="372">
        <v>0.57999999999999996</v>
      </c>
      <c r="F294" s="368">
        <v>9</v>
      </c>
      <c r="G294" s="77">
        <f t="shared" si="11"/>
        <v>15.66</v>
      </c>
      <c r="H294" s="77">
        <f>+C294*C294/162</f>
        <v>0.39506172839506171</v>
      </c>
      <c r="I294" s="257">
        <f t="shared" si="12"/>
        <v>6.1866666666666665</v>
      </c>
      <c r="K294" s="220"/>
    </row>
    <row r="295" spans="1:11" s="78" customFormat="1" ht="24.95" customHeight="1">
      <c r="A295" s="75"/>
      <c r="B295" s="356" t="s">
        <v>1098</v>
      </c>
      <c r="C295" s="371">
        <v>8</v>
      </c>
      <c r="D295" s="76">
        <v>1</v>
      </c>
      <c r="E295" s="77">
        <v>2.25</v>
      </c>
      <c r="F295" s="368">
        <v>5</v>
      </c>
      <c r="G295" s="77">
        <f t="shared" si="11"/>
        <v>11.25</v>
      </c>
      <c r="H295" s="77">
        <f t="shared" si="9"/>
        <v>0.39506172839506171</v>
      </c>
      <c r="I295" s="257">
        <f t="shared" si="12"/>
        <v>4.4444444444444446</v>
      </c>
      <c r="K295" s="220"/>
    </row>
    <row r="296" spans="1:11" s="78" customFormat="1" ht="24.95" customHeight="1">
      <c r="A296" s="75"/>
      <c r="B296" s="373" t="s">
        <v>1174</v>
      </c>
      <c r="C296" s="371">
        <v>8</v>
      </c>
      <c r="D296" s="76">
        <v>1</v>
      </c>
      <c r="E296" s="372">
        <v>0.57999999999999996</v>
      </c>
      <c r="F296" s="368">
        <v>15</v>
      </c>
      <c r="G296" s="77">
        <f t="shared" si="11"/>
        <v>8.6999999999999993</v>
      </c>
      <c r="H296" s="77">
        <f>+C296*C296/162</f>
        <v>0.39506172839506171</v>
      </c>
      <c r="I296" s="257">
        <f t="shared" si="12"/>
        <v>3.4370370370370367</v>
      </c>
      <c r="K296" s="220"/>
    </row>
    <row r="297" spans="1:11" s="78" customFormat="1" ht="24.95" customHeight="1">
      <c r="A297" s="75"/>
      <c r="B297" s="356" t="s">
        <v>1069</v>
      </c>
      <c r="C297" s="371">
        <v>8</v>
      </c>
      <c r="D297" s="76">
        <v>1</v>
      </c>
      <c r="E297" s="77">
        <v>2.2000000000000002</v>
      </c>
      <c r="F297" s="368">
        <v>5</v>
      </c>
      <c r="G297" s="77">
        <f t="shared" si="11"/>
        <v>11</v>
      </c>
      <c r="H297" s="77">
        <f t="shared" ref="H297:H388" si="13">+C297*C297/162</f>
        <v>0.39506172839506171</v>
      </c>
      <c r="I297" s="257">
        <f t="shared" si="12"/>
        <v>4.3456790123456788</v>
      </c>
      <c r="K297" s="220"/>
    </row>
    <row r="298" spans="1:11" s="78" customFormat="1" ht="24.95" customHeight="1">
      <c r="A298" s="75"/>
      <c r="B298" s="373" t="s">
        <v>1174</v>
      </c>
      <c r="C298" s="371">
        <v>8</v>
      </c>
      <c r="D298" s="76">
        <v>1</v>
      </c>
      <c r="E298" s="372">
        <v>0.57999999999999996</v>
      </c>
      <c r="F298" s="368">
        <v>15</v>
      </c>
      <c r="G298" s="77">
        <f t="shared" si="11"/>
        <v>8.6999999999999993</v>
      </c>
      <c r="H298" s="77">
        <f t="shared" si="13"/>
        <v>0.39506172839506171</v>
      </c>
      <c r="I298" s="257">
        <f t="shared" si="12"/>
        <v>3.4370370370370367</v>
      </c>
      <c r="K298" s="220"/>
    </row>
    <row r="299" spans="1:11" s="78" customFormat="1" ht="24.95" customHeight="1">
      <c r="A299" s="75"/>
      <c r="B299" s="356" t="s">
        <v>1107</v>
      </c>
      <c r="C299" s="76"/>
      <c r="D299" s="76">
        <v>0</v>
      </c>
      <c r="E299" s="77"/>
      <c r="F299" s="368"/>
      <c r="G299" s="77">
        <f t="shared" si="11"/>
        <v>0</v>
      </c>
      <c r="H299" s="77">
        <f t="shared" si="13"/>
        <v>0</v>
      </c>
      <c r="I299" s="257">
        <f t="shared" si="12"/>
        <v>0</v>
      </c>
    </row>
    <row r="300" spans="1:11" s="78" customFormat="1" ht="24.95" customHeight="1">
      <c r="A300" s="75"/>
      <c r="B300" s="356" t="s">
        <v>1092</v>
      </c>
      <c r="C300" s="371">
        <v>8</v>
      </c>
      <c r="D300" s="76">
        <v>2</v>
      </c>
      <c r="E300" s="77">
        <v>2.25</v>
      </c>
      <c r="F300" s="368">
        <v>5</v>
      </c>
      <c r="G300" s="77">
        <f t="shared" si="11"/>
        <v>22.5</v>
      </c>
      <c r="H300" s="77">
        <f t="shared" si="13"/>
        <v>0.39506172839506171</v>
      </c>
      <c r="I300" s="257">
        <f t="shared" si="12"/>
        <v>8.8888888888888893</v>
      </c>
      <c r="K300" s="220"/>
    </row>
    <row r="301" spans="1:11" s="78" customFormat="1" ht="24.95" customHeight="1">
      <c r="A301" s="75"/>
      <c r="B301" s="373" t="s">
        <v>1174</v>
      </c>
      <c r="C301" s="371">
        <v>8</v>
      </c>
      <c r="D301" s="76">
        <v>2</v>
      </c>
      <c r="E301" s="372">
        <v>0.57999999999999996</v>
      </c>
      <c r="F301" s="368">
        <v>15</v>
      </c>
      <c r="G301" s="77">
        <f t="shared" si="11"/>
        <v>17.399999999999999</v>
      </c>
      <c r="H301" s="77">
        <f>+C301*C301/162</f>
        <v>0.39506172839506171</v>
      </c>
      <c r="I301" s="257">
        <f t="shared" si="12"/>
        <v>6.8740740740740733</v>
      </c>
      <c r="K301" s="220"/>
    </row>
    <row r="302" spans="1:11" s="78" customFormat="1" ht="24.95" customHeight="1">
      <c r="A302" s="75"/>
      <c r="B302" s="356" t="s">
        <v>1069</v>
      </c>
      <c r="C302" s="371">
        <v>8</v>
      </c>
      <c r="D302" s="76">
        <v>1</v>
      </c>
      <c r="E302" s="77">
        <v>2.2000000000000002</v>
      </c>
      <c r="F302" s="368">
        <v>5</v>
      </c>
      <c r="G302" s="77">
        <f t="shared" si="11"/>
        <v>11</v>
      </c>
      <c r="H302" s="77">
        <f t="shared" si="13"/>
        <v>0.39506172839506171</v>
      </c>
      <c r="I302" s="257">
        <f t="shared" si="12"/>
        <v>4.3456790123456788</v>
      </c>
      <c r="K302" s="220"/>
    </row>
    <row r="303" spans="1:11" s="78" customFormat="1" ht="24.95" customHeight="1">
      <c r="A303" s="75"/>
      <c r="B303" s="373" t="s">
        <v>1174</v>
      </c>
      <c r="C303" s="371">
        <v>8</v>
      </c>
      <c r="D303" s="76">
        <v>1</v>
      </c>
      <c r="E303" s="372">
        <v>0.57999999999999996</v>
      </c>
      <c r="F303" s="368">
        <v>15</v>
      </c>
      <c r="G303" s="77">
        <f t="shared" si="11"/>
        <v>8.6999999999999993</v>
      </c>
      <c r="H303" s="77">
        <f t="shared" si="13"/>
        <v>0.39506172839506171</v>
      </c>
      <c r="I303" s="257">
        <f t="shared" si="12"/>
        <v>3.4370370370370367</v>
      </c>
      <c r="K303" s="220"/>
    </row>
    <row r="304" spans="1:11" s="78" customFormat="1" ht="24.95" customHeight="1">
      <c r="A304" s="75"/>
      <c r="B304" s="362" t="s">
        <v>1076</v>
      </c>
      <c r="C304" s="76"/>
      <c r="D304" s="76">
        <v>0</v>
      </c>
      <c r="E304" s="77"/>
      <c r="F304" s="368"/>
      <c r="G304" s="77">
        <f t="shared" si="11"/>
        <v>0</v>
      </c>
      <c r="H304" s="77">
        <f t="shared" si="13"/>
        <v>0</v>
      </c>
      <c r="I304" s="257">
        <f t="shared" si="12"/>
        <v>0</v>
      </c>
    </row>
    <row r="305" spans="1:11" s="78" customFormat="1" ht="24.95" customHeight="1">
      <c r="A305" s="75"/>
      <c r="B305" s="356" t="s">
        <v>1100</v>
      </c>
      <c r="C305" s="371"/>
      <c r="D305" s="371">
        <v>0</v>
      </c>
      <c r="E305" s="372"/>
      <c r="F305" s="368"/>
      <c r="G305" s="77">
        <f t="shared" si="11"/>
        <v>0</v>
      </c>
      <c r="H305" s="77">
        <f t="shared" si="13"/>
        <v>0</v>
      </c>
      <c r="I305" s="257">
        <f t="shared" si="12"/>
        <v>0</v>
      </c>
    </row>
    <row r="306" spans="1:11" s="78" customFormat="1" ht="24.95" customHeight="1">
      <c r="A306" s="75"/>
      <c r="B306" s="356" t="s">
        <v>1101</v>
      </c>
      <c r="C306" s="371">
        <v>8</v>
      </c>
      <c r="D306" s="371">
        <v>1</v>
      </c>
      <c r="E306" s="372">
        <v>5.3000000000000007</v>
      </c>
      <c r="F306" s="368">
        <v>5</v>
      </c>
      <c r="G306" s="77">
        <f t="shared" si="11"/>
        <v>26.500000000000004</v>
      </c>
      <c r="H306" s="77">
        <f t="shared" si="13"/>
        <v>0.39506172839506171</v>
      </c>
      <c r="I306" s="257">
        <f t="shared" si="12"/>
        <v>10.469135802469136</v>
      </c>
      <c r="K306" s="220"/>
    </row>
    <row r="307" spans="1:11" s="78" customFormat="1" ht="24.95" customHeight="1">
      <c r="A307" s="75"/>
      <c r="B307" s="373" t="s">
        <v>1174</v>
      </c>
      <c r="C307" s="371">
        <v>8</v>
      </c>
      <c r="D307" s="76">
        <v>1</v>
      </c>
      <c r="E307" s="372">
        <v>0.57999999999999996</v>
      </c>
      <c r="F307" s="368">
        <v>35</v>
      </c>
      <c r="G307" s="77">
        <f t="shared" si="11"/>
        <v>20.299999999999997</v>
      </c>
      <c r="H307" s="77">
        <f>+C307*C307/162</f>
        <v>0.39506172839506171</v>
      </c>
      <c r="I307" s="257">
        <f t="shared" si="12"/>
        <v>8.019753086419751</v>
      </c>
      <c r="K307" s="220"/>
    </row>
    <row r="308" spans="1:11" s="78" customFormat="1" ht="24.95" customHeight="1">
      <c r="A308" s="75"/>
      <c r="B308" s="356" t="s">
        <v>1081</v>
      </c>
      <c r="C308" s="371"/>
      <c r="D308" s="371">
        <v>0</v>
      </c>
      <c r="E308" s="372"/>
      <c r="F308" s="368"/>
      <c r="G308" s="77">
        <f t="shared" si="11"/>
        <v>0</v>
      </c>
      <c r="H308" s="77">
        <f t="shared" si="13"/>
        <v>0</v>
      </c>
      <c r="I308" s="257">
        <f t="shared" si="12"/>
        <v>0</v>
      </c>
    </row>
    <row r="309" spans="1:11" s="78" customFormat="1" ht="24.95" customHeight="1">
      <c r="A309" s="75"/>
      <c r="B309" s="356" t="s">
        <v>1051</v>
      </c>
      <c r="C309" s="371">
        <v>8</v>
      </c>
      <c r="D309" s="371">
        <v>4</v>
      </c>
      <c r="E309" s="372">
        <v>1.4</v>
      </c>
      <c r="F309" s="368">
        <v>4</v>
      </c>
      <c r="G309" s="77">
        <f t="shared" si="11"/>
        <v>22.4</v>
      </c>
      <c r="H309" s="77">
        <f t="shared" si="13"/>
        <v>0.39506172839506171</v>
      </c>
      <c r="I309" s="257">
        <f t="shared" si="12"/>
        <v>8.8493827160493819</v>
      </c>
      <c r="K309" s="220"/>
    </row>
    <row r="310" spans="1:11" s="78" customFormat="1" ht="24.95" customHeight="1">
      <c r="A310" s="75"/>
      <c r="B310" s="373" t="s">
        <v>1174</v>
      </c>
      <c r="C310" s="371">
        <v>8</v>
      </c>
      <c r="D310" s="76">
        <v>1</v>
      </c>
      <c r="E310" s="372">
        <v>0.57999999999999996</v>
      </c>
      <c r="F310" s="368">
        <v>9</v>
      </c>
      <c r="G310" s="77">
        <f t="shared" si="11"/>
        <v>5.22</v>
      </c>
      <c r="H310" s="77">
        <f t="shared" si="13"/>
        <v>0.39506172839506171</v>
      </c>
      <c r="I310" s="257">
        <f t="shared" si="12"/>
        <v>2.0622222222222222</v>
      </c>
      <c r="K310" s="220"/>
    </row>
    <row r="311" spans="1:11" s="78" customFormat="1" ht="24.95" customHeight="1">
      <c r="A311" s="75"/>
      <c r="B311" s="356" t="s">
        <v>1082</v>
      </c>
      <c r="C311" s="371"/>
      <c r="D311" s="371">
        <v>0</v>
      </c>
      <c r="E311" s="372"/>
      <c r="F311" s="368"/>
      <c r="G311" s="77">
        <f t="shared" si="11"/>
        <v>0</v>
      </c>
      <c r="H311" s="77">
        <f t="shared" si="13"/>
        <v>0</v>
      </c>
      <c r="I311" s="257">
        <f t="shared" si="12"/>
        <v>0</v>
      </c>
    </row>
    <row r="312" spans="1:11" s="78" customFormat="1" ht="24.95" customHeight="1">
      <c r="A312" s="75"/>
      <c r="B312" s="356" t="s">
        <v>1051</v>
      </c>
      <c r="C312" s="371">
        <v>8</v>
      </c>
      <c r="D312" s="76">
        <v>3</v>
      </c>
      <c r="E312" s="77">
        <v>1.4</v>
      </c>
      <c r="F312" s="368">
        <v>4</v>
      </c>
      <c r="G312" s="77">
        <f t="shared" si="11"/>
        <v>16.799999999999997</v>
      </c>
      <c r="H312" s="77">
        <f t="shared" si="13"/>
        <v>0.39506172839506171</v>
      </c>
      <c r="I312" s="257">
        <f t="shared" si="12"/>
        <v>6.637037037037036</v>
      </c>
      <c r="K312" s="220"/>
    </row>
    <row r="313" spans="1:11" s="78" customFormat="1" ht="24.95" customHeight="1">
      <c r="A313" s="75"/>
      <c r="B313" s="373" t="s">
        <v>1174</v>
      </c>
      <c r="C313" s="371">
        <v>8</v>
      </c>
      <c r="D313" s="76">
        <v>3</v>
      </c>
      <c r="E313" s="372">
        <v>0.57999999999999996</v>
      </c>
      <c r="F313" s="368">
        <v>9</v>
      </c>
      <c r="G313" s="77">
        <f t="shared" si="11"/>
        <v>15.66</v>
      </c>
      <c r="H313" s="77">
        <f>+C313*C313/162</f>
        <v>0.39506172839506171</v>
      </c>
      <c r="I313" s="257">
        <f t="shared" si="12"/>
        <v>6.1866666666666665</v>
      </c>
      <c r="K313" s="220"/>
    </row>
    <row r="314" spans="1:11" s="78" customFormat="1" ht="24.95" customHeight="1">
      <c r="A314" s="75"/>
      <c r="B314" s="356" t="s">
        <v>1083</v>
      </c>
      <c r="C314" s="371">
        <v>8</v>
      </c>
      <c r="D314" s="76">
        <v>1</v>
      </c>
      <c r="E314" s="77">
        <v>1.4</v>
      </c>
      <c r="F314" s="368">
        <v>4</v>
      </c>
      <c r="G314" s="77">
        <f t="shared" si="11"/>
        <v>5.6</v>
      </c>
      <c r="H314" s="77">
        <f t="shared" si="13"/>
        <v>0.39506172839506171</v>
      </c>
      <c r="I314" s="257">
        <f t="shared" si="12"/>
        <v>2.2123456790123455</v>
      </c>
      <c r="K314" s="220"/>
    </row>
    <row r="315" spans="1:11" s="78" customFormat="1" ht="24.95" customHeight="1">
      <c r="A315" s="75"/>
      <c r="B315" s="373" t="s">
        <v>1174</v>
      </c>
      <c r="C315" s="371">
        <v>8</v>
      </c>
      <c r="D315" s="76">
        <v>1</v>
      </c>
      <c r="E315" s="372">
        <v>0.57999999999999996</v>
      </c>
      <c r="F315" s="368">
        <v>9</v>
      </c>
      <c r="G315" s="77">
        <f t="shared" si="11"/>
        <v>5.22</v>
      </c>
      <c r="H315" s="77">
        <f t="shared" si="13"/>
        <v>0.39506172839506171</v>
      </c>
      <c r="I315" s="257">
        <f t="shared" si="12"/>
        <v>2.0622222222222222</v>
      </c>
      <c r="K315" s="220"/>
    </row>
    <row r="316" spans="1:11" s="78" customFormat="1" ht="24.95" customHeight="1">
      <c r="A316" s="75"/>
      <c r="B316" s="362" t="s">
        <v>1102</v>
      </c>
      <c r="C316" s="76"/>
      <c r="D316" s="76">
        <v>0</v>
      </c>
      <c r="E316" s="77"/>
      <c r="F316" s="368"/>
      <c r="G316" s="77">
        <f t="shared" si="11"/>
        <v>0</v>
      </c>
      <c r="H316" s="77">
        <f t="shared" si="13"/>
        <v>0</v>
      </c>
      <c r="I316" s="257">
        <f t="shared" si="12"/>
        <v>0</v>
      </c>
    </row>
    <row r="317" spans="1:11" s="78" customFormat="1" ht="24.95" customHeight="1">
      <c r="A317" s="75"/>
      <c r="B317" s="373" t="s">
        <v>1085</v>
      </c>
      <c r="C317" s="371"/>
      <c r="D317" s="371">
        <v>0</v>
      </c>
      <c r="E317" s="372"/>
      <c r="F317" s="368"/>
      <c r="G317" s="77">
        <f t="shared" si="11"/>
        <v>0</v>
      </c>
      <c r="H317" s="77">
        <f t="shared" si="13"/>
        <v>0</v>
      </c>
      <c r="I317" s="257">
        <f t="shared" si="12"/>
        <v>0</v>
      </c>
    </row>
    <row r="318" spans="1:11" s="78" customFormat="1" ht="24.95" customHeight="1">
      <c r="A318" s="75"/>
      <c r="B318" s="373" t="s">
        <v>941</v>
      </c>
      <c r="C318" s="371">
        <v>8</v>
      </c>
      <c r="D318" s="371">
        <v>1</v>
      </c>
      <c r="E318" s="372">
        <v>1.4</v>
      </c>
      <c r="F318" s="368">
        <v>4</v>
      </c>
      <c r="G318" s="77">
        <f t="shared" si="11"/>
        <v>5.6</v>
      </c>
      <c r="H318" s="77">
        <f t="shared" si="13"/>
        <v>0.39506172839506171</v>
      </c>
      <c r="I318" s="257">
        <f t="shared" si="12"/>
        <v>2.2123456790123455</v>
      </c>
      <c r="K318" s="220"/>
    </row>
    <row r="319" spans="1:11" s="78" customFormat="1" ht="24.95" customHeight="1">
      <c r="A319" s="75"/>
      <c r="B319" s="373" t="s">
        <v>1174</v>
      </c>
      <c r="C319" s="371">
        <v>8</v>
      </c>
      <c r="D319" s="76">
        <v>1</v>
      </c>
      <c r="E319" s="372">
        <v>0.57999999999999996</v>
      </c>
      <c r="F319" s="368">
        <v>9</v>
      </c>
      <c r="G319" s="77">
        <f t="shared" si="11"/>
        <v>5.22</v>
      </c>
      <c r="H319" s="77">
        <f>+C319*C319/162</f>
        <v>0.39506172839506171</v>
      </c>
      <c r="I319" s="257">
        <f t="shared" si="12"/>
        <v>2.0622222222222222</v>
      </c>
      <c r="K319" s="220"/>
    </row>
    <row r="320" spans="1:11" s="78" customFormat="1" ht="24.95" customHeight="1">
      <c r="A320" s="75"/>
      <c r="B320" s="356" t="s">
        <v>1086</v>
      </c>
      <c r="C320" s="76"/>
      <c r="D320" s="76">
        <v>0</v>
      </c>
      <c r="E320" s="77"/>
      <c r="F320" s="368"/>
      <c r="G320" s="77">
        <f t="shared" si="11"/>
        <v>0</v>
      </c>
      <c r="H320" s="77">
        <f t="shared" si="13"/>
        <v>0</v>
      </c>
      <c r="I320" s="257">
        <f t="shared" si="12"/>
        <v>0</v>
      </c>
    </row>
    <row r="321" spans="1:11" s="78" customFormat="1" ht="24.95" customHeight="1">
      <c r="A321" s="75"/>
      <c r="B321" s="374" t="s">
        <v>943</v>
      </c>
      <c r="C321" s="371">
        <v>8</v>
      </c>
      <c r="D321" s="76">
        <v>7</v>
      </c>
      <c r="E321" s="77">
        <v>1.4</v>
      </c>
      <c r="F321" s="368">
        <v>4</v>
      </c>
      <c r="G321" s="77">
        <f t="shared" si="11"/>
        <v>39.199999999999996</v>
      </c>
      <c r="H321" s="77">
        <f t="shared" si="13"/>
        <v>0.39506172839506171</v>
      </c>
      <c r="I321" s="257">
        <f t="shared" si="12"/>
        <v>15.486419753086418</v>
      </c>
      <c r="K321" s="220"/>
    </row>
    <row r="322" spans="1:11" s="78" customFormat="1" ht="24.95" customHeight="1">
      <c r="A322" s="75"/>
      <c r="B322" s="373" t="s">
        <v>1174</v>
      </c>
      <c r="C322" s="371">
        <v>8</v>
      </c>
      <c r="D322" s="76">
        <v>7</v>
      </c>
      <c r="E322" s="372">
        <v>0.57999999999999996</v>
      </c>
      <c r="F322" s="368">
        <v>9</v>
      </c>
      <c r="G322" s="77">
        <f t="shared" si="11"/>
        <v>36.54</v>
      </c>
      <c r="H322" s="77">
        <f t="shared" si="13"/>
        <v>0.39506172839506171</v>
      </c>
      <c r="I322" s="257">
        <f t="shared" si="12"/>
        <v>14.435555555555554</v>
      </c>
      <c r="K322" s="220"/>
    </row>
    <row r="323" spans="1:11" s="78" customFormat="1" ht="24.95" customHeight="1">
      <c r="A323" s="75"/>
      <c r="B323" s="356" t="s">
        <v>1087</v>
      </c>
      <c r="C323" s="76"/>
      <c r="D323" s="76">
        <v>0</v>
      </c>
      <c r="E323" s="77"/>
      <c r="F323" s="368"/>
      <c r="G323" s="77">
        <f t="shared" si="11"/>
        <v>0</v>
      </c>
      <c r="H323" s="77">
        <f t="shared" si="13"/>
        <v>0</v>
      </c>
      <c r="I323" s="257">
        <f t="shared" si="12"/>
        <v>0</v>
      </c>
    </row>
    <row r="324" spans="1:11" s="78" customFormat="1" ht="24.95" customHeight="1">
      <c r="A324" s="75"/>
      <c r="B324" s="356" t="s">
        <v>946</v>
      </c>
      <c r="C324" s="371">
        <v>8</v>
      </c>
      <c r="D324" s="76">
        <v>1</v>
      </c>
      <c r="E324" s="77">
        <v>3.25</v>
      </c>
      <c r="F324" s="368">
        <v>4</v>
      </c>
      <c r="G324" s="77">
        <f t="shared" si="11"/>
        <v>13</v>
      </c>
      <c r="H324" s="77">
        <f t="shared" si="13"/>
        <v>0.39506172839506171</v>
      </c>
      <c r="I324" s="257">
        <f t="shared" si="12"/>
        <v>5.1358024691358022</v>
      </c>
      <c r="K324" s="220"/>
    </row>
    <row r="325" spans="1:11" s="78" customFormat="1" ht="24.95" customHeight="1">
      <c r="A325" s="75"/>
      <c r="B325" s="373" t="s">
        <v>1174</v>
      </c>
      <c r="C325" s="371">
        <v>8</v>
      </c>
      <c r="D325" s="76">
        <v>1</v>
      </c>
      <c r="E325" s="372">
        <v>0.57999999999999996</v>
      </c>
      <c r="F325" s="368">
        <v>9</v>
      </c>
      <c r="G325" s="77">
        <f t="shared" si="11"/>
        <v>5.22</v>
      </c>
      <c r="H325" s="77">
        <f>+C325*C325/162</f>
        <v>0.39506172839506171</v>
      </c>
      <c r="I325" s="257">
        <f t="shared" si="12"/>
        <v>2.0622222222222222</v>
      </c>
      <c r="K325" s="220"/>
    </row>
    <row r="326" spans="1:11" s="78" customFormat="1" ht="24.95" customHeight="1">
      <c r="A326" s="75"/>
      <c r="B326" s="356" t="s">
        <v>1088</v>
      </c>
      <c r="C326" s="76"/>
      <c r="D326" s="76">
        <v>0</v>
      </c>
      <c r="E326" s="77"/>
      <c r="F326" s="368"/>
      <c r="G326" s="77">
        <f t="shared" si="11"/>
        <v>0</v>
      </c>
      <c r="H326" s="77">
        <f t="shared" si="13"/>
        <v>0</v>
      </c>
      <c r="I326" s="257">
        <f t="shared" si="12"/>
        <v>0</v>
      </c>
    </row>
    <row r="327" spans="1:11" s="78" customFormat="1" ht="24.95" customHeight="1">
      <c r="A327" s="75"/>
      <c r="B327" s="356" t="s">
        <v>948</v>
      </c>
      <c r="C327" s="371">
        <v>8</v>
      </c>
      <c r="D327" s="76">
        <v>4</v>
      </c>
      <c r="E327" s="77">
        <v>1.4</v>
      </c>
      <c r="F327" s="368">
        <v>4</v>
      </c>
      <c r="G327" s="77">
        <f t="shared" si="11"/>
        <v>22.4</v>
      </c>
      <c r="H327" s="77">
        <f t="shared" si="13"/>
        <v>0.39506172839506171</v>
      </c>
      <c r="I327" s="257">
        <f t="shared" si="12"/>
        <v>8.8493827160493819</v>
      </c>
      <c r="K327" s="220"/>
    </row>
    <row r="328" spans="1:11" s="78" customFormat="1" ht="24.95" customHeight="1">
      <c r="A328" s="75"/>
      <c r="B328" s="373" t="s">
        <v>1174</v>
      </c>
      <c r="C328" s="371">
        <v>8</v>
      </c>
      <c r="D328" s="76">
        <v>4</v>
      </c>
      <c r="E328" s="372">
        <v>0.57999999999999996</v>
      </c>
      <c r="F328" s="368">
        <v>9</v>
      </c>
      <c r="G328" s="77">
        <f t="shared" ref="G328:G388" si="14">+F328*E328*D328</f>
        <v>20.88</v>
      </c>
      <c r="H328" s="77">
        <f t="shared" si="13"/>
        <v>0.39506172839506171</v>
      </c>
      <c r="I328" s="257">
        <f t="shared" ref="I328:I388" si="15">+H328*G328</f>
        <v>8.2488888888888887</v>
      </c>
      <c r="K328" s="220"/>
    </row>
    <row r="329" spans="1:11" s="78" customFormat="1" ht="24.95" customHeight="1">
      <c r="A329" s="75"/>
      <c r="B329" s="356" t="s">
        <v>949</v>
      </c>
      <c r="C329" s="371">
        <v>8</v>
      </c>
      <c r="D329" s="76">
        <v>1</v>
      </c>
      <c r="E329" s="77">
        <v>1.4</v>
      </c>
      <c r="F329" s="368">
        <v>4</v>
      </c>
      <c r="G329" s="77">
        <f t="shared" si="14"/>
        <v>5.6</v>
      </c>
      <c r="H329" s="77">
        <f t="shared" si="13"/>
        <v>0.39506172839506171</v>
      </c>
      <c r="I329" s="257">
        <f t="shared" si="15"/>
        <v>2.2123456790123455</v>
      </c>
      <c r="K329" s="220"/>
    </row>
    <row r="330" spans="1:11" s="78" customFormat="1" ht="24.95" customHeight="1">
      <c r="A330" s="75"/>
      <c r="B330" s="373" t="s">
        <v>1174</v>
      </c>
      <c r="C330" s="371">
        <v>8</v>
      </c>
      <c r="D330" s="76">
        <v>1</v>
      </c>
      <c r="E330" s="372">
        <v>0.57999999999999996</v>
      </c>
      <c r="F330" s="368">
        <v>9</v>
      </c>
      <c r="G330" s="77">
        <f t="shared" si="14"/>
        <v>5.22</v>
      </c>
      <c r="H330" s="77">
        <f>+C330*C330/162</f>
        <v>0.39506172839506171</v>
      </c>
      <c r="I330" s="257">
        <f t="shared" si="15"/>
        <v>2.0622222222222222</v>
      </c>
      <c r="K330" s="220"/>
    </row>
    <row r="331" spans="1:11" s="78" customFormat="1" ht="24.95" customHeight="1">
      <c r="A331" s="75"/>
      <c r="B331" s="356" t="s">
        <v>950</v>
      </c>
      <c r="C331" s="76"/>
      <c r="D331" s="76">
        <v>0</v>
      </c>
      <c r="E331" s="77"/>
      <c r="F331" s="368"/>
      <c r="G331" s="77">
        <f t="shared" si="14"/>
        <v>0</v>
      </c>
      <c r="H331" s="77">
        <f t="shared" si="13"/>
        <v>0</v>
      </c>
      <c r="I331" s="257">
        <f t="shared" si="15"/>
        <v>0</v>
      </c>
    </row>
    <row r="332" spans="1:11" s="78" customFormat="1" ht="24.95" customHeight="1">
      <c r="A332" s="75"/>
      <c r="B332" s="356" t="s">
        <v>951</v>
      </c>
      <c r="C332" s="371">
        <v>8</v>
      </c>
      <c r="D332" s="76">
        <v>1</v>
      </c>
      <c r="E332" s="77">
        <v>1.4</v>
      </c>
      <c r="F332" s="368">
        <v>4</v>
      </c>
      <c r="G332" s="77">
        <f t="shared" si="14"/>
        <v>5.6</v>
      </c>
      <c r="H332" s="77">
        <f t="shared" si="13"/>
        <v>0.39506172839506171</v>
      </c>
      <c r="I332" s="257">
        <f t="shared" si="15"/>
        <v>2.2123456790123455</v>
      </c>
      <c r="K332" s="220"/>
    </row>
    <row r="333" spans="1:11" s="78" customFormat="1" ht="24.95" customHeight="1">
      <c r="A333" s="75"/>
      <c r="B333" s="373" t="s">
        <v>1174</v>
      </c>
      <c r="C333" s="371">
        <v>8</v>
      </c>
      <c r="D333" s="76">
        <v>1</v>
      </c>
      <c r="E333" s="372">
        <v>0.57999999999999996</v>
      </c>
      <c r="F333" s="368">
        <v>9</v>
      </c>
      <c r="G333" s="77">
        <f t="shared" si="14"/>
        <v>5.22</v>
      </c>
      <c r="H333" s="77">
        <f t="shared" si="13"/>
        <v>0.39506172839506171</v>
      </c>
      <c r="I333" s="257">
        <f t="shared" si="15"/>
        <v>2.0622222222222222</v>
      </c>
      <c r="K333" s="220"/>
    </row>
    <row r="334" spans="1:11" s="78" customFormat="1" ht="24.95" customHeight="1">
      <c r="A334" s="75"/>
      <c r="B334" s="356" t="s">
        <v>952</v>
      </c>
      <c r="C334" s="76"/>
      <c r="D334" s="76">
        <v>0</v>
      </c>
      <c r="E334" s="77"/>
      <c r="F334" s="368"/>
      <c r="G334" s="77">
        <f t="shared" si="14"/>
        <v>0</v>
      </c>
      <c r="H334" s="77">
        <f t="shared" si="13"/>
        <v>0</v>
      </c>
      <c r="I334" s="257">
        <f t="shared" si="15"/>
        <v>0</v>
      </c>
    </row>
    <row r="335" spans="1:11" s="78" customFormat="1" ht="24.95" customHeight="1">
      <c r="A335" s="75"/>
      <c r="B335" s="356" t="s">
        <v>953</v>
      </c>
      <c r="C335" s="371">
        <v>8</v>
      </c>
      <c r="D335" s="76">
        <v>1</v>
      </c>
      <c r="E335" s="77">
        <v>1.6</v>
      </c>
      <c r="F335" s="368">
        <v>5</v>
      </c>
      <c r="G335" s="77">
        <f t="shared" si="14"/>
        <v>8</v>
      </c>
      <c r="H335" s="77">
        <f t="shared" si="13"/>
        <v>0.39506172839506171</v>
      </c>
      <c r="I335" s="257">
        <f t="shared" si="15"/>
        <v>3.1604938271604937</v>
      </c>
      <c r="K335" s="220"/>
    </row>
    <row r="336" spans="1:11" s="78" customFormat="1" ht="24.95" customHeight="1">
      <c r="A336" s="75"/>
      <c r="B336" s="373" t="s">
        <v>1174</v>
      </c>
      <c r="C336" s="371">
        <v>8</v>
      </c>
      <c r="D336" s="76">
        <v>1</v>
      </c>
      <c r="E336" s="372">
        <v>0.57999999999999996</v>
      </c>
      <c r="F336" s="368">
        <v>11</v>
      </c>
      <c r="G336" s="77">
        <f t="shared" si="14"/>
        <v>6.38</v>
      </c>
      <c r="H336" s="77">
        <f>+C336*C336/162</f>
        <v>0.39506172839506171</v>
      </c>
      <c r="I336" s="257">
        <f t="shared" si="15"/>
        <v>2.5204938271604935</v>
      </c>
      <c r="K336" s="220"/>
    </row>
    <row r="337" spans="1:11" s="78" customFormat="1" ht="24.95" customHeight="1">
      <c r="A337" s="75"/>
      <c r="B337" s="356" t="s">
        <v>954</v>
      </c>
      <c r="C337" s="76"/>
      <c r="D337" s="76">
        <v>0</v>
      </c>
      <c r="E337" s="77"/>
      <c r="F337" s="368"/>
      <c r="G337" s="77">
        <f t="shared" si="14"/>
        <v>0</v>
      </c>
      <c r="H337" s="77">
        <f t="shared" si="13"/>
        <v>0</v>
      </c>
      <c r="I337" s="257">
        <f t="shared" si="15"/>
        <v>0</v>
      </c>
    </row>
    <row r="338" spans="1:11" s="78" customFormat="1" ht="24.95" customHeight="1">
      <c r="A338" s="75"/>
      <c r="B338" s="356" t="s">
        <v>955</v>
      </c>
      <c r="C338" s="371"/>
      <c r="D338" s="371">
        <v>0</v>
      </c>
      <c r="E338" s="372"/>
      <c r="F338" s="368"/>
      <c r="G338" s="77">
        <f t="shared" si="14"/>
        <v>0</v>
      </c>
      <c r="H338" s="77">
        <f t="shared" si="13"/>
        <v>0</v>
      </c>
      <c r="I338" s="257">
        <f t="shared" si="15"/>
        <v>0</v>
      </c>
    </row>
    <row r="339" spans="1:11" s="78" customFormat="1" ht="24.95" customHeight="1">
      <c r="A339" s="75"/>
      <c r="B339" s="356" t="s">
        <v>953</v>
      </c>
      <c r="C339" s="371">
        <v>8</v>
      </c>
      <c r="D339" s="371">
        <v>1</v>
      </c>
      <c r="E339" s="372">
        <v>1.6</v>
      </c>
      <c r="F339" s="368">
        <v>5</v>
      </c>
      <c r="G339" s="77">
        <f t="shared" si="14"/>
        <v>8</v>
      </c>
      <c r="H339" s="77">
        <f t="shared" si="13"/>
        <v>0.39506172839506171</v>
      </c>
      <c r="I339" s="257">
        <f t="shared" si="15"/>
        <v>3.1604938271604937</v>
      </c>
      <c r="K339" s="220"/>
    </row>
    <row r="340" spans="1:11" s="78" customFormat="1" ht="24.95" customHeight="1">
      <c r="A340" s="75"/>
      <c r="B340" s="373" t="s">
        <v>1174</v>
      </c>
      <c r="C340" s="371">
        <v>8</v>
      </c>
      <c r="D340" s="76">
        <v>1</v>
      </c>
      <c r="E340" s="372">
        <v>0.57999999999999996</v>
      </c>
      <c r="F340" s="368">
        <v>11</v>
      </c>
      <c r="G340" s="77">
        <f t="shared" si="14"/>
        <v>6.38</v>
      </c>
      <c r="H340" s="77">
        <f t="shared" si="13"/>
        <v>0.39506172839506171</v>
      </c>
      <c r="I340" s="257">
        <f t="shared" si="15"/>
        <v>2.5204938271604935</v>
      </c>
      <c r="K340" s="220"/>
    </row>
    <row r="341" spans="1:11" s="78" customFormat="1" ht="24.95" customHeight="1">
      <c r="A341" s="75"/>
      <c r="B341" s="356" t="s">
        <v>956</v>
      </c>
      <c r="C341" s="371">
        <v>8</v>
      </c>
      <c r="D341" s="371">
        <v>1</v>
      </c>
      <c r="E341" s="372">
        <v>1.3</v>
      </c>
      <c r="F341" s="368">
        <v>4</v>
      </c>
      <c r="G341" s="77">
        <f t="shared" si="14"/>
        <v>5.2</v>
      </c>
      <c r="H341" s="77">
        <f t="shared" si="13"/>
        <v>0.39506172839506171</v>
      </c>
      <c r="I341" s="257">
        <f t="shared" si="15"/>
        <v>2.0543209876543211</v>
      </c>
      <c r="K341" s="220"/>
    </row>
    <row r="342" spans="1:11" s="78" customFormat="1" ht="24.95" customHeight="1">
      <c r="A342" s="75"/>
      <c r="B342" s="373" t="s">
        <v>1174</v>
      </c>
      <c r="C342" s="371">
        <v>8</v>
      </c>
      <c r="D342" s="76">
        <v>1</v>
      </c>
      <c r="E342" s="372">
        <v>0.57999999999999996</v>
      </c>
      <c r="F342" s="368">
        <v>9</v>
      </c>
      <c r="G342" s="77">
        <f t="shared" si="14"/>
        <v>5.22</v>
      </c>
      <c r="H342" s="77">
        <f>+C342*C342/162</f>
        <v>0.39506172839506171</v>
      </c>
      <c r="I342" s="257">
        <f t="shared" si="15"/>
        <v>2.0622222222222222</v>
      </c>
      <c r="K342" s="220"/>
    </row>
    <row r="343" spans="1:11" s="78" customFormat="1" ht="24.95" customHeight="1">
      <c r="A343" s="75"/>
      <c r="B343" s="356" t="s">
        <v>1103</v>
      </c>
      <c r="C343" s="371"/>
      <c r="D343" s="371">
        <v>0</v>
      </c>
      <c r="E343" s="372"/>
      <c r="F343" s="368"/>
      <c r="G343" s="77">
        <f t="shared" si="14"/>
        <v>0</v>
      </c>
      <c r="H343" s="77">
        <f t="shared" si="13"/>
        <v>0</v>
      </c>
      <c r="I343" s="257">
        <f t="shared" si="15"/>
        <v>0</v>
      </c>
    </row>
    <row r="344" spans="1:11" s="78" customFormat="1" ht="24.95" customHeight="1">
      <c r="A344" s="75"/>
      <c r="B344" s="356" t="s">
        <v>1104</v>
      </c>
      <c r="C344" s="76"/>
      <c r="D344" s="76">
        <v>0</v>
      </c>
      <c r="E344" s="77"/>
      <c r="F344" s="368"/>
      <c r="G344" s="77">
        <f t="shared" si="14"/>
        <v>0</v>
      </c>
      <c r="H344" s="77">
        <f t="shared" si="13"/>
        <v>0</v>
      </c>
      <c r="I344" s="257">
        <f t="shared" si="15"/>
        <v>0</v>
      </c>
    </row>
    <row r="345" spans="1:11" s="78" customFormat="1" ht="24.95" customHeight="1">
      <c r="A345" s="75"/>
      <c r="B345" s="356" t="s">
        <v>963</v>
      </c>
      <c r="C345" s="371">
        <v>8</v>
      </c>
      <c r="D345" s="76">
        <v>1</v>
      </c>
      <c r="E345" s="77">
        <v>1.2000000000000002</v>
      </c>
      <c r="F345" s="368">
        <v>4</v>
      </c>
      <c r="G345" s="77">
        <f t="shared" si="14"/>
        <v>4.8000000000000007</v>
      </c>
      <c r="H345" s="77">
        <f t="shared" si="13"/>
        <v>0.39506172839506171</v>
      </c>
      <c r="I345" s="257">
        <f t="shared" si="15"/>
        <v>1.8962962962962964</v>
      </c>
      <c r="K345" s="220"/>
    </row>
    <row r="346" spans="1:11" s="78" customFormat="1" ht="24.95" customHeight="1">
      <c r="A346" s="75"/>
      <c r="B346" s="373" t="s">
        <v>1174</v>
      </c>
      <c r="C346" s="371">
        <v>8</v>
      </c>
      <c r="D346" s="76">
        <v>1</v>
      </c>
      <c r="E346" s="372">
        <v>0.57999999999999996</v>
      </c>
      <c r="F346" s="368">
        <v>8</v>
      </c>
      <c r="G346" s="77">
        <f t="shared" si="14"/>
        <v>4.6399999999999997</v>
      </c>
      <c r="H346" s="77">
        <f t="shared" si="13"/>
        <v>0.39506172839506171</v>
      </c>
      <c r="I346" s="257">
        <f t="shared" si="15"/>
        <v>1.8330864197530863</v>
      </c>
      <c r="K346" s="220"/>
    </row>
    <row r="347" spans="1:11" s="78" customFormat="1" ht="24.95" customHeight="1">
      <c r="A347" s="75"/>
      <c r="B347" s="356" t="s">
        <v>964</v>
      </c>
      <c r="C347" s="371">
        <v>8</v>
      </c>
      <c r="D347" s="76">
        <v>2</v>
      </c>
      <c r="E347" s="77">
        <v>1.6</v>
      </c>
      <c r="F347" s="368">
        <v>5</v>
      </c>
      <c r="G347" s="77">
        <f t="shared" si="14"/>
        <v>16</v>
      </c>
      <c r="H347" s="77">
        <f t="shared" si="13"/>
        <v>0.39506172839506171</v>
      </c>
      <c r="I347" s="257">
        <f t="shared" si="15"/>
        <v>6.3209876543209873</v>
      </c>
      <c r="K347" s="220"/>
    </row>
    <row r="348" spans="1:11" s="78" customFormat="1" ht="24.95" customHeight="1">
      <c r="A348" s="75"/>
      <c r="B348" s="373" t="s">
        <v>1174</v>
      </c>
      <c r="C348" s="371">
        <v>8</v>
      </c>
      <c r="D348" s="76">
        <v>2</v>
      </c>
      <c r="E348" s="372">
        <v>0.57999999999999996</v>
      </c>
      <c r="F348" s="368">
        <v>11</v>
      </c>
      <c r="G348" s="77">
        <f t="shared" si="14"/>
        <v>12.76</v>
      </c>
      <c r="H348" s="77">
        <f>+C348*C348/162</f>
        <v>0.39506172839506171</v>
      </c>
      <c r="I348" s="257">
        <f t="shared" si="15"/>
        <v>5.0409876543209871</v>
      </c>
      <c r="K348" s="220"/>
    </row>
    <row r="349" spans="1:11" s="78" customFormat="1" ht="24.95" customHeight="1">
      <c r="A349" s="75"/>
      <c r="B349" s="356" t="s">
        <v>1105</v>
      </c>
      <c r="C349" s="76"/>
      <c r="D349" s="76">
        <v>0</v>
      </c>
      <c r="E349" s="77"/>
      <c r="F349" s="368"/>
      <c r="G349" s="77">
        <f t="shared" si="14"/>
        <v>0</v>
      </c>
      <c r="H349" s="77">
        <f t="shared" si="13"/>
        <v>0</v>
      </c>
      <c r="I349" s="257">
        <f t="shared" si="15"/>
        <v>0</v>
      </c>
    </row>
    <row r="350" spans="1:11" s="78" customFormat="1" ht="24.95" customHeight="1">
      <c r="A350" s="75"/>
      <c r="B350" s="356" t="s">
        <v>966</v>
      </c>
      <c r="C350" s="371">
        <v>8</v>
      </c>
      <c r="D350" s="76">
        <v>2</v>
      </c>
      <c r="E350" s="77">
        <v>1.4</v>
      </c>
      <c r="F350" s="368">
        <v>4</v>
      </c>
      <c r="G350" s="77">
        <f t="shared" si="14"/>
        <v>11.2</v>
      </c>
      <c r="H350" s="77">
        <f t="shared" si="13"/>
        <v>0.39506172839506171</v>
      </c>
      <c r="I350" s="257">
        <f t="shared" si="15"/>
        <v>4.4246913580246909</v>
      </c>
      <c r="K350" s="220"/>
    </row>
    <row r="351" spans="1:11" s="78" customFormat="1" ht="24.95" customHeight="1">
      <c r="A351" s="75"/>
      <c r="B351" s="373" t="s">
        <v>1174</v>
      </c>
      <c r="C351" s="371">
        <v>8</v>
      </c>
      <c r="D351" s="76">
        <v>2</v>
      </c>
      <c r="E351" s="372">
        <v>0.57999999999999996</v>
      </c>
      <c r="F351" s="368">
        <v>9</v>
      </c>
      <c r="G351" s="77">
        <f t="shared" si="14"/>
        <v>10.44</v>
      </c>
      <c r="H351" s="77">
        <f t="shared" si="13"/>
        <v>0.39506172839506171</v>
      </c>
      <c r="I351" s="257">
        <f t="shared" si="15"/>
        <v>4.1244444444444444</v>
      </c>
      <c r="K351" s="220"/>
    </row>
    <row r="352" spans="1:11" s="78" customFormat="1" ht="24.95" customHeight="1">
      <c r="A352" s="266"/>
      <c r="B352" s="362" t="s">
        <v>1109</v>
      </c>
      <c r="C352" s="76"/>
      <c r="D352" s="76">
        <v>0</v>
      </c>
      <c r="E352" s="77"/>
      <c r="F352" s="368"/>
      <c r="G352" s="77">
        <f t="shared" si="14"/>
        <v>0</v>
      </c>
      <c r="H352" s="77">
        <f t="shared" si="13"/>
        <v>0</v>
      </c>
      <c r="I352" s="257">
        <f t="shared" si="15"/>
        <v>0</v>
      </c>
    </row>
    <row r="353" spans="1:13" s="78" customFormat="1" ht="24.95" customHeight="1">
      <c r="A353" s="266"/>
      <c r="B353" s="356" t="s">
        <v>1110</v>
      </c>
      <c r="C353" s="76"/>
      <c r="D353" s="76">
        <v>0</v>
      </c>
      <c r="E353" s="77"/>
      <c r="F353" s="368"/>
      <c r="G353" s="77">
        <f t="shared" si="14"/>
        <v>0</v>
      </c>
      <c r="H353" s="77">
        <f t="shared" si="13"/>
        <v>0</v>
      </c>
      <c r="I353" s="257">
        <f t="shared" si="15"/>
        <v>0</v>
      </c>
    </row>
    <row r="354" spans="1:13" s="78" customFormat="1" ht="24.95" customHeight="1">
      <c r="A354" s="75"/>
      <c r="B354" s="356" t="s">
        <v>953</v>
      </c>
      <c r="C354" s="371">
        <v>8</v>
      </c>
      <c r="D354" s="76">
        <v>1</v>
      </c>
      <c r="E354" s="77">
        <v>1.6</v>
      </c>
      <c r="F354" s="368">
        <v>5</v>
      </c>
      <c r="G354" s="77">
        <f t="shared" si="14"/>
        <v>8</v>
      </c>
      <c r="H354" s="77">
        <f t="shared" si="13"/>
        <v>0.39506172839506171</v>
      </c>
      <c r="I354" s="257">
        <f t="shared" si="15"/>
        <v>3.1604938271604937</v>
      </c>
      <c r="K354" s="220"/>
      <c r="M354" s="220"/>
    </row>
    <row r="355" spans="1:13" s="78" customFormat="1" ht="24.95" customHeight="1">
      <c r="A355" s="75"/>
      <c r="B355" s="373" t="s">
        <v>1174</v>
      </c>
      <c r="C355" s="371">
        <v>8</v>
      </c>
      <c r="D355" s="76">
        <v>1</v>
      </c>
      <c r="E355" s="372">
        <v>0.57999999999999996</v>
      </c>
      <c r="F355" s="368">
        <v>11</v>
      </c>
      <c r="G355" s="77">
        <f t="shared" si="14"/>
        <v>6.38</v>
      </c>
      <c r="H355" s="77">
        <f>+C355*C355/162</f>
        <v>0.39506172839506171</v>
      </c>
      <c r="I355" s="257">
        <f t="shared" si="15"/>
        <v>2.5204938271604935</v>
      </c>
      <c r="K355" s="220"/>
    </row>
    <row r="356" spans="1:13" s="78" customFormat="1" ht="24.95" customHeight="1">
      <c r="A356" s="75"/>
      <c r="B356" s="366" t="s">
        <v>1181</v>
      </c>
      <c r="C356" s="76"/>
      <c r="D356" s="76"/>
      <c r="E356" s="367"/>
      <c r="F356" s="368"/>
      <c r="G356" s="77">
        <f t="shared" si="14"/>
        <v>0</v>
      </c>
      <c r="H356" s="77">
        <f t="shared" si="13"/>
        <v>0</v>
      </c>
      <c r="I356" s="257">
        <f t="shared" si="15"/>
        <v>0</v>
      </c>
    </row>
    <row r="357" spans="1:13" s="78" customFormat="1" ht="24.95" customHeight="1">
      <c r="A357" s="75"/>
      <c r="B357" s="362" t="s">
        <v>958</v>
      </c>
      <c r="C357" s="76"/>
      <c r="D357" s="76"/>
      <c r="E357" s="77"/>
      <c r="F357" s="368"/>
      <c r="G357" s="77">
        <f t="shared" si="14"/>
        <v>0</v>
      </c>
      <c r="H357" s="77">
        <f t="shared" si="13"/>
        <v>0</v>
      </c>
      <c r="I357" s="257">
        <f t="shared" si="15"/>
        <v>0</v>
      </c>
    </row>
    <row r="358" spans="1:13" s="78" customFormat="1" ht="24.95" customHeight="1">
      <c r="A358" s="75"/>
      <c r="B358" s="362" t="s">
        <v>1114</v>
      </c>
      <c r="C358" s="76"/>
      <c r="D358" s="76"/>
      <c r="E358" s="77"/>
      <c r="F358" s="368"/>
      <c r="G358" s="77">
        <f t="shared" si="14"/>
        <v>0</v>
      </c>
      <c r="H358" s="77">
        <f t="shared" si="13"/>
        <v>0</v>
      </c>
      <c r="I358" s="257">
        <f t="shared" si="15"/>
        <v>0</v>
      </c>
    </row>
    <row r="359" spans="1:13" s="78" customFormat="1" ht="24.95" customHeight="1">
      <c r="A359" s="75"/>
      <c r="B359" s="356" t="s">
        <v>962</v>
      </c>
      <c r="C359" s="76"/>
      <c r="D359" s="76"/>
      <c r="E359" s="77"/>
      <c r="F359" s="368"/>
      <c r="G359" s="77">
        <f t="shared" si="14"/>
        <v>0</v>
      </c>
      <c r="H359" s="77">
        <f t="shared" si="13"/>
        <v>0</v>
      </c>
      <c r="I359" s="257">
        <f t="shared" si="15"/>
        <v>0</v>
      </c>
    </row>
    <row r="360" spans="1:13" s="78" customFormat="1" ht="24.95" customHeight="1">
      <c r="A360" s="75"/>
      <c r="B360" s="356" t="s">
        <v>963</v>
      </c>
      <c r="C360" s="371">
        <v>8</v>
      </c>
      <c r="D360" s="76">
        <v>1</v>
      </c>
      <c r="E360" s="77">
        <v>1.2</v>
      </c>
      <c r="F360" s="368">
        <v>4</v>
      </c>
      <c r="G360" s="77">
        <f t="shared" si="14"/>
        <v>4.8</v>
      </c>
      <c r="H360" s="77">
        <f t="shared" si="13"/>
        <v>0.39506172839506171</v>
      </c>
      <c r="I360" s="257">
        <f t="shared" si="15"/>
        <v>1.8962962962962961</v>
      </c>
    </row>
    <row r="361" spans="1:13" s="78" customFormat="1" ht="24.95" customHeight="1">
      <c r="A361" s="75"/>
      <c r="B361" s="373" t="s">
        <v>1174</v>
      </c>
      <c r="C361" s="371">
        <v>8</v>
      </c>
      <c r="D361" s="76">
        <v>1</v>
      </c>
      <c r="E361" s="372">
        <f>0.18+0.18+0.1+0.1+0.08</f>
        <v>0.6399999999999999</v>
      </c>
      <c r="F361" s="368">
        <v>8</v>
      </c>
      <c r="G361" s="77">
        <f t="shared" si="14"/>
        <v>5.1199999999999992</v>
      </c>
      <c r="H361" s="77">
        <f t="shared" si="13"/>
        <v>0.39506172839506171</v>
      </c>
      <c r="I361" s="257">
        <f t="shared" si="15"/>
        <v>2.0227160493827157</v>
      </c>
      <c r="K361" s="220"/>
    </row>
    <row r="362" spans="1:13" s="78" customFormat="1" ht="24.95" customHeight="1">
      <c r="A362" s="75"/>
      <c r="B362" s="356" t="s">
        <v>964</v>
      </c>
      <c r="C362" s="371">
        <v>8</v>
      </c>
      <c r="D362" s="76">
        <v>2</v>
      </c>
      <c r="E362" s="77">
        <v>1.6</v>
      </c>
      <c r="F362" s="368">
        <v>5</v>
      </c>
      <c r="G362" s="77">
        <f t="shared" si="14"/>
        <v>16</v>
      </c>
      <c r="H362" s="77">
        <f t="shared" si="13"/>
        <v>0.39506172839506171</v>
      </c>
      <c r="I362" s="257">
        <f t="shared" si="15"/>
        <v>6.3209876543209873</v>
      </c>
    </row>
    <row r="363" spans="1:13" s="78" customFormat="1" ht="24.95" customHeight="1">
      <c r="A363" s="75"/>
      <c r="B363" s="373" t="s">
        <v>1174</v>
      </c>
      <c r="C363" s="371">
        <v>8</v>
      </c>
      <c r="D363" s="76">
        <v>2</v>
      </c>
      <c r="E363" s="372">
        <f>0.18+0.18+0.1+0.1+0.08</f>
        <v>0.6399999999999999</v>
      </c>
      <c r="F363" s="368">
        <v>11</v>
      </c>
      <c r="G363" s="77">
        <f t="shared" si="14"/>
        <v>14.079999999999998</v>
      </c>
      <c r="H363" s="77">
        <f>+C363*C363/162</f>
        <v>0.39506172839506171</v>
      </c>
      <c r="I363" s="257">
        <f t="shared" si="15"/>
        <v>5.562469135802468</v>
      </c>
      <c r="K363" s="220"/>
    </row>
    <row r="364" spans="1:13" s="78" customFormat="1" ht="24.95" customHeight="1">
      <c r="A364" s="75"/>
      <c r="B364" s="356" t="s">
        <v>965</v>
      </c>
      <c r="C364" s="76"/>
      <c r="D364" s="76"/>
      <c r="E364" s="77"/>
      <c r="F364" s="368"/>
      <c r="G364" s="77">
        <f t="shared" si="14"/>
        <v>0</v>
      </c>
      <c r="H364" s="77">
        <f t="shared" si="13"/>
        <v>0</v>
      </c>
      <c r="I364" s="257">
        <f t="shared" si="15"/>
        <v>0</v>
      </c>
    </row>
    <row r="365" spans="1:13" s="78" customFormat="1" ht="24.95" customHeight="1">
      <c r="A365" s="75"/>
      <c r="B365" s="356" t="s">
        <v>966</v>
      </c>
      <c r="C365" s="371">
        <v>8</v>
      </c>
      <c r="D365" s="76">
        <v>2</v>
      </c>
      <c r="E365" s="77">
        <v>1.4</v>
      </c>
      <c r="F365" s="368">
        <v>4</v>
      </c>
      <c r="G365" s="77">
        <f t="shared" si="14"/>
        <v>11.2</v>
      </c>
      <c r="H365" s="77">
        <f t="shared" si="13"/>
        <v>0.39506172839506171</v>
      </c>
      <c r="I365" s="257">
        <f t="shared" si="15"/>
        <v>4.4246913580246909</v>
      </c>
    </row>
    <row r="366" spans="1:13" s="78" customFormat="1" ht="24.95" customHeight="1">
      <c r="A366" s="75"/>
      <c r="B366" s="373" t="s">
        <v>1174</v>
      </c>
      <c r="C366" s="371">
        <v>8</v>
      </c>
      <c r="D366" s="76">
        <v>2</v>
      </c>
      <c r="E366" s="372">
        <f>0.18+0.18+0.1+0.1+0.08</f>
        <v>0.6399999999999999</v>
      </c>
      <c r="F366" s="368">
        <v>9</v>
      </c>
      <c r="G366" s="77">
        <f t="shared" si="14"/>
        <v>11.519999999999998</v>
      </c>
      <c r="H366" s="77">
        <f t="shared" si="13"/>
        <v>0.39506172839506171</v>
      </c>
      <c r="I366" s="257">
        <f t="shared" si="15"/>
        <v>4.5511111111111102</v>
      </c>
      <c r="K366" s="220"/>
    </row>
    <row r="367" spans="1:13" s="78" customFormat="1" ht="24.95" customHeight="1">
      <c r="A367" s="75"/>
      <c r="B367" s="362" t="s">
        <v>1115</v>
      </c>
      <c r="C367" s="76"/>
      <c r="D367" s="76"/>
      <c r="E367" s="77"/>
      <c r="F367" s="368"/>
      <c r="G367" s="77">
        <f t="shared" si="14"/>
        <v>0</v>
      </c>
      <c r="H367" s="77">
        <f t="shared" si="13"/>
        <v>0</v>
      </c>
      <c r="I367" s="257">
        <f t="shared" si="15"/>
        <v>0</v>
      </c>
    </row>
    <row r="368" spans="1:13" s="78" customFormat="1" ht="24.95" customHeight="1">
      <c r="A368" s="75"/>
      <c r="B368" s="356" t="s">
        <v>1116</v>
      </c>
      <c r="C368" s="76"/>
      <c r="D368" s="76"/>
      <c r="E368" s="77"/>
      <c r="F368" s="368"/>
      <c r="G368" s="77">
        <f t="shared" si="14"/>
        <v>0</v>
      </c>
      <c r="H368" s="77">
        <f t="shared" si="13"/>
        <v>0</v>
      </c>
      <c r="I368" s="257">
        <f t="shared" si="15"/>
        <v>0</v>
      </c>
    </row>
    <row r="369" spans="1:11" s="78" customFormat="1" ht="24.95" customHeight="1">
      <c r="A369" s="75"/>
      <c r="B369" s="356" t="s">
        <v>1117</v>
      </c>
      <c r="C369" s="371">
        <v>8</v>
      </c>
      <c r="D369" s="76">
        <v>1</v>
      </c>
      <c r="E369" s="77">
        <v>1.4</v>
      </c>
      <c r="F369" s="368">
        <v>4</v>
      </c>
      <c r="G369" s="77">
        <f t="shared" si="14"/>
        <v>5.6</v>
      </c>
      <c r="H369" s="77">
        <f t="shared" si="13"/>
        <v>0.39506172839506171</v>
      </c>
      <c r="I369" s="257">
        <f t="shared" si="15"/>
        <v>2.2123456790123455</v>
      </c>
    </row>
    <row r="370" spans="1:11" s="78" customFormat="1" ht="24.95" customHeight="1">
      <c r="A370" s="75"/>
      <c r="B370" s="373" t="s">
        <v>1174</v>
      </c>
      <c r="C370" s="371">
        <v>8</v>
      </c>
      <c r="D370" s="76">
        <v>1</v>
      </c>
      <c r="E370" s="372">
        <f>0.18+0.18+0.1+0.1+0.08</f>
        <v>0.6399999999999999</v>
      </c>
      <c r="F370" s="368">
        <v>9</v>
      </c>
      <c r="G370" s="77">
        <f t="shared" si="14"/>
        <v>5.7599999999999989</v>
      </c>
      <c r="H370" s="77">
        <f>+C370*C370/162</f>
        <v>0.39506172839506171</v>
      </c>
      <c r="I370" s="257">
        <f t="shared" si="15"/>
        <v>2.2755555555555551</v>
      </c>
      <c r="K370" s="220"/>
    </row>
    <row r="371" spans="1:11" s="78" customFormat="1" ht="24.95" customHeight="1">
      <c r="A371" s="75"/>
      <c r="B371" s="356" t="s">
        <v>1096</v>
      </c>
      <c r="C371" s="76"/>
      <c r="D371" s="76"/>
      <c r="E371" s="77"/>
      <c r="F371" s="368"/>
      <c r="G371" s="77">
        <f t="shared" si="14"/>
        <v>0</v>
      </c>
      <c r="H371" s="77">
        <f t="shared" si="13"/>
        <v>0</v>
      </c>
      <c r="I371" s="257">
        <f t="shared" si="15"/>
        <v>0</v>
      </c>
    </row>
    <row r="372" spans="1:11" s="78" customFormat="1" ht="24.95" customHeight="1">
      <c r="A372" s="75"/>
      <c r="B372" s="356" t="s">
        <v>1118</v>
      </c>
      <c r="C372" s="371">
        <v>8</v>
      </c>
      <c r="D372" s="76">
        <v>3</v>
      </c>
      <c r="E372" s="77">
        <v>1.9</v>
      </c>
      <c r="F372" s="368">
        <v>5</v>
      </c>
      <c r="G372" s="77">
        <f t="shared" si="14"/>
        <v>28.5</v>
      </c>
      <c r="H372" s="77">
        <f t="shared" si="13"/>
        <v>0.39506172839506171</v>
      </c>
      <c r="I372" s="257">
        <f t="shared" si="15"/>
        <v>11.25925925925926</v>
      </c>
    </row>
    <row r="373" spans="1:11" s="78" customFormat="1" ht="24.95" customHeight="1">
      <c r="A373" s="75"/>
      <c r="B373" s="373" t="s">
        <v>1174</v>
      </c>
      <c r="C373" s="371">
        <v>8</v>
      </c>
      <c r="D373" s="76">
        <v>3</v>
      </c>
      <c r="E373" s="372">
        <f>0.18+0.18+0.1+0.1+0.08</f>
        <v>0.6399999999999999</v>
      </c>
      <c r="F373" s="368">
        <v>13</v>
      </c>
      <c r="G373" s="77">
        <f t="shared" si="14"/>
        <v>24.959999999999994</v>
      </c>
      <c r="H373" s="77">
        <f t="shared" si="13"/>
        <v>0.39506172839506171</v>
      </c>
      <c r="I373" s="257">
        <f t="shared" si="15"/>
        <v>9.8607407407407379</v>
      </c>
      <c r="K373" s="220"/>
    </row>
    <row r="374" spans="1:11" s="78" customFormat="1" ht="24.95" customHeight="1">
      <c r="A374" s="75"/>
      <c r="B374" s="356" t="s">
        <v>1119</v>
      </c>
      <c r="C374" s="371">
        <v>8</v>
      </c>
      <c r="D374" s="76">
        <v>1</v>
      </c>
      <c r="E374" s="77">
        <v>1</v>
      </c>
      <c r="F374" s="368">
        <v>4</v>
      </c>
      <c r="G374" s="77">
        <f t="shared" si="14"/>
        <v>4</v>
      </c>
      <c r="H374" s="77">
        <f t="shared" si="13"/>
        <v>0.39506172839506171</v>
      </c>
      <c r="I374" s="257">
        <f t="shared" si="15"/>
        <v>1.5802469135802468</v>
      </c>
    </row>
    <row r="375" spans="1:11" s="78" customFormat="1" ht="24.95" customHeight="1">
      <c r="A375" s="75"/>
      <c r="B375" s="373" t="s">
        <v>1174</v>
      </c>
      <c r="C375" s="371">
        <v>8</v>
      </c>
      <c r="D375" s="76">
        <v>1</v>
      </c>
      <c r="E375" s="372">
        <f>0.18+0.18+0.1+0.1+0.08</f>
        <v>0.6399999999999999</v>
      </c>
      <c r="F375" s="368">
        <v>7</v>
      </c>
      <c r="G375" s="77">
        <f t="shared" si="14"/>
        <v>4.4799999999999995</v>
      </c>
      <c r="H375" s="77">
        <f>+C375*C375/162</f>
        <v>0.39506172839506171</v>
      </c>
      <c r="I375" s="257">
        <f t="shared" si="15"/>
        <v>1.7698765432098762</v>
      </c>
      <c r="K375" s="220"/>
    </row>
    <row r="376" spans="1:11" s="78" customFormat="1" ht="24.95" customHeight="1">
      <c r="A376" s="75"/>
      <c r="B376" s="356" t="s">
        <v>1120</v>
      </c>
      <c r="C376" s="371">
        <v>8</v>
      </c>
      <c r="D376" s="76">
        <v>1</v>
      </c>
      <c r="E376" s="77">
        <v>1.6</v>
      </c>
      <c r="F376" s="368">
        <v>5</v>
      </c>
      <c r="G376" s="77">
        <f t="shared" si="14"/>
        <v>8</v>
      </c>
      <c r="H376" s="77">
        <f t="shared" si="13"/>
        <v>0.39506172839506171</v>
      </c>
      <c r="I376" s="257">
        <f t="shared" si="15"/>
        <v>3.1604938271604937</v>
      </c>
    </row>
    <row r="377" spans="1:11" s="78" customFormat="1" ht="24.95" customHeight="1">
      <c r="A377" s="75"/>
      <c r="B377" s="373" t="s">
        <v>1174</v>
      </c>
      <c r="C377" s="371">
        <v>8</v>
      </c>
      <c r="D377" s="76">
        <v>1</v>
      </c>
      <c r="E377" s="372">
        <f>0.18+0.18+0.1+0.1+0.08</f>
        <v>0.6399999999999999</v>
      </c>
      <c r="F377" s="368">
        <v>11</v>
      </c>
      <c r="G377" s="77">
        <f t="shared" si="14"/>
        <v>7.0399999999999991</v>
      </c>
      <c r="H377" s="77">
        <f t="shared" si="13"/>
        <v>0.39506172839506171</v>
      </c>
      <c r="I377" s="257">
        <f t="shared" si="15"/>
        <v>2.781234567901234</v>
      </c>
      <c r="K377" s="220"/>
    </row>
    <row r="378" spans="1:11" s="78" customFormat="1" ht="24.95" customHeight="1">
      <c r="A378" s="75"/>
      <c r="B378" s="356" t="s">
        <v>1121</v>
      </c>
      <c r="C378" s="371">
        <v>8</v>
      </c>
      <c r="D378" s="76">
        <v>1</v>
      </c>
      <c r="E378" s="77">
        <v>1.4</v>
      </c>
      <c r="F378" s="368">
        <v>4</v>
      </c>
      <c r="G378" s="77">
        <f t="shared" si="14"/>
        <v>5.6</v>
      </c>
      <c r="H378" s="77">
        <f t="shared" si="13"/>
        <v>0.39506172839506171</v>
      </c>
      <c r="I378" s="257">
        <f t="shared" si="15"/>
        <v>2.2123456790123455</v>
      </c>
    </row>
    <row r="379" spans="1:11" s="78" customFormat="1" ht="24.95" customHeight="1">
      <c r="A379" s="75"/>
      <c r="B379" s="373" t="s">
        <v>1174</v>
      </c>
      <c r="C379" s="371">
        <v>8</v>
      </c>
      <c r="D379" s="76">
        <v>1</v>
      </c>
      <c r="E379" s="372">
        <f>0.18+0.18+0.1+0.1+0.08</f>
        <v>0.6399999999999999</v>
      </c>
      <c r="F379" s="368">
        <v>9</v>
      </c>
      <c r="G379" s="77">
        <f t="shared" si="14"/>
        <v>5.7599999999999989</v>
      </c>
      <c r="H379" s="77">
        <f>+C379*C379/162</f>
        <v>0.39506172839506171</v>
      </c>
      <c r="I379" s="257">
        <f t="shared" si="15"/>
        <v>2.2755555555555551</v>
      </c>
      <c r="K379" s="220"/>
    </row>
    <row r="380" spans="1:11" s="78" customFormat="1" ht="24.95" customHeight="1">
      <c r="A380" s="75"/>
      <c r="B380" s="356" t="s">
        <v>1122</v>
      </c>
      <c r="C380" s="76"/>
      <c r="D380" s="76"/>
      <c r="E380" s="77"/>
      <c r="F380" s="368"/>
      <c r="G380" s="77">
        <f t="shared" si="14"/>
        <v>0</v>
      </c>
      <c r="H380" s="77">
        <f t="shared" si="13"/>
        <v>0</v>
      </c>
      <c r="I380" s="257">
        <f t="shared" si="15"/>
        <v>0</v>
      </c>
    </row>
    <row r="381" spans="1:11" s="78" customFormat="1" ht="24.95" customHeight="1">
      <c r="A381" s="75"/>
      <c r="B381" s="356" t="s">
        <v>1123</v>
      </c>
      <c r="C381" s="371">
        <v>8</v>
      </c>
      <c r="D381" s="76">
        <v>2</v>
      </c>
      <c r="E381" s="77">
        <v>1.9</v>
      </c>
      <c r="F381" s="368">
        <v>5</v>
      </c>
      <c r="G381" s="77">
        <f t="shared" si="14"/>
        <v>19</v>
      </c>
      <c r="H381" s="77">
        <f t="shared" si="13"/>
        <v>0.39506172839506171</v>
      </c>
      <c r="I381" s="257">
        <f t="shared" si="15"/>
        <v>7.5061728395061724</v>
      </c>
    </row>
    <row r="382" spans="1:11" s="78" customFormat="1" ht="24.95" customHeight="1">
      <c r="A382" s="75"/>
      <c r="B382" s="373" t="s">
        <v>1174</v>
      </c>
      <c r="C382" s="371">
        <v>8</v>
      </c>
      <c r="D382" s="76">
        <v>2</v>
      </c>
      <c r="E382" s="372">
        <f>0.18+0.18+0.1+0.1+0.08</f>
        <v>0.6399999999999999</v>
      </c>
      <c r="F382" s="368">
        <v>13</v>
      </c>
      <c r="G382" s="77">
        <f t="shared" si="14"/>
        <v>16.639999999999997</v>
      </c>
      <c r="H382" s="77">
        <f t="shared" si="13"/>
        <v>0.39506172839506171</v>
      </c>
      <c r="I382" s="257">
        <f t="shared" si="15"/>
        <v>6.5738271604938259</v>
      </c>
      <c r="K382" s="220"/>
    </row>
    <row r="383" spans="1:11" s="78" customFormat="1" ht="24.95" customHeight="1">
      <c r="A383" s="75"/>
      <c r="B383" s="356" t="s">
        <v>1120</v>
      </c>
      <c r="C383" s="371">
        <v>8</v>
      </c>
      <c r="D383" s="76">
        <v>1</v>
      </c>
      <c r="E383" s="77">
        <v>1.6</v>
      </c>
      <c r="F383" s="368">
        <v>5</v>
      </c>
      <c r="G383" s="77">
        <f t="shared" si="14"/>
        <v>8</v>
      </c>
      <c r="H383" s="77">
        <f t="shared" si="13"/>
        <v>0.39506172839506171</v>
      </c>
      <c r="I383" s="257">
        <f t="shared" si="15"/>
        <v>3.1604938271604937</v>
      </c>
    </row>
    <row r="384" spans="1:11" s="78" customFormat="1" ht="24.95" customHeight="1">
      <c r="A384" s="75"/>
      <c r="B384" s="373" t="s">
        <v>1174</v>
      </c>
      <c r="C384" s="371">
        <v>8</v>
      </c>
      <c r="D384" s="76">
        <v>1</v>
      </c>
      <c r="E384" s="372">
        <f>0.18+0.18+0.1+0.1+0.08</f>
        <v>0.6399999999999999</v>
      </c>
      <c r="F384" s="368">
        <v>11</v>
      </c>
      <c r="G384" s="77">
        <f t="shared" si="14"/>
        <v>7.0399999999999991</v>
      </c>
      <c r="H384" s="77">
        <f>+C384*C384/162</f>
        <v>0.39506172839506171</v>
      </c>
      <c r="I384" s="257">
        <f t="shared" si="15"/>
        <v>2.781234567901234</v>
      </c>
      <c r="K384" s="220"/>
    </row>
    <row r="385" spans="1:11" s="78" customFormat="1" ht="24.95" customHeight="1">
      <c r="A385" s="75"/>
      <c r="B385" s="356" t="s">
        <v>1122</v>
      </c>
      <c r="C385" s="76"/>
      <c r="D385" s="76"/>
      <c r="E385" s="77"/>
      <c r="F385" s="368"/>
      <c r="G385" s="77">
        <f t="shared" si="14"/>
        <v>0</v>
      </c>
      <c r="H385" s="77">
        <f t="shared" si="13"/>
        <v>0</v>
      </c>
      <c r="I385" s="257">
        <f t="shared" si="15"/>
        <v>0</v>
      </c>
    </row>
    <row r="386" spans="1:11" s="78" customFormat="1" ht="24.95" customHeight="1">
      <c r="A386" s="75"/>
      <c r="B386" s="356" t="s">
        <v>1123</v>
      </c>
      <c r="C386" s="371">
        <v>8</v>
      </c>
      <c r="D386" s="76">
        <v>2</v>
      </c>
      <c r="E386" s="77">
        <v>1.9</v>
      </c>
      <c r="F386" s="368">
        <v>5</v>
      </c>
      <c r="G386" s="77">
        <f t="shared" si="14"/>
        <v>19</v>
      </c>
      <c r="H386" s="77">
        <f t="shared" si="13"/>
        <v>0.39506172839506171</v>
      </c>
      <c r="I386" s="257">
        <f t="shared" si="15"/>
        <v>7.5061728395061724</v>
      </c>
    </row>
    <row r="387" spans="1:11" s="78" customFormat="1" ht="24.95" customHeight="1">
      <c r="A387" s="75"/>
      <c r="B387" s="373" t="s">
        <v>1174</v>
      </c>
      <c r="C387" s="371">
        <v>8</v>
      </c>
      <c r="D387" s="76">
        <v>2</v>
      </c>
      <c r="E387" s="372">
        <f>0.18+0.18+0.1+0.1+0.08</f>
        <v>0.6399999999999999</v>
      </c>
      <c r="F387" s="368">
        <v>13</v>
      </c>
      <c r="G387" s="77">
        <f t="shared" si="14"/>
        <v>16.639999999999997</v>
      </c>
      <c r="H387" s="77">
        <f t="shared" si="13"/>
        <v>0.39506172839506171</v>
      </c>
      <c r="I387" s="257">
        <f t="shared" si="15"/>
        <v>6.5738271604938259</v>
      </c>
      <c r="K387" s="220"/>
    </row>
    <row r="388" spans="1:11" s="78" customFormat="1" ht="24.95" customHeight="1">
      <c r="A388" s="75"/>
      <c r="B388" s="356" t="s">
        <v>1120</v>
      </c>
      <c r="C388" s="371">
        <v>8</v>
      </c>
      <c r="D388" s="76">
        <v>1</v>
      </c>
      <c r="E388" s="77">
        <v>1.6</v>
      </c>
      <c r="F388" s="368">
        <v>5</v>
      </c>
      <c r="G388" s="77">
        <f t="shared" si="14"/>
        <v>8</v>
      </c>
      <c r="H388" s="77">
        <f t="shared" si="13"/>
        <v>0.39506172839506171</v>
      </c>
      <c r="I388" s="257">
        <f t="shared" si="15"/>
        <v>3.1604938271604937</v>
      </c>
    </row>
    <row r="389" spans="1:11" s="78" customFormat="1" ht="24.95" customHeight="1">
      <c r="A389" s="75"/>
      <c r="B389" s="373" t="s">
        <v>1174</v>
      </c>
      <c r="C389" s="371">
        <v>8</v>
      </c>
      <c r="D389" s="76">
        <v>1</v>
      </c>
      <c r="E389" s="372">
        <f>0.18+0.18+0.1+0.1+0.08</f>
        <v>0.6399999999999999</v>
      </c>
      <c r="F389" s="368">
        <v>11</v>
      </c>
      <c r="G389" s="77">
        <f t="shared" ref="G389:G423" si="16">+F389*E389*D389</f>
        <v>7.0399999999999991</v>
      </c>
      <c r="H389" s="77">
        <f>+C389*C389/162</f>
        <v>0.39506172839506171</v>
      </c>
      <c r="I389" s="257">
        <f t="shared" ref="I389:I423" si="17">+H389*G389</f>
        <v>2.781234567901234</v>
      </c>
      <c r="K389" s="220"/>
    </row>
    <row r="390" spans="1:11" s="78" customFormat="1" ht="24.95" customHeight="1">
      <c r="A390" s="75"/>
      <c r="B390" s="362" t="s">
        <v>1125</v>
      </c>
      <c r="C390" s="76"/>
      <c r="D390" s="76"/>
      <c r="E390" s="77"/>
      <c r="F390" s="368"/>
      <c r="G390" s="77">
        <f t="shared" si="16"/>
        <v>0</v>
      </c>
      <c r="H390" s="77">
        <f t="shared" ref="H390:H422" si="18">+C390*C390/162</f>
        <v>0</v>
      </c>
      <c r="I390" s="257">
        <f t="shared" si="17"/>
        <v>0</v>
      </c>
    </row>
    <row r="391" spans="1:11" s="78" customFormat="1" ht="24.95" customHeight="1">
      <c r="A391" s="75"/>
      <c r="B391" s="356" t="s">
        <v>1128</v>
      </c>
      <c r="C391" s="76"/>
      <c r="D391" s="76"/>
      <c r="E391" s="77"/>
      <c r="F391" s="368"/>
      <c r="G391" s="77">
        <f t="shared" si="16"/>
        <v>0</v>
      </c>
      <c r="H391" s="77">
        <f t="shared" si="18"/>
        <v>0</v>
      </c>
      <c r="I391" s="257">
        <f t="shared" si="17"/>
        <v>0</v>
      </c>
    </row>
    <row r="392" spans="1:11" s="78" customFormat="1" ht="24.95" customHeight="1">
      <c r="A392" s="75"/>
      <c r="B392" s="356" t="s">
        <v>1129</v>
      </c>
      <c r="C392" s="371">
        <v>8</v>
      </c>
      <c r="D392" s="76">
        <v>1</v>
      </c>
      <c r="E392" s="77">
        <v>1.2</v>
      </c>
      <c r="F392" s="368">
        <v>4</v>
      </c>
      <c r="G392" s="77">
        <f t="shared" si="16"/>
        <v>4.8</v>
      </c>
      <c r="H392" s="77">
        <f t="shared" si="18"/>
        <v>0.39506172839506171</v>
      </c>
      <c r="I392" s="257">
        <f t="shared" si="17"/>
        <v>1.8962962962962961</v>
      </c>
    </row>
    <row r="393" spans="1:11" s="78" customFormat="1" ht="24.95" customHeight="1">
      <c r="A393" s="75"/>
      <c r="B393" s="373" t="s">
        <v>1174</v>
      </c>
      <c r="C393" s="371">
        <v>8</v>
      </c>
      <c r="D393" s="76">
        <v>1</v>
      </c>
      <c r="E393" s="372">
        <f>0.18+0.18+0.1+0.1+0.08</f>
        <v>0.6399999999999999</v>
      </c>
      <c r="F393" s="368">
        <v>8</v>
      </c>
      <c r="G393" s="77">
        <f t="shared" si="16"/>
        <v>5.1199999999999992</v>
      </c>
      <c r="H393" s="77">
        <f t="shared" si="18"/>
        <v>0.39506172839506171</v>
      </c>
      <c r="I393" s="257">
        <f t="shared" si="17"/>
        <v>2.0227160493827157</v>
      </c>
      <c r="K393" s="220"/>
    </row>
    <row r="394" spans="1:11" s="78" customFormat="1" ht="24.95" customHeight="1">
      <c r="A394" s="75"/>
      <c r="B394" s="356" t="s">
        <v>1100</v>
      </c>
      <c r="C394" s="371"/>
      <c r="D394" s="371"/>
      <c r="E394" s="372"/>
      <c r="F394" s="368"/>
      <c r="G394" s="77">
        <f t="shared" si="16"/>
        <v>0</v>
      </c>
      <c r="H394" s="77">
        <f t="shared" si="18"/>
        <v>0</v>
      </c>
      <c r="I394" s="257">
        <f t="shared" si="17"/>
        <v>0</v>
      </c>
    </row>
    <row r="395" spans="1:11" s="78" customFormat="1" ht="24.95" customHeight="1">
      <c r="A395" s="75"/>
      <c r="B395" s="356" t="s">
        <v>1130</v>
      </c>
      <c r="C395" s="371">
        <v>8</v>
      </c>
      <c r="D395" s="371">
        <v>1</v>
      </c>
      <c r="E395" s="372">
        <v>2.25</v>
      </c>
      <c r="F395" s="368">
        <v>5</v>
      </c>
      <c r="G395" s="77">
        <f t="shared" si="16"/>
        <v>11.25</v>
      </c>
      <c r="H395" s="77">
        <f t="shared" si="18"/>
        <v>0.39506172839506171</v>
      </c>
      <c r="I395" s="257">
        <f t="shared" si="17"/>
        <v>4.4444444444444446</v>
      </c>
    </row>
    <row r="396" spans="1:11" s="78" customFormat="1" ht="24.95" customHeight="1">
      <c r="A396" s="75"/>
      <c r="B396" s="373" t="s">
        <v>1174</v>
      </c>
      <c r="C396" s="371">
        <v>8</v>
      </c>
      <c r="D396" s="76">
        <v>1</v>
      </c>
      <c r="E396" s="372">
        <f>0.18+0.18+0.1+0.1+0.08</f>
        <v>0.6399999999999999</v>
      </c>
      <c r="F396" s="368">
        <v>15</v>
      </c>
      <c r="G396" s="77">
        <f t="shared" si="16"/>
        <v>9.5999999999999979</v>
      </c>
      <c r="H396" s="77">
        <f>+C396*C396/162</f>
        <v>0.39506172839506171</v>
      </c>
      <c r="I396" s="257">
        <f t="shared" si="17"/>
        <v>3.7925925925925914</v>
      </c>
      <c r="K396" s="220"/>
    </row>
    <row r="397" spans="1:11" s="78" customFormat="1" ht="24.95" customHeight="1">
      <c r="A397" s="75"/>
      <c r="B397" s="356" t="s">
        <v>1131</v>
      </c>
      <c r="C397" s="371">
        <v>8</v>
      </c>
      <c r="D397" s="371">
        <v>1</v>
      </c>
      <c r="E397" s="372">
        <v>2.2000000000000002</v>
      </c>
      <c r="F397" s="368">
        <v>5</v>
      </c>
      <c r="G397" s="77">
        <f t="shared" si="16"/>
        <v>11</v>
      </c>
      <c r="H397" s="77">
        <f t="shared" si="18"/>
        <v>0.39506172839506171</v>
      </c>
      <c r="I397" s="257">
        <f t="shared" si="17"/>
        <v>4.3456790123456788</v>
      </c>
    </row>
    <row r="398" spans="1:11" s="78" customFormat="1" ht="24.95" customHeight="1">
      <c r="A398" s="75"/>
      <c r="B398" s="373" t="s">
        <v>1174</v>
      </c>
      <c r="C398" s="371">
        <v>8</v>
      </c>
      <c r="D398" s="76">
        <v>1</v>
      </c>
      <c r="E398" s="372">
        <f>0.18+0.18+0.1+0.1+0.08</f>
        <v>0.6399999999999999</v>
      </c>
      <c r="F398" s="368">
        <v>15</v>
      </c>
      <c r="G398" s="77">
        <f t="shared" si="16"/>
        <v>9.5999999999999979</v>
      </c>
      <c r="H398" s="77">
        <f t="shared" si="18"/>
        <v>0.39506172839506171</v>
      </c>
      <c r="I398" s="257">
        <f t="shared" si="17"/>
        <v>3.7925925925925914</v>
      </c>
      <c r="K398" s="220"/>
    </row>
    <row r="399" spans="1:11" s="78" customFormat="1" ht="24.95" customHeight="1">
      <c r="A399" s="75"/>
      <c r="B399" s="366" t="s">
        <v>1182</v>
      </c>
      <c r="C399" s="76"/>
      <c r="D399" s="76"/>
      <c r="E399" s="367"/>
      <c r="F399" s="368"/>
      <c r="G399" s="77">
        <f t="shared" si="16"/>
        <v>0</v>
      </c>
      <c r="H399" s="77">
        <f t="shared" si="18"/>
        <v>0</v>
      </c>
      <c r="I399" s="257">
        <f t="shared" si="17"/>
        <v>0</v>
      </c>
    </row>
    <row r="400" spans="1:11" s="78" customFormat="1" ht="24.95" customHeight="1">
      <c r="A400" s="75"/>
      <c r="B400" s="362" t="s">
        <v>939</v>
      </c>
      <c r="C400" s="76"/>
      <c r="D400" s="76"/>
      <c r="E400" s="77"/>
      <c r="F400" s="368"/>
      <c r="G400" s="77">
        <f t="shared" si="16"/>
        <v>0</v>
      </c>
      <c r="H400" s="77">
        <f t="shared" si="18"/>
        <v>0</v>
      </c>
      <c r="I400" s="257">
        <f t="shared" si="17"/>
        <v>0</v>
      </c>
    </row>
    <row r="401" spans="1:11" s="78" customFormat="1" ht="24.95" customHeight="1">
      <c r="A401" s="75"/>
      <c r="B401" s="362" t="s">
        <v>1132</v>
      </c>
      <c r="C401" s="76"/>
      <c r="D401" s="76"/>
      <c r="E401" s="77"/>
      <c r="F401" s="368"/>
      <c r="G401" s="77">
        <f t="shared" si="16"/>
        <v>0</v>
      </c>
      <c r="H401" s="77">
        <f t="shared" si="18"/>
        <v>0</v>
      </c>
      <c r="I401" s="257">
        <f t="shared" si="17"/>
        <v>0</v>
      </c>
    </row>
    <row r="402" spans="1:11" s="78" customFormat="1" ht="24.95" customHeight="1">
      <c r="A402" s="75"/>
      <c r="B402" s="356" t="s">
        <v>1133</v>
      </c>
      <c r="C402" s="76"/>
      <c r="D402" s="76"/>
      <c r="E402" s="77"/>
      <c r="F402" s="368"/>
      <c r="G402" s="77">
        <f t="shared" si="16"/>
        <v>0</v>
      </c>
      <c r="H402" s="77">
        <f t="shared" si="18"/>
        <v>0</v>
      </c>
      <c r="I402" s="257">
        <f t="shared" si="17"/>
        <v>0</v>
      </c>
    </row>
    <row r="403" spans="1:11" s="78" customFormat="1" ht="24.95" customHeight="1">
      <c r="A403" s="75"/>
      <c r="B403" s="356" t="s">
        <v>1134</v>
      </c>
      <c r="C403" s="371">
        <v>8</v>
      </c>
      <c r="D403" s="76">
        <v>1</v>
      </c>
      <c r="E403" s="77">
        <v>1.6</v>
      </c>
      <c r="F403" s="368">
        <v>5</v>
      </c>
      <c r="G403" s="77">
        <f t="shared" si="16"/>
        <v>8</v>
      </c>
      <c r="H403" s="77">
        <f t="shared" si="18"/>
        <v>0.39506172839506171</v>
      </c>
      <c r="I403" s="257">
        <f t="shared" si="17"/>
        <v>3.1604938271604937</v>
      </c>
    </row>
    <row r="404" spans="1:11" s="78" customFormat="1" ht="24.95" customHeight="1">
      <c r="A404" s="75"/>
      <c r="B404" s="373" t="s">
        <v>1174</v>
      </c>
      <c r="C404" s="371">
        <v>8</v>
      </c>
      <c r="D404" s="76">
        <v>1</v>
      </c>
      <c r="E404" s="372">
        <f>0.075+0.075+0.1+0.1+0.08</f>
        <v>0.43</v>
      </c>
      <c r="F404" s="368">
        <v>11</v>
      </c>
      <c r="G404" s="77">
        <f t="shared" si="16"/>
        <v>4.7299999999999995</v>
      </c>
      <c r="H404" s="77">
        <f>+C404*C404/162</f>
        <v>0.39506172839506171</v>
      </c>
      <c r="I404" s="257">
        <f t="shared" si="17"/>
        <v>1.8686419753086416</v>
      </c>
      <c r="K404" s="220"/>
    </row>
    <row r="405" spans="1:11" s="78" customFormat="1" ht="24.95" customHeight="1">
      <c r="A405" s="75"/>
      <c r="B405" s="356" t="s">
        <v>1135</v>
      </c>
      <c r="C405" s="76"/>
      <c r="D405" s="76"/>
      <c r="E405" s="77"/>
      <c r="F405" s="368"/>
      <c r="G405" s="77">
        <f t="shared" si="16"/>
        <v>0</v>
      </c>
      <c r="H405" s="77">
        <f t="shared" si="18"/>
        <v>0</v>
      </c>
      <c r="I405" s="257">
        <f t="shared" si="17"/>
        <v>0</v>
      </c>
    </row>
    <row r="406" spans="1:11" s="78" customFormat="1" ht="24.95" customHeight="1">
      <c r="A406" s="75"/>
      <c r="B406" s="356" t="s">
        <v>1134</v>
      </c>
      <c r="C406" s="371">
        <v>8</v>
      </c>
      <c r="D406" s="76">
        <v>1</v>
      </c>
      <c r="E406" s="77">
        <v>1.6</v>
      </c>
      <c r="F406" s="368">
        <v>5</v>
      </c>
      <c r="G406" s="77">
        <f t="shared" si="16"/>
        <v>8</v>
      </c>
      <c r="H406" s="77">
        <f t="shared" si="18"/>
        <v>0.39506172839506171</v>
      </c>
      <c r="I406" s="257">
        <f t="shared" si="17"/>
        <v>3.1604938271604937</v>
      </c>
    </row>
    <row r="407" spans="1:11" s="78" customFormat="1" ht="24.95" customHeight="1">
      <c r="A407" s="75"/>
      <c r="B407" s="373" t="s">
        <v>1174</v>
      </c>
      <c r="C407" s="371">
        <v>8</v>
      </c>
      <c r="D407" s="76">
        <v>1</v>
      </c>
      <c r="E407" s="372">
        <f>0.075+0.075+0.1+0.1+0.08</f>
        <v>0.43</v>
      </c>
      <c r="F407" s="368">
        <v>11</v>
      </c>
      <c r="G407" s="77">
        <f t="shared" si="16"/>
        <v>4.7299999999999995</v>
      </c>
      <c r="H407" s="77">
        <f t="shared" si="18"/>
        <v>0.39506172839506171</v>
      </c>
      <c r="I407" s="257">
        <f t="shared" si="17"/>
        <v>1.8686419753086416</v>
      </c>
      <c r="K407" s="220"/>
    </row>
    <row r="408" spans="1:11" s="78" customFormat="1" ht="24.95" customHeight="1">
      <c r="A408" s="75"/>
      <c r="B408" s="356" t="s">
        <v>1136</v>
      </c>
      <c r="C408" s="76"/>
      <c r="D408" s="76"/>
      <c r="E408" s="77"/>
      <c r="F408" s="368"/>
      <c r="G408" s="77">
        <f t="shared" si="16"/>
        <v>0</v>
      </c>
      <c r="H408" s="77">
        <f t="shared" si="18"/>
        <v>0</v>
      </c>
      <c r="I408" s="257">
        <f t="shared" si="17"/>
        <v>0</v>
      </c>
    </row>
    <row r="409" spans="1:11" s="78" customFormat="1" ht="24.95" customHeight="1">
      <c r="A409" s="75"/>
      <c r="B409" s="356" t="s">
        <v>1137</v>
      </c>
      <c r="C409" s="371">
        <v>8</v>
      </c>
      <c r="D409" s="76">
        <v>1</v>
      </c>
      <c r="E409" s="77">
        <v>1.4</v>
      </c>
      <c r="F409" s="368">
        <v>4</v>
      </c>
      <c r="G409" s="77">
        <f t="shared" si="16"/>
        <v>5.6</v>
      </c>
      <c r="H409" s="77">
        <f t="shared" si="18"/>
        <v>0.39506172839506171</v>
      </c>
      <c r="I409" s="257">
        <f t="shared" si="17"/>
        <v>2.2123456790123455</v>
      </c>
    </row>
    <row r="410" spans="1:11" s="78" customFormat="1" ht="24.95" customHeight="1">
      <c r="A410" s="75"/>
      <c r="B410" s="373" t="s">
        <v>1174</v>
      </c>
      <c r="C410" s="371">
        <v>8</v>
      </c>
      <c r="D410" s="76">
        <v>1</v>
      </c>
      <c r="E410" s="372">
        <f>0.075+0.075+0.1+0.1+0.08</f>
        <v>0.43</v>
      </c>
      <c r="F410" s="368">
        <v>9</v>
      </c>
      <c r="G410" s="77">
        <f t="shared" si="16"/>
        <v>3.87</v>
      </c>
      <c r="H410" s="77">
        <f>+C410*C410/162</f>
        <v>0.39506172839506171</v>
      </c>
      <c r="I410" s="257">
        <f t="shared" si="17"/>
        <v>1.5288888888888887</v>
      </c>
      <c r="K410" s="220"/>
    </row>
    <row r="411" spans="1:11" s="78" customFormat="1" ht="24.95" customHeight="1">
      <c r="A411" s="75"/>
      <c r="B411" s="356" t="s">
        <v>1138</v>
      </c>
      <c r="C411" s="76"/>
      <c r="D411" s="76"/>
      <c r="E411" s="77"/>
      <c r="F411" s="368"/>
      <c r="G411" s="77">
        <f t="shared" si="16"/>
        <v>0</v>
      </c>
      <c r="H411" s="77">
        <f t="shared" si="18"/>
        <v>0</v>
      </c>
      <c r="I411" s="257">
        <f t="shared" si="17"/>
        <v>0</v>
      </c>
    </row>
    <row r="412" spans="1:11" s="78" customFormat="1" ht="24.95" customHeight="1">
      <c r="A412" s="75"/>
      <c r="B412" s="356" t="s">
        <v>1134</v>
      </c>
      <c r="C412" s="371">
        <v>8</v>
      </c>
      <c r="D412" s="76">
        <v>1</v>
      </c>
      <c r="E412" s="77">
        <v>1.6</v>
      </c>
      <c r="F412" s="368">
        <v>5</v>
      </c>
      <c r="G412" s="77">
        <f t="shared" si="16"/>
        <v>8</v>
      </c>
      <c r="H412" s="77">
        <f t="shared" si="18"/>
        <v>0.39506172839506171</v>
      </c>
      <c r="I412" s="257">
        <f t="shared" si="17"/>
        <v>3.1604938271604937</v>
      </c>
    </row>
    <row r="413" spans="1:11" s="78" customFormat="1" ht="24.95" customHeight="1">
      <c r="A413" s="75"/>
      <c r="B413" s="373" t="s">
        <v>1174</v>
      </c>
      <c r="C413" s="371">
        <v>8</v>
      </c>
      <c r="D413" s="76">
        <v>1</v>
      </c>
      <c r="E413" s="372">
        <f>0.075+0.075+0.1+0.1+0.08</f>
        <v>0.43</v>
      </c>
      <c r="F413" s="368">
        <v>11</v>
      </c>
      <c r="G413" s="77">
        <f t="shared" si="16"/>
        <v>4.7299999999999995</v>
      </c>
      <c r="H413" s="77">
        <f t="shared" si="18"/>
        <v>0.39506172839506171</v>
      </c>
      <c r="I413" s="257">
        <f t="shared" si="17"/>
        <v>1.8686419753086416</v>
      </c>
      <c r="K413" s="220"/>
    </row>
    <row r="414" spans="1:11" s="78" customFormat="1" ht="24.95" customHeight="1">
      <c r="A414" s="75"/>
      <c r="B414" s="356" t="s">
        <v>1139</v>
      </c>
      <c r="C414" s="76"/>
      <c r="D414" s="76"/>
      <c r="E414" s="77"/>
      <c r="F414" s="368"/>
      <c r="G414" s="77">
        <f t="shared" si="16"/>
        <v>0</v>
      </c>
      <c r="H414" s="77">
        <f t="shared" si="18"/>
        <v>0</v>
      </c>
      <c r="I414" s="257">
        <f t="shared" si="17"/>
        <v>0</v>
      </c>
    </row>
    <row r="415" spans="1:11" s="78" customFormat="1" ht="24.95" customHeight="1">
      <c r="A415" s="75"/>
      <c r="B415" s="356" t="s">
        <v>1140</v>
      </c>
      <c r="C415" s="371">
        <v>8</v>
      </c>
      <c r="D415" s="76">
        <v>1</v>
      </c>
      <c r="E415" s="77">
        <v>1.2</v>
      </c>
      <c r="F415" s="368">
        <v>4</v>
      </c>
      <c r="G415" s="77">
        <f t="shared" si="16"/>
        <v>4.8</v>
      </c>
      <c r="H415" s="77">
        <f t="shared" si="18"/>
        <v>0.39506172839506171</v>
      </c>
      <c r="I415" s="257">
        <f t="shared" si="17"/>
        <v>1.8962962962962961</v>
      </c>
    </row>
    <row r="416" spans="1:11" s="78" customFormat="1" ht="24.95" customHeight="1">
      <c r="A416" s="75"/>
      <c r="B416" s="373" t="s">
        <v>1174</v>
      </c>
      <c r="C416" s="371">
        <v>8</v>
      </c>
      <c r="D416" s="76">
        <v>1</v>
      </c>
      <c r="E416" s="372">
        <f>0.075+0.075+0.1+0.1+0.08</f>
        <v>0.43</v>
      </c>
      <c r="F416" s="368">
        <v>8</v>
      </c>
      <c r="G416" s="77">
        <f t="shared" si="16"/>
        <v>3.44</v>
      </c>
      <c r="H416" s="77">
        <f>+C416*C416/162</f>
        <v>0.39506172839506171</v>
      </c>
      <c r="I416" s="257">
        <f t="shared" si="17"/>
        <v>1.3590123456790122</v>
      </c>
      <c r="K416" s="220"/>
    </row>
    <row r="417" spans="1:11" s="78" customFormat="1" ht="24.95" customHeight="1">
      <c r="A417" s="75"/>
      <c r="B417" s="356" t="s">
        <v>1141</v>
      </c>
      <c r="C417" s="76"/>
      <c r="D417" s="76"/>
      <c r="E417" s="77"/>
      <c r="F417" s="368"/>
      <c r="G417" s="77">
        <f t="shared" si="16"/>
        <v>0</v>
      </c>
      <c r="H417" s="77">
        <f t="shared" si="18"/>
        <v>0</v>
      </c>
      <c r="I417" s="257">
        <f t="shared" si="17"/>
        <v>0</v>
      </c>
    </row>
    <row r="418" spans="1:11" s="78" customFormat="1" ht="24.95" customHeight="1">
      <c r="A418" s="75"/>
      <c r="B418" s="356" t="s">
        <v>1142</v>
      </c>
      <c r="C418" s="371">
        <v>8</v>
      </c>
      <c r="D418" s="76">
        <v>1</v>
      </c>
      <c r="E418" s="77">
        <v>1.6</v>
      </c>
      <c r="F418" s="368">
        <v>5</v>
      </c>
      <c r="G418" s="77">
        <f t="shared" si="16"/>
        <v>8</v>
      </c>
      <c r="H418" s="77">
        <f t="shared" si="18"/>
        <v>0.39506172839506171</v>
      </c>
      <c r="I418" s="257">
        <f t="shared" si="17"/>
        <v>3.1604938271604937</v>
      </c>
    </row>
    <row r="419" spans="1:11" s="78" customFormat="1" ht="24.95" customHeight="1">
      <c r="A419" s="75"/>
      <c r="B419" s="373" t="s">
        <v>1174</v>
      </c>
      <c r="C419" s="371">
        <v>8</v>
      </c>
      <c r="D419" s="76">
        <v>1</v>
      </c>
      <c r="E419" s="372">
        <f>0.075+0.075+0.1+0.1+0.08</f>
        <v>0.43</v>
      </c>
      <c r="F419" s="368">
        <v>11</v>
      </c>
      <c r="G419" s="77">
        <f t="shared" si="16"/>
        <v>4.7299999999999995</v>
      </c>
      <c r="H419" s="77">
        <f t="shared" si="18"/>
        <v>0.39506172839506171</v>
      </c>
      <c r="I419" s="257">
        <f t="shared" si="17"/>
        <v>1.8686419753086416</v>
      </c>
      <c r="K419" s="220"/>
    </row>
    <row r="420" spans="1:11" s="78" customFormat="1" ht="24.95" customHeight="1">
      <c r="A420" s="75"/>
      <c r="B420" s="356"/>
      <c r="C420" s="76"/>
      <c r="D420" s="76"/>
      <c r="E420" s="77"/>
      <c r="F420" s="368"/>
      <c r="G420" s="77">
        <f t="shared" si="16"/>
        <v>0</v>
      </c>
      <c r="H420" s="77">
        <f t="shared" si="18"/>
        <v>0</v>
      </c>
      <c r="I420" s="257">
        <f t="shared" si="17"/>
        <v>0</v>
      </c>
    </row>
    <row r="421" spans="1:11" s="78" customFormat="1" ht="24.95" customHeight="1">
      <c r="A421" s="75"/>
      <c r="B421" s="362" t="s">
        <v>1124</v>
      </c>
      <c r="C421" s="76"/>
      <c r="D421" s="76"/>
      <c r="E421" s="77"/>
      <c r="F421" s="368"/>
      <c r="G421" s="77">
        <f t="shared" si="16"/>
        <v>0</v>
      </c>
      <c r="H421" s="77">
        <f t="shared" si="18"/>
        <v>0</v>
      </c>
      <c r="I421" s="257">
        <f t="shared" si="17"/>
        <v>0</v>
      </c>
    </row>
    <row r="422" spans="1:11" s="78" customFormat="1" ht="24.95" customHeight="1">
      <c r="A422" s="75"/>
      <c r="B422" s="356" t="s">
        <v>1140</v>
      </c>
      <c r="C422" s="371">
        <v>8</v>
      </c>
      <c r="D422" s="76">
        <v>2</v>
      </c>
      <c r="E422" s="77">
        <v>1.2</v>
      </c>
      <c r="F422" s="368">
        <v>4</v>
      </c>
      <c r="G422" s="77">
        <f t="shared" si="16"/>
        <v>9.6</v>
      </c>
      <c r="H422" s="77">
        <f t="shared" si="18"/>
        <v>0.39506172839506171</v>
      </c>
      <c r="I422" s="257">
        <f t="shared" si="17"/>
        <v>3.7925925925925923</v>
      </c>
    </row>
    <row r="423" spans="1:11" s="78" customFormat="1" ht="24.95" customHeight="1">
      <c r="A423" s="75"/>
      <c r="B423" s="373" t="s">
        <v>1174</v>
      </c>
      <c r="C423" s="371">
        <v>8</v>
      </c>
      <c r="D423" s="76">
        <v>2</v>
      </c>
      <c r="E423" s="372">
        <f>(0.075+0.075+0.1+0.1+0.08)</f>
        <v>0.43</v>
      </c>
      <c r="F423" s="368">
        <v>8</v>
      </c>
      <c r="G423" s="77">
        <f t="shared" si="16"/>
        <v>6.88</v>
      </c>
      <c r="H423" s="77">
        <f>+C423*C423/162</f>
        <v>0.39506172839506171</v>
      </c>
      <c r="I423" s="257">
        <f t="shared" si="17"/>
        <v>2.7180246913580244</v>
      </c>
      <c r="K423" s="220"/>
    </row>
    <row r="424" spans="1:11" s="78" customFormat="1" ht="24.95" customHeight="1">
      <c r="A424" s="75"/>
      <c r="B424" s="1441" t="s">
        <v>1187</v>
      </c>
      <c r="C424" s="1442"/>
      <c r="D424" s="1442"/>
      <c r="E424" s="1442"/>
      <c r="F424" s="1442"/>
      <c r="G424" s="1442"/>
      <c r="H424" s="1443"/>
      <c r="I424" s="351">
        <f>SUM(I8:I422)</f>
        <v>1313.6967901234589</v>
      </c>
    </row>
    <row r="426" spans="1:11" ht="24.95" customHeight="1">
      <c r="J426" s="379"/>
    </row>
    <row r="427" spans="1:11" ht="24.95" customHeight="1">
      <c r="I427" s="378">
        <v>1313.6967901234589</v>
      </c>
    </row>
  </sheetData>
  <mergeCells count="4">
    <mergeCell ref="B424:H424"/>
    <mergeCell ref="A1:H1"/>
    <mergeCell ref="A3:E3"/>
    <mergeCell ref="F3:G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M67"/>
  <sheetViews>
    <sheetView topLeftCell="A48" workbookViewId="0">
      <selection activeCell="I67" sqref="I67"/>
    </sheetView>
  </sheetViews>
  <sheetFormatPr defaultRowHeight="15"/>
  <cols>
    <col min="4" max="4" width="17.42578125" bestFit="1" customWidth="1"/>
  </cols>
  <sheetData>
    <row r="8" spans="4:11">
      <c r="D8" s="438" t="s">
        <v>1369</v>
      </c>
    </row>
    <row r="9" spans="4:11">
      <c r="D9" s="438" t="s">
        <v>1372</v>
      </c>
      <c r="F9" t="s">
        <v>1370</v>
      </c>
    </row>
    <row r="10" spans="4:11">
      <c r="F10">
        <v>1675</v>
      </c>
      <c r="G10">
        <v>4</v>
      </c>
      <c r="H10">
        <v>0.3</v>
      </c>
      <c r="I10">
        <v>0.45</v>
      </c>
      <c r="K10">
        <f>+I10*H10*G10*F10</f>
        <v>904.50000000000011</v>
      </c>
    </row>
    <row r="11" spans="4:11">
      <c r="F11">
        <v>60</v>
      </c>
      <c r="G11">
        <v>6</v>
      </c>
      <c r="H11">
        <v>0.3</v>
      </c>
      <c r="I11">
        <v>0.45</v>
      </c>
      <c r="K11">
        <f>+I11*H11*G11*F11</f>
        <v>48.6</v>
      </c>
    </row>
    <row r="12" spans="4:11">
      <c r="F12">
        <v>100</v>
      </c>
      <c r="G12">
        <v>6</v>
      </c>
      <c r="H12">
        <v>0.3</v>
      </c>
      <c r="I12">
        <v>0.45</v>
      </c>
      <c r="K12">
        <f t="shared" ref="K12:K19" si="0">+I12*H12*G12*F12</f>
        <v>81</v>
      </c>
    </row>
    <row r="13" spans="4:11">
      <c r="F13">
        <v>50</v>
      </c>
      <c r="G13">
        <v>6</v>
      </c>
      <c r="H13">
        <v>0.3</v>
      </c>
      <c r="I13">
        <v>0.45</v>
      </c>
      <c r="K13">
        <f t="shared" si="0"/>
        <v>40.5</v>
      </c>
    </row>
    <row r="14" spans="4:11">
      <c r="F14">
        <v>102</v>
      </c>
      <c r="G14">
        <v>6</v>
      </c>
      <c r="H14">
        <v>0.3</v>
      </c>
      <c r="I14">
        <v>0.45</v>
      </c>
      <c r="K14">
        <f t="shared" si="0"/>
        <v>82.62</v>
      </c>
    </row>
    <row r="15" spans="4:11">
      <c r="F15">
        <v>125</v>
      </c>
      <c r="G15">
        <v>6</v>
      </c>
      <c r="H15">
        <v>0.3</v>
      </c>
      <c r="I15">
        <v>0.45</v>
      </c>
      <c r="K15">
        <f t="shared" si="0"/>
        <v>101.25</v>
      </c>
    </row>
    <row r="16" spans="4:11">
      <c r="F16">
        <v>25</v>
      </c>
      <c r="G16">
        <v>6</v>
      </c>
      <c r="H16">
        <v>0.3</v>
      </c>
      <c r="I16">
        <v>0.45</v>
      </c>
      <c r="K16">
        <f t="shared" si="0"/>
        <v>20.25</v>
      </c>
    </row>
    <row r="17" spans="4:13">
      <c r="F17">
        <v>20</v>
      </c>
      <c r="G17">
        <v>6</v>
      </c>
      <c r="H17">
        <v>0.3</v>
      </c>
      <c r="I17">
        <v>0.45</v>
      </c>
      <c r="K17">
        <f t="shared" si="0"/>
        <v>16.200000000000003</v>
      </c>
    </row>
    <row r="18" spans="4:13">
      <c r="F18">
        <v>8</v>
      </c>
      <c r="G18">
        <v>6</v>
      </c>
      <c r="H18">
        <v>0.3</v>
      </c>
      <c r="I18">
        <v>0.45</v>
      </c>
      <c r="K18">
        <f t="shared" si="0"/>
        <v>6.48</v>
      </c>
    </row>
    <row r="19" spans="4:13">
      <c r="F19">
        <v>300</v>
      </c>
      <c r="G19">
        <v>6</v>
      </c>
      <c r="H19">
        <v>0.3</v>
      </c>
      <c r="I19">
        <v>0.45</v>
      </c>
      <c r="K19">
        <f t="shared" si="0"/>
        <v>243.00000000000003</v>
      </c>
    </row>
    <row r="21" spans="4:13">
      <c r="K21" s="438">
        <f>SUM(K10:K20)</f>
        <v>1544.4000000000003</v>
      </c>
      <c r="M21" s="438">
        <v>1350</v>
      </c>
    </row>
    <row r="25" spans="4:13">
      <c r="D25" s="438" t="s">
        <v>1371</v>
      </c>
    </row>
    <row r="26" spans="4:13">
      <c r="F26">
        <v>50</v>
      </c>
      <c r="G26">
        <v>4</v>
      </c>
      <c r="H26">
        <v>0.6</v>
      </c>
      <c r="I26">
        <v>0.6</v>
      </c>
      <c r="K26">
        <f>+I26*H26*G26*F26</f>
        <v>72</v>
      </c>
    </row>
    <row r="27" spans="4:13">
      <c r="F27">
        <v>945</v>
      </c>
      <c r="G27">
        <v>4</v>
      </c>
      <c r="H27">
        <v>0.6</v>
      </c>
      <c r="I27">
        <v>0.6</v>
      </c>
      <c r="K27">
        <f>+I27*H27*G27*F27</f>
        <v>1360.8</v>
      </c>
    </row>
    <row r="28" spans="4:13">
      <c r="F28">
        <v>790</v>
      </c>
      <c r="G28">
        <v>4</v>
      </c>
      <c r="H28">
        <v>0.6</v>
      </c>
      <c r="I28">
        <v>0.6</v>
      </c>
      <c r="K28">
        <f>+I28*H28*G28*F28</f>
        <v>1137.5999999999999</v>
      </c>
    </row>
    <row r="29" spans="4:13">
      <c r="F29">
        <v>825</v>
      </c>
      <c r="G29">
        <v>4</v>
      </c>
      <c r="H29">
        <v>0.6</v>
      </c>
      <c r="I29">
        <v>0.6</v>
      </c>
      <c r="K29">
        <f>+I29*H29*G29*F29</f>
        <v>1188</v>
      </c>
    </row>
    <row r="30" spans="4:13">
      <c r="F30">
        <v>950</v>
      </c>
      <c r="G30">
        <v>4</v>
      </c>
      <c r="H30">
        <v>0.6</v>
      </c>
      <c r="I30">
        <v>0.6</v>
      </c>
      <c r="K30">
        <f>+I30*H30*G30*F30</f>
        <v>1368</v>
      </c>
    </row>
    <row r="32" spans="4:13">
      <c r="K32" s="438">
        <f>SUM(K26:K31)</f>
        <v>5126.3999999999996</v>
      </c>
      <c r="M32" s="438">
        <v>4850</v>
      </c>
    </row>
    <row r="33" spans="4:13">
      <c r="K33" s="438"/>
      <c r="M33" s="438"/>
    </row>
    <row r="34" spans="4:13">
      <c r="K34" s="438"/>
      <c r="M34" s="438"/>
    </row>
    <row r="35" spans="4:13">
      <c r="D35" t="s">
        <v>1377</v>
      </c>
      <c r="F35">
        <v>-315</v>
      </c>
      <c r="G35">
        <v>4</v>
      </c>
      <c r="H35">
        <v>0.6</v>
      </c>
      <c r="I35">
        <v>0.6</v>
      </c>
      <c r="K35">
        <f>+I35*H35*G35*F35</f>
        <v>-453.59999999999997</v>
      </c>
    </row>
    <row r="36" spans="4:13">
      <c r="D36" t="s">
        <v>7</v>
      </c>
      <c r="K36" s="438">
        <f>+K35+K32</f>
        <v>4672.7999999999993</v>
      </c>
    </row>
    <row r="37" spans="4:13">
      <c r="D37" s="438" t="s">
        <v>1378</v>
      </c>
      <c r="K37" s="438">
        <f>+K36+K21</f>
        <v>6217.2</v>
      </c>
    </row>
    <row r="38" spans="4:13">
      <c r="D38" s="438" t="s">
        <v>1379</v>
      </c>
      <c r="K38" s="439">
        <f>+SUM(Abstract!G133:G135)</f>
        <v>6188.9399999999978</v>
      </c>
    </row>
    <row r="39" spans="4:13">
      <c r="D39" s="438" t="s">
        <v>1380</v>
      </c>
      <c r="K39" s="439">
        <f>+K37-K38</f>
        <v>28.260000000002037</v>
      </c>
    </row>
    <row r="45" spans="4:13">
      <c r="D45" s="438" t="s">
        <v>1401</v>
      </c>
    </row>
    <row r="46" spans="4:13">
      <c r="D46" s="445">
        <v>42538</v>
      </c>
      <c r="E46">
        <f>155+635</f>
        <v>790</v>
      </c>
      <c r="F46">
        <v>4</v>
      </c>
      <c r="G46">
        <v>0.6</v>
      </c>
      <c r="H46">
        <v>0.6</v>
      </c>
      <c r="I46">
        <f>+PRODUCT(E46:H46)</f>
        <v>1137.5999999999999</v>
      </c>
    </row>
    <row r="47" spans="4:13">
      <c r="D47" s="445">
        <v>42528</v>
      </c>
      <c r="E47">
        <v>825</v>
      </c>
      <c r="F47">
        <v>4</v>
      </c>
      <c r="G47">
        <v>0.6</v>
      </c>
      <c r="H47">
        <v>0.6</v>
      </c>
      <c r="I47">
        <f t="shared" ref="I47:I52" si="1">+PRODUCT(E47:H47)</f>
        <v>1188</v>
      </c>
    </row>
    <row r="48" spans="4:13">
      <c r="D48" s="445">
        <v>42526</v>
      </c>
      <c r="E48">
        <v>950</v>
      </c>
      <c r="F48">
        <v>4</v>
      </c>
      <c r="G48">
        <v>0.6</v>
      </c>
      <c r="H48">
        <v>0.6</v>
      </c>
      <c r="I48">
        <f t="shared" si="1"/>
        <v>1368</v>
      </c>
    </row>
    <row r="49" spans="4:9">
      <c r="D49" s="445">
        <v>42548</v>
      </c>
      <c r="E49">
        <f>535+410</f>
        <v>945</v>
      </c>
      <c r="F49">
        <v>4</v>
      </c>
      <c r="G49">
        <v>0.6</v>
      </c>
      <c r="H49">
        <v>0.6</v>
      </c>
      <c r="I49">
        <f t="shared" si="1"/>
        <v>1360.8</v>
      </c>
    </row>
    <row r="50" spans="4:9">
      <c r="D50" s="445">
        <v>42565</v>
      </c>
      <c r="E50">
        <v>227</v>
      </c>
      <c r="F50">
        <v>4</v>
      </c>
      <c r="G50">
        <v>0.6</v>
      </c>
      <c r="H50">
        <v>0.6</v>
      </c>
      <c r="I50">
        <f t="shared" si="1"/>
        <v>326.87999999999994</v>
      </c>
    </row>
    <row r="51" spans="4:9">
      <c r="D51" s="445">
        <v>42574</v>
      </c>
      <c r="E51">
        <v>50</v>
      </c>
      <c r="F51">
        <v>4</v>
      </c>
      <c r="G51">
        <v>0.6</v>
      </c>
      <c r="H51">
        <v>0.6</v>
      </c>
      <c r="I51">
        <f t="shared" si="1"/>
        <v>72</v>
      </c>
    </row>
    <row r="52" spans="4:9">
      <c r="D52" t="s">
        <v>1402</v>
      </c>
      <c r="E52">
        <v>50</v>
      </c>
      <c r="F52">
        <v>4</v>
      </c>
      <c r="G52">
        <v>0.6</v>
      </c>
      <c r="H52">
        <v>0.6</v>
      </c>
      <c r="I52">
        <f t="shared" si="1"/>
        <v>72</v>
      </c>
    </row>
    <row r="53" spans="4:9" s="438" customFormat="1">
      <c r="D53" s="438" t="s">
        <v>1403</v>
      </c>
      <c r="I53" s="438">
        <f>SUM(I46:I52)</f>
        <v>5525.28</v>
      </c>
    </row>
    <row r="56" spans="4:9">
      <c r="D56" s="438" t="s">
        <v>1400</v>
      </c>
    </row>
    <row r="57" spans="4:9">
      <c r="D57" s="445">
        <v>42543</v>
      </c>
      <c r="E57">
        <v>300</v>
      </c>
      <c r="F57">
        <v>6</v>
      </c>
      <c r="G57">
        <v>0.3</v>
      </c>
      <c r="H57">
        <v>0.45</v>
      </c>
      <c r="I57">
        <f>+PRODUCT(E57:H57)</f>
        <v>243</v>
      </c>
    </row>
    <row r="58" spans="4:9">
      <c r="D58" s="445">
        <v>42548</v>
      </c>
      <c r="E58">
        <v>1675</v>
      </c>
      <c r="F58">
        <v>6</v>
      </c>
      <c r="G58">
        <v>0.3</v>
      </c>
      <c r="H58">
        <v>0.45</v>
      </c>
      <c r="I58">
        <f>+PRODUCT(E58:H58)</f>
        <v>1356.75</v>
      </c>
    </row>
    <row r="59" spans="4:9">
      <c r="D59" s="445">
        <v>42579</v>
      </c>
      <c r="E59">
        <v>100</v>
      </c>
      <c r="F59">
        <v>6</v>
      </c>
      <c r="G59">
        <v>0.3</v>
      </c>
      <c r="H59">
        <v>0.45</v>
      </c>
      <c r="I59">
        <f>+PRODUCT(E59:H59)</f>
        <v>81</v>
      </c>
    </row>
    <row r="60" spans="4:9">
      <c r="D60" s="445">
        <v>42577</v>
      </c>
      <c r="E60">
        <v>60</v>
      </c>
      <c r="F60">
        <v>6</v>
      </c>
      <c r="G60">
        <v>0.3</v>
      </c>
      <c r="H60">
        <v>0.45</v>
      </c>
      <c r="I60">
        <f>+PRODUCT(E60:H60)</f>
        <v>48.6</v>
      </c>
    </row>
    <row r="61" spans="4:9" s="438" customFormat="1">
      <c r="D61" s="438" t="s">
        <v>1403</v>
      </c>
      <c r="I61" s="438">
        <f>SUM(I54:I60)</f>
        <v>1729.35</v>
      </c>
    </row>
    <row r="63" spans="4:9" s="438" customFormat="1">
      <c r="D63" s="438" t="s">
        <v>1404</v>
      </c>
      <c r="I63" s="438">
        <f>+I61+I53</f>
        <v>7254.6299999999992</v>
      </c>
    </row>
    <row r="64" spans="4:9">
      <c r="D64" s="438" t="s">
        <v>1405</v>
      </c>
      <c r="I64" s="439">
        <f>+SUM(Abstract!G133:G135)</f>
        <v>6188.9399999999978</v>
      </c>
    </row>
    <row r="65" spans="4:9">
      <c r="D65" s="438" t="s">
        <v>1407</v>
      </c>
      <c r="I65" s="439">
        <f>+I63-I64</f>
        <v>1065.6900000000014</v>
      </c>
    </row>
    <row r="66" spans="4:9">
      <c r="D66" s="438" t="s">
        <v>1406</v>
      </c>
      <c r="I66" s="438">
        <v>454</v>
      </c>
    </row>
    <row r="67" spans="4:9">
      <c r="D67" s="438" t="s">
        <v>1408</v>
      </c>
      <c r="I67" s="439">
        <f>+I65-I66</f>
        <v>611.69000000000142</v>
      </c>
    </row>
  </sheetData>
  <pageMargins left="0.7" right="0.7" top="0.75" bottom="0.75" header="0.3" footer="0.3"/>
  <pageSetup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88"/>
  <sheetViews>
    <sheetView view="pageBreakPreview" zoomScaleSheetLayoutView="100" workbookViewId="0">
      <pane ySplit="4" topLeftCell="A86" activePane="bottomLeft" state="frozen"/>
      <selection activeCell="H3" sqref="H3"/>
      <selection pane="bottomLeft" activeCell="E94" sqref="E94"/>
    </sheetView>
  </sheetViews>
  <sheetFormatPr defaultRowHeight="14.25"/>
  <cols>
    <col min="1" max="1" width="7.28515625" style="71" bestFit="1" customWidth="1"/>
    <col min="2" max="2" width="13" style="71" bestFit="1" customWidth="1"/>
    <col min="3" max="3" width="12.85546875" style="71" bestFit="1" customWidth="1"/>
    <col min="4" max="4" width="37.42578125" style="71" bestFit="1" customWidth="1"/>
    <col min="5" max="5" width="24.42578125" style="71" bestFit="1" customWidth="1"/>
    <col min="6" max="6" width="8.140625" style="71" bestFit="1" customWidth="1"/>
    <col min="7" max="7" width="9.42578125" style="71" bestFit="1" customWidth="1"/>
    <col min="8" max="8" width="12.85546875" style="71" bestFit="1" customWidth="1"/>
    <col min="9" max="9" width="12.85546875" style="71" customWidth="1"/>
    <col min="10" max="16384" width="9.140625" style="71"/>
  </cols>
  <sheetData>
    <row r="1" spans="1:10" ht="19.5" customHeight="1">
      <c r="A1" s="1394" t="s">
        <v>596</v>
      </c>
      <c r="B1" s="1394"/>
      <c r="C1" s="1394"/>
      <c r="D1" s="1394"/>
      <c r="E1" s="1394"/>
      <c r="F1" s="1394"/>
      <c r="G1" s="1394"/>
      <c r="H1" s="1394"/>
      <c r="I1" s="1090"/>
    </row>
    <row r="2" spans="1:10" ht="19.5" customHeight="1">
      <c r="A2" s="1394" t="s">
        <v>1735</v>
      </c>
      <c r="B2" s="1394"/>
      <c r="C2" s="1394"/>
      <c r="D2" s="1394"/>
      <c r="E2" s="1394"/>
      <c r="F2" s="1394"/>
      <c r="G2" s="1394"/>
      <c r="H2" s="1394"/>
      <c r="I2" s="1090"/>
    </row>
    <row r="3" spans="1:10" ht="29.25" customHeight="1">
      <c r="A3" s="1034" t="s">
        <v>2342</v>
      </c>
      <c r="B3" s="1034"/>
      <c r="C3" s="1034"/>
      <c r="D3" s="1034"/>
      <c r="E3" s="1034"/>
      <c r="F3" s="1346" t="s">
        <v>2554</v>
      </c>
      <c r="G3" s="1346"/>
      <c r="H3" s="1346"/>
      <c r="I3" s="1051"/>
    </row>
    <row r="4" spans="1:10" ht="30.75" customHeight="1">
      <c r="A4" s="526" t="s">
        <v>300</v>
      </c>
      <c r="B4" s="527" t="s">
        <v>1738</v>
      </c>
      <c r="C4" s="527" t="s">
        <v>1737</v>
      </c>
      <c r="D4" s="527" t="s">
        <v>1739</v>
      </c>
      <c r="E4" s="527" t="s">
        <v>2346</v>
      </c>
      <c r="F4" s="527" t="s">
        <v>2349</v>
      </c>
      <c r="G4" s="527" t="s">
        <v>2347</v>
      </c>
      <c r="H4" s="527" t="s">
        <v>1747</v>
      </c>
      <c r="I4" s="1106"/>
    </row>
    <row r="5" spans="1:10">
      <c r="A5" s="1035">
        <v>1</v>
      </c>
      <c r="B5" s="1037">
        <v>42434</v>
      </c>
      <c r="C5" s="1038"/>
      <c r="D5" s="1035" t="s">
        <v>2403</v>
      </c>
      <c r="E5" s="1041" t="s">
        <v>2409</v>
      </c>
      <c r="F5" s="1044"/>
      <c r="G5" s="1044">
        <v>7</v>
      </c>
      <c r="H5" s="1047">
        <v>37365</v>
      </c>
      <c r="I5" s="1107"/>
      <c r="J5" s="71">
        <f t="shared" ref="J5:J36" si="0">ROUND(H5/SUM(F5:G5,0),0)</f>
        <v>5338</v>
      </c>
    </row>
    <row r="6" spans="1:10">
      <c r="A6" s="1035">
        <f t="shared" ref="A6:A75" si="1">A5+1</f>
        <v>2</v>
      </c>
      <c r="B6" s="1037">
        <v>42434</v>
      </c>
      <c r="C6" s="1038"/>
      <c r="D6" s="1035" t="s">
        <v>2403</v>
      </c>
      <c r="E6" s="1041" t="s">
        <v>2408</v>
      </c>
      <c r="F6" s="1044"/>
      <c r="G6" s="1044">
        <v>21</v>
      </c>
      <c r="H6" s="1047">
        <v>112094</v>
      </c>
      <c r="I6" s="1107"/>
      <c r="J6" s="71">
        <f t="shared" si="0"/>
        <v>5338</v>
      </c>
    </row>
    <row r="7" spans="1:10">
      <c r="A7" s="1035">
        <f t="shared" si="1"/>
        <v>3</v>
      </c>
      <c r="B7" s="1037">
        <v>42435</v>
      </c>
      <c r="C7" s="1038"/>
      <c r="D7" s="1035" t="s">
        <v>2403</v>
      </c>
      <c r="E7" s="1041" t="s">
        <v>2407</v>
      </c>
      <c r="F7" s="1044">
        <v>55</v>
      </c>
      <c r="G7" s="1044"/>
      <c r="H7" s="1047">
        <v>207455</v>
      </c>
      <c r="I7" s="1107"/>
      <c r="J7" s="71">
        <f t="shared" si="0"/>
        <v>3772</v>
      </c>
    </row>
    <row r="8" spans="1:10">
      <c r="A8" s="1035">
        <f t="shared" si="1"/>
        <v>4</v>
      </c>
      <c r="B8" s="1037">
        <v>42439</v>
      </c>
      <c r="C8" s="1038"/>
      <c r="D8" s="1035" t="s">
        <v>2403</v>
      </c>
      <c r="E8" s="1041" t="s">
        <v>2406</v>
      </c>
      <c r="F8" s="1044"/>
      <c r="G8" s="1043">
        <v>58.5</v>
      </c>
      <c r="H8" s="1047">
        <v>280835</v>
      </c>
      <c r="I8" s="1107"/>
      <c r="J8" s="71">
        <f t="shared" si="0"/>
        <v>4801</v>
      </c>
    </row>
    <row r="9" spans="1:10">
      <c r="A9" s="1035">
        <f t="shared" si="1"/>
        <v>5</v>
      </c>
      <c r="B9" s="1037">
        <v>42440</v>
      </c>
      <c r="C9" s="1038"/>
      <c r="D9" s="1035" t="s">
        <v>2403</v>
      </c>
      <c r="E9" s="1041" t="s">
        <v>2405</v>
      </c>
      <c r="F9" s="1044"/>
      <c r="G9" s="1044">
        <v>63</v>
      </c>
      <c r="H9" s="1047">
        <v>317388</v>
      </c>
      <c r="I9" s="1107"/>
      <c r="J9" s="71">
        <f t="shared" si="0"/>
        <v>5038</v>
      </c>
    </row>
    <row r="10" spans="1:10">
      <c r="A10" s="1035">
        <f t="shared" si="1"/>
        <v>6</v>
      </c>
      <c r="B10" s="1037">
        <v>42442</v>
      </c>
      <c r="C10" s="1038"/>
      <c r="D10" s="1035" t="s">
        <v>2403</v>
      </c>
      <c r="E10" s="1041" t="s">
        <v>2404</v>
      </c>
      <c r="F10" s="1044"/>
      <c r="G10" s="1044">
        <v>5</v>
      </c>
      <c r="H10" s="1047">
        <v>24003</v>
      </c>
      <c r="I10" s="1107"/>
      <c r="J10" s="71">
        <f t="shared" si="0"/>
        <v>4801</v>
      </c>
    </row>
    <row r="11" spans="1:10">
      <c r="A11" s="1035">
        <f t="shared" si="1"/>
        <v>7</v>
      </c>
      <c r="B11" s="1036">
        <v>42443</v>
      </c>
      <c r="C11" s="1035"/>
      <c r="D11" s="1035" t="s">
        <v>2344</v>
      </c>
      <c r="E11" s="1039" t="s">
        <v>2400</v>
      </c>
      <c r="F11" s="1043"/>
      <c r="G11" s="1043">
        <v>35</v>
      </c>
      <c r="H11" s="1047">
        <v>140000</v>
      </c>
      <c r="I11" s="1107"/>
      <c r="J11" s="71">
        <f t="shared" si="0"/>
        <v>4000</v>
      </c>
    </row>
    <row r="12" spans="1:10">
      <c r="A12" s="1035">
        <f t="shared" si="1"/>
        <v>8</v>
      </c>
      <c r="B12" s="1037">
        <v>42443</v>
      </c>
      <c r="C12" s="1038"/>
      <c r="D12" s="1035" t="s">
        <v>2403</v>
      </c>
      <c r="E12" s="1041" t="s">
        <v>2416</v>
      </c>
      <c r="F12" s="1044"/>
      <c r="G12" s="1044">
        <v>5</v>
      </c>
      <c r="H12" s="1047">
        <v>24003</v>
      </c>
      <c r="I12" s="1107"/>
      <c r="J12" s="71">
        <f t="shared" si="0"/>
        <v>4801</v>
      </c>
    </row>
    <row r="13" spans="1:10">
      <c r="A13" s="1035">
        <f t="shared" si="1"/>
        <v>9</v>
      </c>
      <c r="B13" s="1036">
        <v>42444</v>
      </c>
      <c r="C13" s="1035"/>
      <c r="D13" s="1035" t="s">
        <v>2344</v>
      </c>
      <c r="E13" s="1039" t="s">
        <v>2402</v>
      </c>
      <c r="F13" s="1043"/>
      <c r="G13" s="1043">
        <v>21</v>
      </c>
      <c r="H13" s="1047">
        <v>84000</v>
      </c>
      <c r="I13" s="1107"/>
      <c r="J13" s="71">
        <f t="shared" si="0"/>
        <v>4000</v>
      </c>
    </row>
    <row r="14" spans="1:10">
      <c r="A14" s="1035">
        <f t="shared" si="1"/>
        <v>10</v>
      </c>
      <c r="B14" s="1037">
        <v>42444</v>
      </c>
      <c r="C14" s="1038"/>
      <c r="D14" s="1035" t="s">
        <v>2403</v>
      </c>
      <c r="E14" s="1041" t="s">
        <v>2415</v>
      </c>
      <c r="F14" s="1044"/>
      <c r="G14" s="1044">
        <v>7</v>
      </c>
      <c r="H14" s="1047">
        <v>39065</v>
      </c>
      <c r="I14" s="1107"/>
      <c r="J14" s="71">
        <f t="shared" si="0"/>
        <v>5581</v>
      </c>
    </row>
    <row r="15" spans="1:10">
      <c r="A15" s="1035">
        <f t="shared" si="1"/>
        <v>11</v>
      </c>
      <c r="B15" s="1036">
        <v>42445</v>
      </c>
      <c r="C15" s="1035"/>
      <c r="D15" s="1035" t="s">
        <v>2344</v>
      </c>
      <c r="E15" s="1039" t="s">
        <v>2401</v>
      </c>
      <c r="F15" s="1043"/>
      <c r="G15" s="1043">
        <v>5</v>
      </c>
      <c r="H15" s="1047">
        <v>19125</v>
      </c>
      <c r="I15" s="1107"/>
      <c r="J15" s="71">
        <f t="shared" si="0"/>
        <v>3825</v>
      </c>
    </row>
    <row r="16" spans="1:10">
      <c r="A16" s="1035">
        <f t="shared" si="1"/>
        <v>12</v>
      </c>
      <c r="B16" s="1037">
        <v>42445</v>
      </c>
      <c r="C16" s="1038"/>
      <c r="D16" s="1035" t="s">
        <v>2403</v>
      </c>
      <c r="E16" s="1041" t="s">
        <v>2414</v>
      </c>
      <c r="F16" s="1044"/>
      <c r="G16" s="1043">
        <v>6.5</v>
      </c>
      <c r="H16" s="1047">
        <v>32454</v>
      </c>
      <c r="I16" s="1107"/>
      <c r="J16" s="71">
        <f t="shared" si="0"/>
        <v>4993</v>
      </c>
    </row>
    <row r="17" spans="1:10">
      <c r="A17" s="1035">
        <f t="shared" si="1"/>
        <v>13</v>
      </c>
      <c r="B17" s="1037">
        <v>42445</v>
      </c>
      <c r="C17" s="1038"/>
      <c r="D17" s="1035" t="s">
        <v>2403</v>
      </c>
      <c r="E17" s="1041" t="s">
        <v>2413</v>
      </c>
      <c r="F17" s="1044">
        <v>4</v>
      </c>
      <c r="G17" s="1044"/>
      <c r="H17" s="1047">
        <v>15088</v>
      </c>
      <c r="I17" s="1107"/>
      <c r="J17" s="71">
        <f t="shared" si="0"/>
        <v>3772</v>
      </c>
    </row>
    <row r="18" spans="1:10">
      <c r="A18" s="1035">
        <f t="shared" si="1"/>
        <v>14</v>
      </c>
      <c r="B18" s="1036">
        <v>42446</v>
      </c>
      <c r="C18" s="1035"/>
      <c r="D18" s="1035" t="s">
        <v>2344</v>
      </c>
      <c r="E18" s="1039" t="s">
        <v>2393</v>
      </c>
      <c r="F18" s="1043"/>
      <c r="G18" s="1043">
        <v>28</v>
      </c>
      <c r="H18" s="1047">
        <v>112000</v>
      </c>
      <c r="I18" s="1107"/>
      <c r="J18" s="71">
        <f t="shared" si="0"/>
        <v>4000</v>
      </c>
    </row>
    <row r="19" spans="1:10">
      <c r="A19" s="1035">
        <f t="shared" si="1"/>
        <v>15</v>
      </c>
      <c r="B19" s="1036">
        <v>42446</v>
      </c>
      <c r="C19" s="1035"/>
      <c r="D19" s="1035" t="s">
        <v>2344</v>
      </c>
      <c r="E19" s="1039" t="s">
        <v>2394</v>
      </c>
      <c r="F19" s="1043"/>
      <c r="G19" s="1043">
        <v>7</v>
      </c>
      <c r="H19" s="1047">
        <v>26775</v>
      </c>
      <c r="I19" s="1107"/>
      <c r="J19" s="71">
        <f t="shared" si="0"/>
        <v>3825</v>
      </c>
    </row>
    <row r="20" spans="1:10">
      <c r="A20" s="1035">
        <f t="shared" si="1"/>
        <v>16</v>
      </c>
      <c r="B20" s="1036">
        <v>42447</v>
      </c>
      <c r="C20" s="1035"/>
      <c r="D20" s="1035" t="s">
        <v>2344</v>
      </c>
      <c r="E20" s="1039" t="s">
        <v>2392</v>
      </c>
      <c r="F20" s="1043"/>
      <c r="G20" s="1043">
        <v>21</v>
      </c>
      <c r="H20" s="1047">
        <v>84000</v>
      </c>
      <c r="I20" s="1107"/>
      <c r="J20" s="71">
        <f t="shared" si="0"/>
        <v>4000</v>
      </c>
    </row>
    <row r="21" spans="1:10">
      <c r="A21" s="1035">
        <f t="shared" si="1"/>
        <v>17</v>
      </c>
      <c r="B21" s="1037">
        <v>42447</v>
      </c>
      <c r="C21" s="1038"/>
      <c r="D21" s="1035" t="s">
        <v>2403</v>
      </c>
      <c r="E21" s="1041" t="s">
        <v>2412</v>
      </c>
      <c r="F21" s="1044"/>
      <c r="G21" s="1044">
        <v>7</v>
      </c>
      <c r="H21" s="1047">
        <v>34604</v>
      </c>
      <c r="I21" s="1107"/>
      <c r="J21" s="71">
        <f t="shared" si="0"/>
        <v>4943</v>
      </c>
    </row>
    <row r="22" spans="1:10">
      <c r="A22" s="1035">
        <f t="shared" si="1"/>
        <v>18</v>
      </c>
      <c r="B22" s="1037">
        <v>42448</v>
      </c>
      <c r="C22" s="1038"/>
      <c r="D22" s="1035" t="s">
        <v>2403</v>
      </c>
      <c r="E22" s="1041" t="s">
        <v>2411</v>
      </c>
      <c r="F22" s="1044"/>
      <c r="G22" s="1044">
        <v>7</v>
      </c>
      <c r="H22" s="1047">
        <v>33604</v>
      </c>
      <c r="I22" s="1107"/>
      <c r="J22" s="71">
        <f t="shared" si="0"/>
        <v>4801</v>
      </c>
    </row>
    <row r="23" spans="1:10">
      <c r="A23" s="1035">
        <f t="shared" si="1"/>
        <v>19</v>
      </c>
      <c r="B23" s="1037">
        <v>42449</v>
      </c>
      <c r="C23" s="1038"/>
      <c r="D23" s="1035" t="s">
        <v>2403</v>
      </c>
      <c r="E23" s="1041" t="s">
        <v>2410</v>
      </c>
      <c r="F23" s="1044"/>
      <c r="G23" s="1044">
        <v>7</v>
      </c>
      <c r="H23" s="1047">
        <v>33604</v>
      </c>
      <c r="I23" s="1107"/>
      <c r="J23" s="71">
        <f t="shared" si="0"/>
        <v>4801</v>
      </c>
    </row>
    <row r="24" spans="1:10">
      <c r="A24" s="1035">
        <f t="shared" si="1"/>
        <v>20</v>
      </c>
      <c r="B24" s="1036">
        <v>42450</v>
      </c>
      <c r="C24" s="1035"/>
      <c r="D24" s="1035" t="s">
        <v>2344</v>
      </c>
      <c r="E24" s="1039" t="s">
        <v>2391</v>
      </c>
      <c r="F24" s="1043"/>
      <c r="G24" s="1043">
        <v>6</v>
      </c>
      <c r="H24" s="1047">
        <v>22950</v>
      </c>
      <c r="I24" s="1107"/>
      <c r="J24" s="71">
        <f t="shared" si="0"/>
        <v>3825</v>
      </c>
    </row>
    <row r="25" spans="1:10">
      <c r="A25" s="1035">
        <f t="shared" si="1"/>
        <v>21</v>
      </c>
      <c r="B25" s="1036">
        <v>42451</v>
      </c>
      <c r="C25" s="1035"/>
      <c r="D25" s="1035" t="s">
        <v>2344</v>
      </c>
      <c r="E25" s="1039" t="s">
        <v>2390</v>
      </c>
      <c r="F25" s="1043"/>
      <c r="G25" s="1043">
        <v>7</v>
      </c>
      <c r="H25" s="1047">
        <v>26775</v>
      </c>
      <c r="I25" s="1107"/>
      <c r="J25" s="71">
        <f t="shared" si="0"/>
        <v>3825</v>
      </c>
    </row>
    <row r="26" spans="1:10">
      <c r="A26" s="1035">
        <f t="shared" si="1"/>
        <v>22</v>
      </c>
      <c r="B26" s="1036">
        <v>42452</v>
      </c>
      <c r="C26" s="1035"/>
      <c r="D26" s="1035" t="s">
        <v>2344</v>
      </c>
      <c r="E26" s="1039" t="s">
        <v>2389</v>
      </c>
      <c r="F26" s="1043"/>
      <c r="G26" s="1043">
        <v>7</v>
      </c>
      <c r="H26" s="1047">
        <v>26775</v>
      </c>
      <c r="I26" s="1107"/>
      <c r="J26" s="71">
        <f t="shared" si="0"/>
        <v>3825</v>
      </c>
    </row>
    <row r="27" spans="1:10">
      <c r="A27" s="1035">
        <f t="shared" si="1"/>
        <v>23</v>
      </c>
      <c r="B27" s="1036">
        <v>42454</v>
      </c>
      <c r="C27" s="1035"/>
      <c r="D27" s="1035" t="s">
        <v>2344</v>
      </c>
      <c r="E27" s="1039" t="s">
        <v>2388</v>
      </c>
      <c r="F27" s="1043"/>
      <c r="G27" s="1043">
        <v>5</v>
      </c>
      <c r="H27" s="1047">
        <v>19125</v>
      </c>
      <c r="I27" s="1107"/>
      <c r="J27" s="71">
        <f t="shared" si="0"/>
        <v>3825</v>
      </c>
    </row>
    <row r="28" spans="1:10">
      <c r="A28" s="1035">
        <f t="shared" si="1"/>
        <v>24</v>
      </c>
      <c r="B28" s="1036">
        <v>42456</v>
      </c>
      <c r="C28" s="1035"/>
      <c r="D28" s="1035" t="s">
        <v>2344</v>
      </c>
      <c r="E28" s="1039" t="s">
        <v>2387</v>
      </c>
      <c r="F28" s="1043"/>
      <c r="G28" s="1043">
        <v>5</v>
      </c>
      <c r="H28" s="1047">
        <v>19125</v>
      </c>
      <c r="I28" s="1107"/>
      <c r="J28" s="71">
        <f t="shared" si="0"/>
        <v>3825</v>
      </c>
    </row>
    <row r="29" spans="1:10">
      <c r="A29" s="1035">
        <f t="shared" si="1"/>
        <v>25</v>
      </c>
      <c r="B29" s="1036">
        <v>42458</v>
      </c>
      <c r="C29" s="1035"/>
      <c r="D29" s="1035" t="s">
        <v>2344</v>
      </c>
      <c r="E29" s="1039" t="s">
        <v>2380</v>
      </c>
      <c r="F29" s="1043"/>
      <c r="G29" s="1043">
        <v>7</v>
      </c>
      <c r="H29" s="1047">
        <v>26775</v>
      </c>
      <c r="I29" s="1107"/>
      <c r="J29" s="71">
        <f t="shared" si="0"/>
        <v>3825</v>
      </c>
    </row>
    <row r="30" spans="1:10">
      <c r="A30" s="1035">
        <f t="shared" si="1"/>
        <v>26</v>
      </c>
      <c r="B30" s="1036">
        <v>42459</v>
      </c>
      <c r="C30" s="1035"/>
      <c r="D30" s="1035" t="s">
        <v>2344</v>
      </c>
      <c r="E30" s="1039" t="s">
        <v>2379</v>
      </c>
      <c r="F30" s="1043"/>
      <c r="G30" s="1043">
        <v>7</v>
      </c>
      <c r="H30" s="1047">
        <v>26775</v>
      </c>
      <c r="I30" s="1107"/>
      <c r="J30" s="71">
        <f t="shared" si="0"/>
        <v>3825</v>
      </c>
    </row>
    <row r="31" spans="1:10">
      <c r="A31" s="1035">
        <f t="shared" si="1"/>
        <v>27</v>
      </c>
      <c r="B31" s="1036">
        <v>42460</v>
      </c>
      <c r="C31" s="1035"/>
      <c r="D31" s="1035" t="s">
        <v>2344</v>
      </c>
      <c r="E31" s="1039" t="s">
        <v>2378</v>
      </c>
      <c r="F31" s="1043"/>
      <c r="G31" s="1043">
        <v>7</v>
      </c>
      <c r="H31" s="1047">
        <v>26775</v>
      </c>
      <c r="I31" s="1107"/>
      <c r="J31" s="71">
        <f t="shared" si="0"/>
        <v>3825</v>
      </c>
    </row>
    <row r="32" spans="1:10">
      <c r="A32" s="1035">
        <f t="shared" si="1"/>
        <v>28</v>
      </c>
      <c r="B32" s="1036">
        <v>42461</v>
      </c>
      <c r="C32" s="1035"/>
      <c r="D32" s="1035" t="s">
        <v>2344</v>
      </c>
      <c r="E32" s="1039" t="s">
        <v>2399</v>
      </c>
      <c r="F32" s="1043"/>
      <c r="G32" s="1043">
        <v>7</v>
      </c>
      <c r="H32" s="1047">
        <v>26775</v>
      </c>
      <c r="I32" s="1107"/>
      <c r="J32" s="71">
        <f t="shared" si="0"/>
        <v>3825</v>
      </c>
    </row>
    <row r="33" spans="1:10">
      <c r="A33" s="1035">
        <f t="shared" si="1"/>
        <v>29</v>
      </c>
      <c r="B33" s="1036">
        <v>42462</v>
      </c>
      <c r="C33" s="1035"/>
      <c r="D33" s="1035" t="s">
        <v>2344</v>
      </c>
      <c r="E33" s="1039" t="s">
        <v>2398</v>
      </c>
      <c r="F33" s="1043"/>
      <c r="G33" s="1043">
        <v>7</v>
      </c>
      <c r="H33" s="1047">
        <v>26775</v>
      </c>
      <c r="I33" s="1107"/>
      <c r="J33" s="71">
        <f t="shared" si="0"/>
        <v>3825</v>
      </c>
    </row>
    <row r="34" spans="1:10">
      <c r="A34" s="1035">
        <f t="shared" si="1"/>
        <v>30</v>
      </c>
      <c r="B34" s="1036">
        <v>42463</v>
      </c>
      <c r="C34" s="1035"/>
      <c r="D34" s="1035" t="s">
        <v>2344</v>
      </c>
      <c r="E34" s="1039" t="s">
        <v>2345</v>
      </c>
      <c r="F34" s="1043"/>
      <c r="G34" s="1043">
        <v>7</v>
      </c>
      <c r="H34" s="1047">
        <v>26775</v>
      </c>
      <c r="I34" s="1107"/>
      <c r="J34" s="71">
        <f t="shared" si="0"/>
        <v>3825</v>
      </c>
    </row>
    <row r="35" spans="1:10">
      <c r="A35" s="1035">
        <f t="shared" si="1"/>
        <v>31</v>
      </c>
      <c r="B35" s="1036">
        <v>42464</v>
      </c>
      <c r="C35" s="1035"/>
      <c r="D35" s="1035" t="s">
        <v>2344</v>
      </c>
      <c r="E35" s="1039" t="s">
        <v>2381</v>
      </c>
      <c r="F35" s="1043"/>
      <c r="G35" s="1043">
        <v>7</v>
      </c>
      <c r="H35" s="1047">
        <v>26775</v>
      </c>
      <c r="I35" s="1107"/>
      <c r="J35" s="71">
        <f t="shared" si="0"/>
        <v>3825</v>
      </c>
    </row>
    <row r="36" spans="1:10">
      <c r="A36" s="1035">
        <f t="shared" si="1"/>
        <v>32</v>
      </c>
      <c r="B36" s="1036">
        <v>42465</v>
      </c>
      <c r="C36" s="1035"/>
      <c r="D36" s="1035" t="s">
        <v>2344</v>
      </c>
      <c r="E36" s="1039" t="s">
        <v>2383</v>
      </c>
      <c r="F36" s="1043"/>
      <c r="G36" s="1043">
        <v>13</v>
      </c>
      <c r="H36" s="1047">
        <v>49725</v>
      </c>
      <c r="I36" s="1107"/>
      <c r="J36" s="71">
        <f t="shared" si="0"/>
        <v>3825</v>
      </c>
    </row>
    <row r="37" spans="1:10">
      <c r="A37" s="1035">
        <f t="shared" si="1"/>
        <v>33</v>
      </c>
      <c r="B37" s="1036">
        <v>42466</v>
      </c>
      <c r="C37" s="1035"/>
      <c r="D37" s="1035" t="s">
        <v>2344</v>
      </c>
      <c r="E37" s="1039" t="s">
        <v>2382</v>
      </c>
      <c r="F37" s="1043"/>
      <c r="G37" s="1043">
        <v>7</v>
      </c>
      <c r="H37" s="1047">
        <v>26775</v>
      </c>
      <c r="I37" s="1107"/>
      <c r="J37" s="71">
        <f t="shared" ref="J37:J73" si="2">ROUND(H37/SUM(F37:G37,0),0)</f>
        <v>3825</v>
      </c>
    </row>
    <row r="38" spans="1:10">
      <c r="A38" s="1035">
        <f t="shared" si="1"/>
        <v>34</v>
      </c>
      <c r="B38" s="1036">
        <v>42467</v>
      </c>
      <c r="C38" s="1035"/>
      <c r="D38" s="1035" t="s">
        <v>2344</v>
      </c>
      <c r="E38" s="1039" t="s">
        <v>2386</v>
      </c>
      <c r="F38" s="1043"/>
      <c r="G38" s="1043">
        <v>7</v>
      </c>
      <c r="H38" s="1047">
        <v>26775</v>
      </c>
      <c r="I38" s="1107"/>
      <c r="J38" s="71">
        <f t="shared" si="2"/>
        <v>3825</v>
      </c>
    </row>
    <row r="39" spans="1:10">
      <c r="A39" s="1035">
        <f t="shared" si="1"/>
        <v>35</v>
      </c>
      <c r="B39" s="1037">
        <v>42467</v>
      </c>
      <c r="C39" s="1038"/>
      <c r="D39" s="1035" t="s">
        <v>2403</v>
      </c>
      <c r="E39" s="1041" t="s">
        <v>2417</v>
      </c>
      <c r="F39" s="1044"/>
      <c r="G39" s="1044">
        <v>6</v>
      </c>
      <c r="H39" s="1047">
        <v>29304</v>
      </c>
      <c r="I39" s="1107"/>
      <c r="J39" s="71">
        <f t="shared" si="2"/>
        <v>4884</v>
      </c>
    </row>
    <row r="40" spans="1:10">
      <c r="A40" s="1035">
        <f t="shared" si="1"/>
        <v>36</v>
      </c>
      <c r="B40" s="1036">
        <v>42468</v>
      </c>
      <c r="C40" s="1035"/>
      <c r="D40" s="1035" t="s">
        <v>2344</v>
      </c>
      <c r="E40" s="1039" t="s">
        <v>2385</v>
      </c>
      <c r="F40" s="1043"/>
      <c r="G40" s="1043">
        <v>14</v>
      </c>
      <c r="H40" s="1047">
        <v>53550</v>
      </c>
      <c r="I40" s="1107"/>
      <c r="J40" s="71">
        <f t="shared" si="2"/>
        <v>3825</v>
      </c>
    </row>
    <row r="41" spans="1:10">
      <c r="A41" s="1035">
        <f t="shared" si="1"/>
        <v>37</v>
      </c>
      <c r="B41" s="1036">
        <v>42469</v>
      </c>
      <c r="C41" s="1035"/>
      <c r="D41" s="1035" t="s">
        <v>2344</v>
      </c>
      <c r="E41" s="1039" t="s">
        <v>2384</v>
      </c>
      <c r="F41" s="1043"/>
      <c r="G41" s="1043">
        <v>5.5</v>
      </c>
      <c r="H41" s="1047">
        <v>21037</v>
      </c>
      <c r="I41" s="1107"/>
      <c r="J41" s="71">
        <f t="shared" si="2"/>
        <v>3825</v>
      </c>
    </row>
    <row r="42" spans="1:10">
      <c r="A42" s="1035">
        <f t="shared" si="1"/>
        <v>38</v>
      </c>
      <c r="B42" s="1036">
        <v>42483</v>
      </c>
      <c r="C42" s="1035"/>
      <c r="D42" s="1035" t="s">
        <v>2344</v>
      </c>
      <c r="E42" s="1039" t="s">
        <v>2397</v>
      </c>
      <c r="F42" s="1043"/>
      <c r="G42" s="1043">
        <v>28</v>
      </c>
      <c r="H42" s="1047">
        <v>107100</v>
      </c>
      <c r="I42" s="1107"/>
      <c r="J42" s="71">
        <f t="shared" si="2"/>
        <v>3825</v>
      </c>
    </row>
    <row r="43" spans="1:10">
      <c r="A43" s="1035">
        <f t="shared" si="1"/>
        <v>39</v>
      </c>
      <c r="B43" s="1036">
        <v>42484</v>
      </c>
      <c r="C43" s="1035"/>
      <c r="D43" s="1035" t="s">
        <v>2344</v>
      </c>
      <c r="E43" s="1039" t="s">
        <v>2396</v>
      </c>
      <c r="F43" s="1043"/>
      <c r="G43" s="1043">
        <v>2</v>
      </c>
      <c r="H43" s="1047">
        <v>7650</v>
      </c>
      <c r="I43" s="1107"/>
      <c r="J43" s="71">
        <f t="shared" si="2"/>
        <v>3825</v>
      </c>
    </row>
    <row r="44" spans="1:10">
      <c r="A44" s="1035">
        <f t="shared" si="1"/>
        <v>40</v>
      </c>
      <c r="B44" s="1036">
        <v>42485</v>
      </c>
      <c r="C44" s="1035"/>
      <c r="D44" s="1035" t="s">
        <v>2344</v>
      </c>
      <c r="E44" s="1039" t="s">
        <v>2395</v>
      </c>
      <c r="F44" s="1043">
        <v>14</v>
      </c>
      <c r="G44" s="1043"/>
      <c r="H44" s="1047">
        <v>44800</v>
      </c>
      <c r="I44" s="1107"/>
      <c r="J44" s="71">
        <f t="shared" si="2"/>
        <v>3200</v>
      </c>
    </row>
    <row r="45" spans="1:10">
      <c r="A45" s="1035">
        <f t="shared" si="1"/>
        <v>41</v>
      </c>
      <c r="B45" s="1036">
        <v>42486</v>
      </c>
      <c r="C45" s="1035"/>
      <c r="D45" s="1035" t="s">
        <v>2344</v>
      </c>
      <c r="E45" s="1039" t="s">
        <v>2443</v>
      </c>
      <c r="F45" s="1043">
        <v>7</v>
      </c>
      <c r="G45" s="1043"/>
      <c r="H45" s="1047">
        <v>22400</v>
      </c>
      <c r="I45" s="1107"/>
      <c r="J45" s="71">
        <f t="shared" si="2"/>
        <v>3200</v>
      </c>
    </row>
    <row r="46" spans="1:10">
      <c r="A46" s="1035">
        <f t="shared" si="1"/>
        <v>42</v>
      </c>
      <c r="B46" s="1036">
        <v>42487</v>
      </c>
      <c r="C46" s="1035"/>
      <c r="D46" s="1035" t="s">
        <v>2344</v>
      </c>
      <c r="E46" s="1039" t="s">
        <v>2439</v>
      </c>
      <c r="F46" s="1043">
        <v>14</v>
      </c>
      <c r="G46" s="1043"/>
      <c r="H46" s="1047">
        <v>44800</v>
      </c>
      <c r="I46" s="1107"/>
      <c r="J46" s="71">
        <f t="shared" ref="J46" si="3">ROUND(H46/SUM(F46:G46,0),0)</f>
        <v>3200</v>
      </c>
    </row>
    <row r="47" spans="1:10">
      <c r="A47" s="1035">
        <f t="shared" si="1"/>
        <v>43</v>
      </c>
      <c r="B47" s="1036">
        <v>42488</v>
      </c>
      <c r="C47" s="1035"/>
      <c r="D47" s="1035" t="s">
        <v>2344</v>
      </c>
      <c r="E47" s="1039" t="s">
        <v>2440</v>
      </c>
      <c r="F47" s="1043">
        <v>14</v>
      </c>
      <c r="G47" s="1043"/>
      <c r="H47" s="1047">
        <v>44800</v>
      </c>
      <c r="I47" s="1107"/>
      <c r="J47" s="71">
        <f t="shared" ref="J47" si="4">ROUND(H47/SUM(F47:G47,0),0)</f>
        <v>3200</v>
      </c>
    </row>
    <row r="48" spans="1:10">
      <c r="A48" s="1035">
        <f t="shared" si="1"/>
        <v>44</v>
      </c>
      <c r="B48" s="1036">
        <v>42489</v>
      </c>
      <c r="C48" s="1035"/>
      <c r="D48" s="1035" t="s">
        <v>2344</v>
      </c>
      <c r="E48" s="1039" t="s">
        <v>2441</v>
      </c>
      <c r="F48" s="1043">
        <v>14</v>
      </c>
      <c r="G48" s="1043"/>
      <c r="H48" s="1047">
        <v>44800</v>
      </c>
      <c r="I48" s="1107"/>
      <c r="J48" s="71">
        <f t="shared" ref="J48" si="5">ROUND(H48/SUM(F48:G48,0),0)</f>
        <v>3200</v>
      </c>
    </row>
    <row r="49" spans="1:11">
      <c r="A49" s="1035">
        <f t="shared" si="1"/>
        <v>45</v>
      </c>
      <c r="B49" s="1036">
        <v>42490</v>
      </c>
      <c r="C49" s="1035"/>
      <c r="D49" s="1035" t="s">
        <v>2344</v>
      </c>
      <c r="E49" s="1039" t="s">
        <v>2442</v>
      </c>
      <c r="F49" s="1043">
        <v>14</v>
      </c>
      <c r="G49" s="1043"/>
      <c r="H49" s="1047">
        <v>44800</v>
      </c>
      <c r="I49" s="1107"/>
      <c r="J49" s="71">
        <f t="shared" ref="J49" si="6">ROUND(H49/SUM(F49:G49,0),0)</f>
        <v>3200</v>
      </c>
    </row>
    <row r="50" spans="1:11">
      <c r="A50" s="1035">
        <f t="shared" si="1"/>
        <v>46</v>
      </c>
      <c r="B50" s="1036">
        <v>42492</v>
      </c>
      <c r="C50" s="1035"/>
      <c r="D50" s="1035" t="s">
        <v>2344</v>
      </c>
      <c r="E50" s="1039" t="s">
        <v>2377</v>
      </c>
      <c r="F50" s="1043">
        <v>14</v>
      </c>
      <c r="G50" s="1043"/>
      <c r="H50" s="1047">
        <v>44800</v>
      </c>
      <c r="I50" s="1107"/>
      <c r="J50" s="71">
        <f t="shared" si="2"/>
        <v>3200</v>
      </c>
    </row>
    <row r="51" spans="1:11">
      <c r="A51" s="1035">
        <f t="shared" si="1"/>
        <v>47</v>
      </c>
      <c r="B51" s="1036">
        <v>42493</v>
      </c>
      <c r="C51" s="1035"/>
      <c r="D51" s="1035" t="s">
        <v>2344</v>
      </c>
      <c r="E51" s="1039" t="s">
        <v>2376</v>
      </c>
      <c r="F51" s="1043"/>
      <c r="G51" s="1043">
        <v>42</v>
      </c>
      <c r="H51" s="1047">
        <v>160650</v>
      </c>
      <c r="I51" s="1107"/>
      <c r="J51" s="71">
        <f t="shared" si="2"/>
        <v>3825</v>
      </c>
    </row>
    <row r="52" spans="1:11">
      <c r="A52" s="1035">
        <f t="shared" si="1"/>
        <v>48</v>
      </c>
      <c r="B52" s="1036">
        <v>42494</v>
      </c>
      <c r="C52" s="1035"/>
      <c r="D52" s="1035" t="s">
        <v>2344</v>
      </c>
      <c r="E52" s="1039" t="s">
        <v>2375</v>
      </c>
      <c r="F52" s="1043"/>
      <c r="G52" s="1043">
        <v>19</v>
      </c>
      <c r="H52" s="1047">
        <v>72675</v>
      </c>
      <c r="I52" s="1107"/>
      <c r="J52" s="71">
        <f t="shared" si="2"/>
        <v>3825</v>
      </c>
    </row>
    <row r="53" spans="1:11">
      <c r="A53" s="1035">
        <f t="shared" si="1"/>
        <v>49</v>
      </c>
      <c r="B53" s="1036">
        <v>42495</v>
      </c>
      <c r="C53" s="1035"/>
      <c r="D53" s="1035" t="s">
        <v>2344</v>
      </c>
      <c r="E53" s="1039" t="s">
        <v>2374</v>
      </c>
      <c r="F53" s="1043">
        <v>7</v>
      </c>
      <c r="G53" s="1043"/>
      <c r="H53" s="1047">
        <v>22400</v>
      </c>
      <c r="I53" s="1107"/>
      <c r="J53" s="71">
        <f t="shared" si="2"/>
        <v>3200</v>
      </c>
    </row>
    <row r="54" spans="1:11">
      <c r="A54" s="1035">
        <f t="shared" si="1"/>
        <v>50</v>
      </c>
      <c r="B54" s="1036">
        <v>42495</v>
      </c>
      <c r="C54" s="1035"/>
      <c r="D54" s="1035" t="s">
        <v>2344</v>
      </c>
      <c r="E54" s="1039" t="s">
        <v>2373</v>
      </c>
      <c r="F54" s="1043"/>
      <c r="G54" s="1043">
        <v>7</v>
      </c>
      <c r="H54" s="1047">
        <v>26775</v>
      </c>
      <c r="I54" s="1107"/>
      <c r="J54" s="71">
        <f t="shared" si="2"/>
        <v>3825</v>
      </c>
    </row>
    <row r="55" spans="1:11">
      <c r="A55" s="1035">
        <f t="shared" si="1"/>
        <v>51</v>
      </c>
      <c r="B55" s="1036">
        <v>42497</v>
      </c>
      <c r="C55" s="1035"/>
      <c r="D55" s="1035" t="s">
        <v>2344</v>
      </c>
      <c r="E55" s="1039" t="s">
        <v>2372</v>
      </c>
      <c r="F55" s="1043"/>
      <c r="G55" s="1043">
        <v>28</v>
      </c>
      <c r="H55" s="1047">
        <v>107100</v>
      </c>
      <c r="I55" s="1107"/>
      <c r="J55" s="71">
        <f t="shared" si="2"/>
        <v>3825</v>
      </c>
    </row>
    <row r="56" spans="1:11">
      <c r="A56" s="1035">
        <f t="shared" si="1"/>
        <v>52</v>
      </c>
      <c r="B56" s="1036">
        <v>42498</v>
      </c>
      <c r="C56" s="1035"/>
      <c r="D56" s="1035" t="s">
        <v>2344</v>
      </c>
      <c r="E56" s="1039" t="s">
        <v>2371</v>
      </c>
      <c r="F56" s="1043"/>
      <c r="G56" s="1043">
        <v>5.5</v>
      </c>
      <c r="H56" s="1047">
        <v>21037</v>
      </c>
      <c r="I56" s="1107"/>
      <c r="J56" s="71">
        <f t="shared" si="2"/>
        <v>3825</v>
      </c>
    </row>
    <row r="57" spans="1:11">
      <c r="A57" s="1035">
        <f t="shared" si="1"/>
        <v>53</v>
      </c>
      <c r="B57" s="1036">
        <v>42501</v>
      </c>
      <c r="C57" s="1035"/>
      <c r="D57" s="1035" t="s">
        <v>2344</v>
      </c>
      <c r="E57" s="1039" t="s">
        <v>2370</v>
      </c>
      <c r="F57" s="1043"/>
      <c r="G57" s="1043">
        <v>14</v>
      </c>
      <c r="H57" s="1047">
        <v>54950</v>
      </c>
      <c r="I57" s="1107"/>
      <c r="J57" s="71">
        <f t="shared" si="2"/>
        <v>3925</v>
      </c>
    </row>
    <row r="58" spans="1:11">
      <c r="A58" s="1035">
        <f t="shared" si="1"/>
        <v>54</v>
      </c>
      <c r="B58" s="1036">
        <v>42504</v>
      </c>
      <c r="C58" s="1035"/>
      <c r="D58" s="1035" t="s">
        <v>2344</v>
      </c>
      <c r="E58" s="1039" t="s">
        <v>2369</v>
      </c>
      <c r="F58" s="1043"/>
      <c r="G58" s="1043">
        <v>13</v>
      </c>
      <c r="H58" s="1047">
        <v>51025</v>
      </c>
      <c r="I58" s="1107"/>
      <c r="J58" s="71">
        <f t="shared" si="2"/>
        <v>3925</v>
      </c>
    </row>
    <row r="59" spans="1:11">
      <c r="A59" s="1035">
        <f t="shared" si="1"/>
        <v>55</v>
      </c>
      <c r="B59" s="1036">
        <v>42506</v>
      </c>
      <c r="C59" s="1035"/>
      <c r="D59" s="1035" t="s">
        <v>2344</v>
      </c>
      <c r="E59" s="1039" t="s">
        <v>2368</v>
      </c>
      <c r="F59" s="1043"/>
      <c r="G59" s="1043">
        <v>10</v>
      </c>
      <c r="H59" s="1047">
        <v>39250</v>
      </c>
      <c r="I59" s="1107"/>
      <c r="J59" s="71">
        <f t="shared" si="2"/>
        <v>3925</v>
      </c>
    </row>
    <row r="60" spans="1:11">
      <c r="A60" s="1035">
        <f t="shared" si="1"/>
        <v>56</v>
      </c>
      <c r="B60" s="1036">
        <v>42509</v>
      </c>
      <c r="C60" s="1035"/>
      <c r="D60" s="1035" t="s">
        <v>2344</v>
      </c>
      <c r="E60" s="1039" t="s">
        <v>2367</v>
      </c>
      <c r="F60" s="1043"/>
      <c r="G60" s="1043">
        <v>24</v>
      </c>
      <c r="H60" s="1047">
        <v>98400</v>
      </c>
      <c r="I60" s="1107"/>
      <c r="J60" s="71">
        <f t="shared" si="2"/>
        <v>4100</v>
      </c>
    </row>
    <row r="61" spans="1:11">
      <c r="A61" s="1035">
        <f t="shared" si="1"/>
        <v>57</v>
      </c>
      <c r="B61" s="1036">
        <v>42512</v>
      </c>
      <c r="C61" s="1035"/>
      <c r="D61" s="1035" t="s">
        <v>2344</v>
      </c>
      <c r="E61" s="1039" t="s">
        <v>2366</v>
      </c>
      <c r="F61" s="1043"/>
      <c r="G61" s="1043">
        <v>26</v>
      </c>
      <c r="H61" s="1047">
        <v>106600</v>
      </c>
      <c r="I61" s="1107"/>
      <c r="J61" s="71">
        <f t="shared" si="2"/>
        <v>4100</v>
      </c>
    </row>
    <row r="62" spans="1:11">
      <c r="A62" s="1035">
        <f t="shared" si="1"/>
        <v>58</v>
      </c>
      <c r="B62" s="1036">
        <v>42515</v>
      </c>
      <c r="C62" s="1035"/>
      <c r="D62" s="1035" t="s">
        <v>2344</v>
      </c>
      <c r="E62" s="1039" t="s">
        <v>2365</v>
      </c>
      <c r="F62" s="1043"/>
      <c r="G62" s="1043">
        <v>14</v>
      </c>
      <c r="H62" s="1047">
        <v>57400</v>
      </c>
      <c r="I62" s="1107"/>
      <c r="J62" s="71">
        <f t="shared" si="2"/>
        <v>4100</v>
      </c>
    </row>
    <row r="63" spans="1:11" s="1040" customFormat="1">
      <c r="A63" s="1035">
        <f t="shared" si="1"/>
        <v>59</v>
      </c>
      <c r="B63" s="1036">
        <v>42516</v>
      </c>
      <c r="C63" s="1035"/>
      <c r="D63" s="1035" t="s">
        <v>2344</v>
      </c>
      <c r="E63" s="1039" t="s">
        <v>2364</v>
      </c>
      <c r="F63" s="1043"/>
      <c r="G63" s="1043">
        <v>34</v>
      </c>
      <c r="H63" s="1047">
        <v>139400</v>
      </c>
      <c r="I63" s="1107"/>
      <c r="J63" s="71">
        <f t="shared" si="2"/>
        <v>4100</v>
      </c>
      <c r="K63" s="71"/>
    </row>
    <row r="64" spans="1:11">
      <c r="A64" s="1035">
        <f t="shared" si="1"/>
        <v>60</v>
      </c>
      <c r="B64" s="1036">
        <v>42519</v>
      </c>
      <c r="C64" s="1035"/>
      <c r="D64" s="1035" t="s">
        <v>2344</v>
      </c>
      <c r="E64" s="1039" t="s">
        <v>2363</v>
      </c>
      <c r="F64" s="1043"/>
      <c r="G64" s="1043">
        <v>45</v>
      </c>
      <c r="H64" s="1047">
        <v>184500</v>
      </c>
      <c r="I64" s="1107"/>
      <c r="J64" s="71">
        <f t="shared" si="2"/>
        <v>4100</v>
      </c>
    </row>
    <row r="65" spans="1:11">
      <c r="A65" s="1035">
        <f t="shared" si="1"/>
        <v>61</v>
      </c>
      <c r="B65" s="1036">
        <v>42520</v>
      </c>
      <c r="C65" s="1035"/>
      <c r="D65" s="1035" t="s">
        <v>2344</v>
      </c>
      <c r="E65" s="1039" t="s">
        <v>2362</v>
      </c>
      <c r="F65" s="1043"/>
      <c r="G65" s="1043">
        <v>30</v>
      </c>
      <c r="H65" s="1047">
        <v>123000</v>
      </c>
      <c r="I65" s="1107"/>
      <c r="J65" s="71">
        <f t="shared" si="2"/>
        <v>4100</v>
      </c>
    </row>
    <row r="66" spans="1:11">
      <c r="A66" s="1035">
        <f t="shared" si="1"/>
        <v>62</v>
      </c>
      <c r="B66" s="1036">
        <v>42521</v>
      </c>
      <c r="C66" s="1035"/>
      <c r="D66" s="1035" t="s">
        <v>2344</v>
      </c>
      <c r="E66" s="1039" t="s">
        <v>2360</v>
      </c>
      <c r="F66" s="1043"/>
      <c r="G66" s="1043">
        <v>4</v>
      </c>
      <c r="H66" s="1047">
        <v>16400</v>
      </c>
      <c r="I66" s="1107"/>
      <c r="J66" s="71">
        <f t="shared" si="2"/>
        <v>4100</v>
      </c>
    </row>
    <row r="67" spans="1:11">
      <c r="A67" s="1035">
        <f t="shared" si="1"/>
        <v>63</v>
      </c>
      <c r="B67" s="1036">
        <v>42521</v>
      </c>
      <c r="C67" s="1035"/>
      <c r="D67" s="1035" t="s">
        <v>2344</v>
      </c>
      <c r="E67" s="1039" t="s">
        <v>2361</v>
      </c>
      <c r="F67" s="1043">
        <v>6</v>
      </c>
      <c r="G67" s="1043"/>
      <c r="H67" s="1047">
        <v>19200</v>
      </c>
      <c r="I67" s="1107"/>
      <c r="J67" s="71">
        <f t="shared" si="2"/>
        <v>3200</v>
      </c>
    </row>
    <row r="68" spans="1:11">
      <c r="A68" s="1035">
        <f t="shared" si="1"/>
        <v>64</v>
      </c>
      <c r="B68" s="1036">
        <v>42522</v>
      </c>
      <c r="C68" s="1035"/>
      <c r="D68" s="1035" t="s">
        <v>2344</v>
      </c>
      <c r="E68" s="1039" t="s">
        <v>2359</v>
      </c>
      <c r="F68" s="1043"/>
      <c r="G68" s="1043">
        <v>21</v>
      </c>
      <c r="H68" s="1047">
        <v>86100</v>
      </c>
      <c r="I68" s="1107"/>
      <c r="J68" s="71">
        <f t="shared" si="2"/>
        <v>4100</v>
      </c>
    </row>
    <row r="69" spans="1:11">
      <c r="A69" s="1035">
        <f t="shared" si="1"/>
        <v>65</v>
      </c>
      <c r="B69" s="1036">
        <v>42522</v>
      </c>
      <c r="C69" s="1035"/>
      <c r="D69" s="1035" t="s">
        <v>2344</v>
      </c>
      <c r="E69" s="1039" t="s">
        <v>2358</v>
      </c>
      <c r="F69" s="1043"/>
      <c r="G69" s="1043">
        <v>7</v>
      </c>
      <c r="H69" s="1047">
        <v>27475</v>
      </c>
      <c r="I69" s="1107"/>
      <c r="J69" s="71">
        <f t="shared" si="2"/>
        <v>3925</v>
      </c>
    </row>
    <row r="70" spans="1:11">
      <c r="A70" s="1035">
        <f t="shared" si="1"/>
        <v>66</v>
      </c>
      <c r="B70" s="1036">
        <v>42523</v>
      </c>
      <c r="C70" s="1035"/>
      <c r="D70" s="1035" t="s">
        <v>2344</v>
      </c>
      <c r="E70" s="1039" t="s">
        <v>2357</v>
      </c>
      <c r="F70" s="1043"/>
      <c r="G70" s="1043">
        <v>14</v>
      </c>
      <c r="H70" s="1047">
        <v>57400</v>
      </c>
      <c r="I70" s="1107"/>
      <c r="J70" s="71">
        <f t="shared" si="2"/>
        <v>4100</v>
      </c>
    </row>
    <row r="71" spans="1:11">
      <c r="A71" s="1035">
        <f t="shared" si="1"/>
        <v>67</v>
      </c>
      <c r="B71" s="1036">
        <v>42524</v>
      </c>
      <c r="C71" s="1035"/>
      <c r="D71" s="1035" t="s">
        <v>2344</v>
      </c>
      <c r="E71" s="1039" t="s">
        <v>2356</v>
      </c>
      <c r="F71" s="1043"/>
      <c r="G71" s="1043">
        <v>18</v>
      </c>
      <c r="H71" s="1047">
        <v>73800</v>
      </c>
      <c r="I71" s="1107"/>
      <c r="J71" s="71">
        <f t="shared" si="2"/>
        <v>4100</v>
      </c>
    </row>
    <row r="72" spans="1:11">
      <c r="A72" s="1035">
        <f t="shared" si="1"/>
        <v>68</v>
      </c>
      <c r="B72" s="1036">
        <v>42525</v>
      </c>
      <c r="C72" s="1035"/>
      <c r="D72" s="1035" t="s">
        <v>2344</v>
      </c>
      <c r="E72" s="1039" t="s">
        <v>2355</v>
      </c>
      <c r="F72" s="1043"/>
      <c r="G72" s="1043">
        <v>7</v>
      </c>
      <c r="H72" s="1047">
        <v>27475</v>
      </c>
      <c r="I72" s="1107"/>
      <c r="J72" s="71">
        <f t="shared" si="2"/>
        <v>3925</v>
      </c>
    </row>
    <row r="73" spans="1:11">
      <c r="A73" s="1035">
        <f t="shared" si="1"/>
        <v>69</v>
      </c>
      <c r="B73" s="1036">
        <v>42526</v>
      </c>
      <c r="C73" s="1035"/>
      <c r="D73" s="1035" t="s">
        <v>2344</v>
      </c>
      <c r="E73" s="1039" t="s">
        <v>2354</v>
      </c>
      <c r="F73" s="1043"/>
      <c r="G73" s="1043">
        <v>4</v>
      </c>
      <c r="H73" s="1047">
        <v>15700</v>
      </c>
      <c r="I73" s="1107"/>
      <c r="J73" s="71">
        <f t="shared" si="2"/>
        <v>3925</v>
      </c>
    </row>
    <row r="74" spans="1:11">
      <c r="A74" s="1035">
        <f t="shared" si="1"/>
        <v>70</v>
      </c>
      <c r="B74" s="1036">
        <v>42528</v>
      </c>
      <c r="C74" s="1035"/>
      <c r="D74" s="1035" t="s">
        <v>2344</v>
      </c>
      <c r="E74" s="1039" t="s">
        <v>2353</v>
      </c>
      <c r="F74" s="1043"/>
      <c r="G74" s="1043">
        <v>38</v>
      </c>
      <c r="H74" s="1047">
        <v>155800</v>
      </c>
      <c r="I74" s="1107"/>
      <c r="J74" s="71">
        <f t="shared" ref="J74:J79" si="7">ROUND(H74/SUM(F74:G74,0),0)</f>
        <v>4100</v>
      </c>
    </row>
    <row r="75" spans="1:11">
      <c r="A75" s="1035">
        <f t="shared" si="1"/>
        <v>71</v>
      </c>
      <c r="B75" s="1037">
        <v>42530</v>
      </c>
      <c r="C75" s="1038"/>
      <c r="D75" s="1035" t="s">
        <v>2403</v>
      </c>
      <c r="E75" s="1041" t="s">
        <v>2418</v>
      </c>
      <c r="F75" s="1044"/>
      <c r="G75" s="1044">
        <v>52</v>
      </c>
      <c r="H75" s="1047">
        <v>256831</v>
      </c>
      <c r="I75" s="1107"/>
      <c r="J75" s="71">
        <f t="shared" si="7"/>
        <v>4939</v>
      </c>
    </row>
    <row r="76" spans="1:11">
      <c r="A76" s="1035">
        <f t="shared" ref="A76:A79" si="8">A75+1</f>
        <v>72</v>
      </c>
      <c r="B76" s="1037">
        <v>42531</v>
      </c>
      <c r="C76" s="1038"/>
      <c r="D76" s="1035" t="s">
        <v>2344</v>
      </c>
      <c r="E76" s="1039" t="s">
        <v>2351</v>
      </c>
      <c r="F76" s="1044"/>
      <c r="G76" s="1044">
        <v>4</v>
      </c>
      <c r="H76" s="1047">
        <v>15700</v>
      </c>
      <c r="I76" s="1107"/>
      <c r="J76" s="71">
        <f t="shared" si="7"/>
        <v>3925</v>
      </c>
    </row>
    <row r="77" spans="1:11">
      <c r="A77" s="1035">
        <f t="shared" si="8"/>
        <v>73</v>
      </c>
      <c r="B77" s="1037">
        <v>42538</v>
      </c>
      <c r="C77" s="1038"/>
      <c r="D77" s="1035" t="s">
        <v>2344</v>
      </c>
      <c r="E77" s="1039" t="s">
        <v>2352</v>
      </c>
      <c r="F77" s="1044"/>
      <c r="G77" s="1044">
        <v>34</v>
      </c>
      <c r="H77" s="1047">
        <v>149600</v>
      </c>
      <c r="I77" s="1107"/>
      <c r="J77" s="71">
        <f t="shared" si="7"/>
        <v>4400</v>
      </c>
    </row>
    <row r="78" spans="1:11">
      <c r="A78" s="1035">
        <f t="shared" si="8"/>
        <v>74</v>
      </c>
      <c r="B78" s="1037">
        <v>42544</v>
      </c>
      <c r="C78" s="1038"/>
      <c r="D78" s="1035" t="s">
        <v>2344</v>
      </c>
      <c r="E78" s="1039" t="s">
        <v>2350</v>
      </c>
      <c r="F78" s="1044">
        <v>6</v>
      </c>
      <c r="G78" s="1044"/>
      <c r="H78" s="1047">
        <v>21000</v>
      </c>
      <c r="I78" s="1107"/>
      <c r="J78" s="71">
        <f t="shared" si="7"/>
        <v>3500</v>
      </c>
      <c r="K78" s="1040"/>
    </row>
    <row r="79" spans="1:11">
      <c r="A79" s="1035">
        <f t="shared" si="8"/>
        <v>75</v>
      </c>
      <c r="B79" s="1036">
        <v>42547</v>
      </c>
      <c r="C79" s="1035"/>
      <c r="D79" s="1035" t="s">
        <v>2344</v>
      </c>
      <c r="E79" s="1039" t="s">
        <v>2348</v>
      </c>
      <c r="F79" s="1043">
        <v>11</v>
      </c>
      <c r="G79" s="1043"/>
      <c r="H79" s="1047">
        <v>38500</v>
      </c>
      <c r="I79" s="1107"/>
      <c r="J79" s="71">
        <f t="shared" si="7"/>
        <v>3500</v>
      </c>
    </row>
    <row r="80" spans="1:11">
      <c r="A80" s="1035"/>
      <c r="B80" s="531"/>
      <c r="C80" s="531"/>
      <c r="D80" s="531"/>
      <c r="E80" s="531"/>
      <c r="F80" s="1045"/>
      <c r="G80" s="1045"/>
      <c r="H80" s="1043"/>
      <c r="I80" s="1108"/>
    </row>
    <row r="81" spans="1:9" ht="15" customHeight="1">
      <c r="A81" s="1402" t="s">
        <v>7</v>
      </c>
      <c r="B81" s="1402"/>
      <c r="C81" s="1402"/>
      <c r="D81" s="1402"/>
      <c r="E81" s="1402"/>
      <c r="F81" s="1046">
        <f>SUM(F5:F80)</f>
        <v>180</v>
      </c>
      <c r="G81" s="1046">
        <f>SUM(G5:G80)</f>
        <v>987</v>
      </c>
      <c r="H81" s="1091">
        <f>SUM(H5:H80)</f>
        <v>4798896</v>
      </c>
      <c r="I81" s="1109"/>
    </row>
    <row r="82" spans="1:9">
      <c r="B82" s="1032" t="s">
        <v>2459</v>
      </c>
      <c r="D82" s="1114" t="s">
        <v>2403</v>
      </c>
      <c r="E82" s="1115"/>
      <c r="F82" s="1116">
        <f>SUMIF($D$5:$D$80,$D82,F$5:F$80)</f>
        <v>59</v>
      </c>
      <c r="G82" s="1116">
        <f>SUMIF($D$5:$D$80,$D82,G$5:G$80)</f>
        <v>252</v>
      </c>
      <c r="H82" s="1117" t="s">
        <v>347</v>
      </c>
      <c r="I82" s="1033"/>
    </row>
    <row r="83" spans="1:9">
      <c r="D83" s="1118" t="s">
        <v>2344</v>
      </c>
      <c r="E83" s="1119"/>
      <c r="F83" s="1120">
        <f>SUMIF($D$5:$D$80,$D83,F$5:F$80)</f>
        <v>121</v>
      </c>
      <c r="G83" s="1120">
        <f>SUMIF($D$5:$D$80,$D83,G$5:G$80)</f>
        <v>735</v>
      </c>
      <c r="H83" s="1121" t="s">
        <v>347</v>
      </c>
    </row>
    <row r="84" spans="1:9">
      <c r="D84" s="1114" t="s">
        <v>2460</v>
      </c>
      <c r="E84" s="1115"/>
      <c r="F84" s="1116">
        <v>2</v>
      </c>
      <c r="G84" s="1116">
        <v>5.6</v>
      </c>
      <c r="H84" s="1122" t="s">
        <v>2462</v>
      </c>
    </row>
    <row r="85" spans="1:9">
      <c r="D85" s="1118" t="s">
        <v>2461</v>
      </c>
      <c r="E85" s="1119"/>
      <c r="F85" s="1120">
        <v>1.8</v>
      </c>
      <c r="G85" s="1120">
        <v>5.6</v>
      </c>
      <c r="H85" s="1121" t="s">
        <v>2462</v>
      </c>
    </row>
    <row r="86" spans="1:9">
      <c r="D86" s="1114" t="s">
        <v>2463</v>
      </c>
      <c r="E86" s="1115"/>
      <c r="F86" s="1116">
        <f>F82*F84</f>
        <v>118</v>
      </c>
      <c r="G86" s="1116">
        <f>G82*G84</f>
        <v>1411.1999999999998</v>
      </c>
      <c r="H86" s="1122" t="s">
        <v>2462</v>
      </c>
    </row>
    <row r="87" spans="1:9">
      <c r="D87" s="1118" t="s">
        <v>2464</v>
      </c>
      <c r="E87" s="1119"/>
      <c r="F87" s="1120">
        <f>F83*F85</f>
        <v>217.8</v>
      </c>
      <c r="G87" s="1120">
        <f>G83*G85</f>
        <v>4116</v>
      </c>
      <c r="H87" s="1121" t="s">
        <v>2462</v>
      </c>
    </row>
    <row r="88" spans="1:9">
      <c r="D88" s="1110" t="s">
        <v>2493</v>
      </c>
      <c r="E88" s="538"/>
      <c r="F88" s="121">
        <f>SUM(F86:F87)</f>
        <v>335.8</v>
      </c>
      <c r="G88" s="121">
        <f>SUM(G86:G87)</f>
        <v>5527.2</v>
      </c>
      <c r="H88" s="117"/>
    </row>
  </sheetData>
  <autoFilter ref="A4:H79"/>
  <sortState ref="A5:J74">
    <sortCondition ref="B5"/>
  </sortState>
  <mergeCells count="4">
    <mergeCell ref="A1:H1"/>
    <mergeCell ref="A2:H2"/>
    <mergeCell ref="A81:E81"/>
    <mergeCell ref="F3:H3"/>
  </mergeCells>
  <printOptions horizontalCentered="1"/>
  <pageMargins left="0.19685039370078741" right="0.19685039370078741" top="0.59055118110236227" bottom="0.39370078740157483" header="0.19685039370078741" footer="0.19685039370078741"/>
  <pageSetup paperSize="9" scale="5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24</vt:i4>
      </vt:variant>
    </vt:vector>
  </HeadingPairs>
  <TitlesOfParts>
    <vt:vector size="50" baseType="lpstr">
      <vt:lpstr>Summary</vt:lpstr>
      <vt:lpstr>AFP (2)</vt:lpstr>
      <vt:lpstr>AFP</vt:lpstr>
      <vt:lpstr>Abstract</vt:lpstr>
      <vt:lpstr>BRD_Tiles</vt:lpstr>
      <vt:lpstr>BRD_Cement &amp; Steel</vt:lpstr>
      <vt:lpstr>Top slab</vt:lpstr>
      <vt:lpstr>NS Item Abst.</vt:lpstr>
      <vt:lpstr>BBS Summary</vt:lpstr>
      <vt:lpstr>MB</vt:lpstr>
      <vt:lpstr>BBS RECHRAGE PIT</vt:lpstr>
      <vt:lpstr>Rec_Cement &amp; Steel</vt:lpstr>
      <vt:lpstr>Consumption_Cement</vt:lpstr>
      <vt:lpstr>Escalation Tiles</vt:lpstr>
      <vt:lpstr>Tiles_Rec Detail</vt:lpstr>
      <vt:lpstr>TMT Rec Detail</vt:lpstr>
      <vt:lpstr>Cement Rec Detail</vt:lpstr>
      <vt:lpstr>Footing TMT</vt:lpstr>
      <vt:lpstr>pedstal TMT</vt:lpstr>
      <vt:lpstr>Plinth beam MB</vt:lpstr>
      <vt:lpstr>Kitchen area MB</vt:lpstr>
      <vt:lpstr>Grade Slab TMT</vt:lpstr>
      <vt:lpstr>Sheet1</vt:lpstr>
      <vt:lpstr>Lintel Beam</vt:lpstr>
      <vt:lpstr>Sheet2</vt:lpstr>
      <vt:lpstr>RMC Rec Detail</vt:lpstr>
      <vt:lpstr>Abstract!Print_Area</vt:lpstr>
      <vt:lpstr>AFP!Print_Area</vt:lpstr>
      <vt:lpstr>'AFP (2)'!Print_Area</vt:lpstr>
      <vt:lpstr>'BBS RECHRAGE PIT'!Print_Area</vt:lpstr>
      <vt:lpstr>'BBS Summary'!Print_Area</vt:lpstr>
      <vt:lpstr>'BRD_Cement &amp; Steel'!Print_Area</vt:lpstr>
      <vt:lpstr>BRD_Tiles!Print_Area</vt:lpstr>
      <vt:lpstr>'Cement Rec Detail'!Print_Area</vt:lpstr>
      <vt:lpstr>Consumption_Cement!Print_Area</vt:lpstr>
      <vt:lpstr>'Kitchen area MB'!Print_Area</vt:lpstr>
      <vt:lpstr>MB!Print_Area</vt:lpstr>
      <vt:lpstr>'NS Item Abst.'!Print_Area</vt:lpstr>
      <vt:lpstr>'Plinth beam MB'!Print_Area</vt:lpstr>
      <vt:lpstr>'Rec_Cement &amp; Steel'!Print_Area</vt:lpstr>
      <vt:lpstr>'RMC Rec Detail'!Print_Area</vt:lpstr>
      <vt:lpstr>'Tiles_Rec Detail'!Print_Area</vt:lpstr>
      <vt:lpstr>Abstract!Print_Titles</vt:lpstr>
      <vt:lpstr>'BBS Summary'!Print_Titles</vt:lpstr>
      <vt:lpstr>'Cement Rec Detail'!Print_Titles</vt:lpstr>
      <vt:lpstr>MB!Print_Titles</vt:lpstr>
      <vt:lpstr>'Plinth beam MB'!Print_Titles</vt:lpstr>
      <vt:lpstr>'RMC Rec Detail'!Print_Titles</vt:lpstr>
      <vt:lpstr>'Tiles_Rec Detail'!Print_Titles</vt:lpstr>
      <vt:lpstr>'TMT Rec Detail'!Print_Titles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2011-05-18T09:01:46Z</cp:lastPrinted>
  <dcterms:created xsi:type="dcterms:W3CDTF">2006-09-16T00:00:00Z</dcterms:created>
  <dcterms:modified xsi:type="dcterms:W3CDTF">2017-10-25T11:48:43Z</dcterms:modified>
</cp:coreProperties>
</file>