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 activeTab="3"/>
  </bookViews>
  <sheets>
    <sheet name="ABSTRACT" sheetId="6" r:id="rId1"/>
    <sheet name="MEASUREMENT SHEET" sheetId="5" r:id="rId2"/>
    <sheet name="SUPPLY QUANTITY" sheetId="3" r:id="rId3"/>
    <sheet name="RECEVIED QTY. DETAIL" sheetId="4" r:id="rId4"/>
  </sheets>
  <definedNames>
    <definedName name="_xlnm.Print_Area" localSheetId="0">ABSTRACT!$A$1:$G$23</definedName>
    <definedName name="_xlnm.Print_Area" localSheetId="1">'MEASUREMENT SHEET'!$A$1:$I$212</definedName>
    <definedName name="_xlnm.Print_Area" localSheetId="3">'RECEVIED QTY. DETAIL'!$A$1:$H$90</definedName>
    <definedName name="_xlnm.Print_Titles" localSheetId="1">'MEASUREMENT SHEET'!$1:$4</definedName>
  </definedNames>
  <calcPr calcId="144525"/>
</workbook>
</file>

<file path=xl/calcChain.xml><?xml version="1.0" encoding="utf-8"?>
<calcChain xmlns="http://schemas.openxmlformats.org/spreadsheetml/2006/main">
  <c r="H49" i="5" l="1"/>
  <c r="E49" i="5"/>
  <c r="D49" i="5"/>
  <c r="D48" i="5"/>
  <c r="E48" i="5"/>
  <c r="H48" i="5"/>
  <c r="G43" i="5"/>
  <c r="G68" i="5" l="1"/>
  <c r="H68" i="5" s="1"/>
  <c r="G202" i="5" l="1"/>
  <c r="D22" i="6" l="1"/>
  <c r="E70" i="4" l="1"/>
  <c r="E68" i="4"/>
  <c r="F7" i="3" l="1"/>
  <c r="D21" i="6"/>
  <c r="D20" i="6"/>
  <c r="D19" i="6"/>
  <c r="J5" i="4" l="1"/>
  <c r="J13" i="4" l="1"/>
  <c r="J12" i="4"/>
  <c r="J8" i="4"/>
  <c r="J6" i="4"/>
  <c r="J14" i="4"/>
  <c r="J11" i="4" l="1"/>
  <c r="F6" i="3" l="1"/>
  <c r="F5" i="3"/>
  <c r="F4" i="3"/>
  <c r="D8" i="3"/>
  <c r="G7" i="5" l="1"/>
  <c r="G8" i="5"/>
  <c r="G9" i="5"/>
  <c r="G10" i="5"/>
  <c r="G12" i="5"/>
  <c r="G13" i="5"/>
  <c r="I13" i="5" s="1"/>
  <c r="G14" i="5"/>
  <c r="G16" i="5"/>
  <c r="G17" i="5"/>
  <c r="G18" i="5"/>
  <c r="G19" i="5"/>
  <c r="G20" i="5"/>
  <c r="G21" i="5"/>
  <c r="G23" i="5"/>
  <c r="G24" i="5"/>
  <c r="G26" i="5"/>
  <c r="G27" i="5"/>
  <c r="G28" i="5"/>
  <c r="G54" i="5"/>
  <c r="G55" i="5"/>
  <c r="G57" i="5"/>
  <c r="H57" i="5" s="1"/>
  <c r="G59" i="5"/>
  <c r="G60" i="5"/>
  <c r="G61" i="5"/>
  <c r="G62" i="5"/>
  <c r="G64" i="5"/>
  <c r="G65" i="5"/>
  <c r="G67" i="5"/>
  <c r="H67" i="5" s="1"/>
  <c r="G36" i="5"/>
  <c r="G37" i="5"/>
  <c r="G39" i="5"/>
  <c r="G40" i="5"/>
  <c r="G41" i="5"/>
  <c r="G44" i="5"/>
  <c r="G76" i="5"/>
  <c r="G77" i="5"/>
  <c r="G78" i="5"/>
  <c r="G79" i="5"/>
  <c r="G80" i="5"/>
  <c r="G82" i="5"/>
  <c r="G83" i="5"/>
  <c r="G85" i="5"/>
  <c r="G86" i="5"/>
  <c r="G87" i="5"/>
  <c r="G88" i="5"/>
  <c r="G89" i="5"/>
  <c r="G191" i="5"/>
  <c r="D192" i="5"/>
  <c r="G192" i="5" s="1"/>
  <c r="D193" i="5"/>
  <c r="G193" i="5" s="1"/>
  <c r="D199" i="5"/>
  <c r="G199" i="5" s="1"/>
  <c r="G200" i="5"/>
  <c r="G201" i="5"/>
  <c r="G204" i="5"/>
  <c r="G205" i="5"/>
  <c r="G206" i="5"/>
  <c r="G208" i="5"/>
  <c r="H208" i="5" s="1"/>
  <c r="G95" i="5"/>
  <c r="G96" i="5"/>
  <c r="G97" i="5"/>
  <c r="G98" i="5"/>
  <c r="G99" i="5"/>
  <c r="G100" i="5"/>
  <c r="G102" i="5"/>
  <c r="G103" i="5"/>
  <c r="G104" i="5"/>
  <c r="G106" i="5"/>
  <c r="G107" i="5"/>
  <c r="G108" i="5"/>
  <c r="G109" i="5"/>
  <c r="G110" i="5"/>
  <c r="G111" i="5"/>
  <c r="G112" i="5"/>
  <c r="G113" i="5"/>
  <c r="G116" i="5"/>
  <c r="G117" i="5"/>
  <c r="G118" i="5"/>
  <c r="G119" i="5"/>
  <c r="G120" i="5"/>
  <c r="G121" i="5"/>
  <c r="G123" i="5"/>
  <c r="G124" i="5"/>
  <c r="G126" i="5"/>
  <c r="G127" i="5"/>
  <c r="G128" i="5"/>
  <c r="G129" i="5"/>
  <c r="G130" i="5"/>
  <c r="G131" i="5"/>
  <c r="G132" i="5"/>
  <c r="G133" i="5"/>
  <c r="G136" i="5"/>
  <c r="G137" i="5"/>
  <c r="G138" i="5"/>
  <c r="G139" i="5"/>
  <c r="G140" i="5"/>
  <c r="G141" i="5"/>
  <c r="G143" i="5"/>
  <c r="G144" i="5"/>
  <c r="G145" i="5"/>
  <c r="G146" i="5"/>
  <c r="G147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5" i="5"/>
  <c r="G166" i="5"/>
  <c r="G167" i="5"/>
  <c r="G168" i="5"/>
  <c r="G169" i="5"/>
  <c r="G170" i="5"/>
  <c r="G172" i="5"/>
  <c r="G173" i="5"/>
  <c r="G174" i="5"/>
  <c r="G176" i="5"/>
  <c r="G177" i="5"/>
  <c r="G178" i="5"/>
  <c r="G179" i="5"/>
  <c r="G180" i="5"/>
  <c r="G181" i="5"/>
  <c r="G182" i="5"/>
  <c r="G183" i="5"/>
  <c r="G184" i="5"/>
  <c r="H202" i="5" l="1"/>
  <c r="H62" i="5"/>
  <c r="H193" i="5"/>
  <c r="H195" i="5" s="1"/>
  <c r="H196" i="5" s="1"/>
  <c r="H206" i="5"/>
  <c r="H209" i="5" s="1"/>
  <c r="H210" i="5" s="1"/>
  <c r="H211" i="5" s="1"/>
  <c r="I20" i="5"/>
  <c r="H14" i="5"/>
  <c r="H10" i="5"/>
  <c r="H32" i="5"/>
  <c r="I26" i="5"/>
  <c r="H28" i="5"/>
  <c r="H21" i="5"/>
  <c r="H33" i="5"/>
  <c r="H51" i="5" s="1"/>
  <c r="D7" i="6" s="1"/>
  <c r="E21" i="6" s="1"/>
  <c r="F21" i="6" s="1"/>
  <c r="G21" i="6" s="1"/>
  <c r="H24" i="5"/>
  <c r="I19" i="5"/>
  <c r="I14" i="5"/>
  <c r="I9" i="5"/>
  <c r="H184" i="5"/>
  <c r="H44" i="5"/>
  <c r="H55" i="5"/>
  <c r="H69" i="5" s="1"/>
  <c r="H70" i="5" s="1"/>
  <c r="H71" i="5" s="1"/>
  <c r="H83" i="5"/>
  <c r="H37" i="5"/>
  <c r="I24" i="5"/>
  <c r="H162" i="5"/>
  <c r="H41" i="5"/>
  <c r="H65" i="5"/>
  <c r="H113" i="5"/>
  <c r="H80" i="5"/>
  <c r="H133" i="5"/>
  <c r="H89" i="5"/>
  <c r="I10" i="5"/>
  <c r="I28" i="5"/>
  <c r="H186" i="5" l="1"/>
  <c r="H29" i="5"/>
  <c r="H30" i="5" s="1"/>
  <c r="H31" i="5" s="1"/>
  <c r="H187" i="5"/>
  <c r="H188" i="5"/>
  <c r="H45" i="5"/>
  <c r="H46" i="5" s="1"/>
  <c r="H47" i="5" s="1"/>
  <c r="H50" i="5" s="1"/>
  <c r="D6" i="6" s="1"/>
  <c r="E20" i="6" s="1"/>
  <c r="F20" i="6" s="1"/>
  <c r="G20" i="6" s="1"/>
  <c r="H90" i="5"/>
  <c r="H91" i="5" s="1"/>
  <c r="H92" i="5" s="1"/>
  <c r="D5" i="6" l="1"/>
  <c r="D8" i="6"/>
  <c r="F6" i="6"/>
  <c r="E6" i="3"/>
  <c r="G6" i="3" s="1"/>
  <c r="F7" i="6"/>
  <c r="E19" i="6" l="1"/>
  <c r="D9" i="6"/>
  <c r="F13" i="6" s="1"/>
  <c r="E4" i="3"/>
  <c r="G4" i="3" s="1"/>
  <c r="F5" i="6"/>
  <c r="E22" i="6"/>
  <c r="E7" i="3"/>
  <c r="G7" i="3" s="1"/>
  <c r="F8" i="6"/>
  <c r="E5" i="3"/>
  <c r="G5" i="3" s="1"/>
  <c r="F22" i="6" l="1"/>
  <c r="G22" i="6" s="1"/>
  <c r="F19" i="6"/>
  <c r="G19" i="6" s="1"/>
  <c r="G23" i="6" s="1"/>
  <c r="F9" i="6"/>
  <c r="G8" i="3"/>
  <c r="F14" i="6"/>
  <c r="F15" i="6" s="1"/>
  <c r="F88" i="4"/>
  <c r="E8" i="3"/>
  <c r="F77" i="4"/>
  <c r="G71" i="4"/>
  <c r="E67" i="4"/>
  <c r="G66" i="4"/>
  <c r="F66" i="4"/>
  <c r="F62" i="4"/>
  <c r="E61" i="4"/>
  <c r="E60" i="4"/>
  <c r="F65" i="4"/>
  <c r="E59" i="4"/>
  <c r="E58" i="4"/>
  <c r="F64" i="4"/>
  <c r="E57" i="4"/>
  <c r="E56" i="4"/>
  <c r="M63" i="4"/>
  <c r="I63" i="4"/>
  <c r="F63" i="4"/>
  <c r="L55" i="4"/>
  <c r="E55" i="4"/>
  <c r="L54" i="4"/>
  <c r="G54" i="4"/>
  <c r="F54" i="4"/>
  <c r="L53" i="4"/>
  <c r="E53" i="4"/>
  <c r="L52" i="4"/>
  <c r="G52" i="4"/>
  <c r="F52" i="4"/>
  <c r="L51" i="4"/>
  <c r="E51" i="4"/>
  <c r="L50" i="4"/>
  <c r="G50" i="4"/>
  <c r="F50" i="4"/>
  <c r="L49" i="4"/>
  <c r="E49" i="4"/>
  <c r="L48" i="4"/>
  <c r="E48" i="4"/>
  <c r="G47" i="4"/>
  <c r="F47" i="4"/>
  <c r="E46" i="4"/>
  <c r="G45" i="4"/>
  <c r="F45" i="4"/>
  <c r="G44" i="4"/>
  <c r="F44" i="4"/>
  <c r="E43" i="4"/>
  <c r="G42" i="4"/>
  <c r="F42" i="4"/>
  <c r="G41" i="4"/>
  <c r="G40" i="4"/>
  <c r="F40" i="4"/>
  <c r="E39" i="4"/>
  <c r="E38" i="4"/>
  <c r="F37" i="4"/>
  <c r="E36" i="4"/>
  <c r="E35" i="4"/>
  <c r="G34" i="4"/>
  <c r="F34" i="4"/>
  <c r="E33" i="4"/>
  <c r="E32" i="4"/>
  <c r="G31" i="4"/>
  <c r="F31" i="4"/>
  <c r="E30" i="4"/>
  <c r="G29" i="4"/>
  <c r="F29" i="4"/>
  <c r="E28" i="4"/>
  <c r="G27" i="4"/>
  <c r="F27" i="4"/>
  <c r="E26" i="4"/>
  <c r="G25" i="4"/>
  <c r="F25" i="4"/>
  <c r="G24" i="4"/>
  <c r="F24" i="4"/>
  <c r="E23" i="4"/>
  <c r="G22" i="4"/>
  <c r="F22" i="4"/>
  <c r="E21" i="4"/>
  <c r="F20" i="4"/>
  <c r="E19" i="4"/>
  <c r="E18" i="4"/>
  <c r="G16" i="4"/>
  <c r="F16" i="4"/>
  <c r="G15" i="4"/>
  <c r="F15" i="4"/>
  <c r="E10" i="4"/>
  <c r="J10" i="4" s="1"/>
  <c r="G9" i="4"/>
  <c r="F9" i="4"/>
  <c r="E7" i="4"/>
  <c r="E81" i="4" l="1"/>
  <c r="E79" i="4"/>
  <c r="F79" i="4"/>
  <c r="G79" i="4"/>
  <c r="G81" i="4"/>
  <c r="J7" i="4"/>
  <c r="J9" i="4"/>
  <c r="F81" i="4"/>
  <c r="L63" i="4"/>
  <c r="F82" i="4" l="1"/>
  <c r="H79" i="4"/>
  <c r="F87" i="4" s="1"/>
  <c r="E82" i="4"/>
  <c r="G82" i="4"/>
  <c r="H81" i="4"/>
  <c r="K15" i="4"/>
  <c r="H82" i="4" l="1"/>
  <c r="F89" i="4"/>
  <c r="F90" i="4" s="1"/>
</calcChain>
</file>

<file path=xl/comments1.xml><?xml version="1.0" encoding="utf-8"?>
<comments xmlns="http://schemas.openxmlformats.org/spreadsheetml/2006/main">
  <authors>
    <author>Author</author>
  </authors>
  <commentList>
    <comment ref="B63" authorId="0">
      <text>
        <r>
          <rPr>
            <b/>
            <sz val="9"/>
            <color indexed="81"/>
            <rFont val="Tahoma"/>
            <family val="2"/>
          </rPr>
          <t xml:space="preserve">Vincom:PAID IN RA-8
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 xml:space="preserve">Vincom:PAID IN RA-8
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 xml:space="preserve">Vincom:PAID IN RA-8
</t>
        </r>
      </text>
    </comment>
    <comment ref="G6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HOLD DUE TO EXCEED QTY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HOLD DUE TO EXCEED QTY</t>
        </r>
      </text>
    </comment>
    <comment ref="G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HOLD DUE TO EXCEED QTY.
</t>
        </r>
      </text>
    </comment>
    <comment ref="G7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HOLD DUE TO EXCEED QTY.
</t>
        </r>
      </text>
    </comment>
    <comment ref="G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HOLD DUE TO EXCEED QTY</t>
        </r>
      </text>
    </comment>
  </commentList>
</comments>
</file>

<file path=xl/sharedStrings.xml><?xml version="1.0" encoding="utf-8"?>
<sst xmlns="http://schemas.openxmlformats.org/spreadsheetml/2006/main" count="590" uniqueCount="144">
  <si>
    <t>S.NO</t>
  </si>
  <si>
    <t>DESCRIPTION</t>
  </si>
  <si>
    <t>UNIT</t>
  </si>
  <si>
    <t>REMARKS</t>
  </si>
  <si>
    <t>SQ.FT</t>
  </si>
  <si>
    <t>VINCOM COST MANAGEMENT AND CONSULTANT PVT LTD</t>
  </si>
  <si>
    <t>EVEREST COMPOSITES ( GRC WORK FOR BOYS , GIRLS AND PODIUM )</t>
  </si>
  <si>
    <t>GRC DECORATIVE JALI 30MM THICK AND FINS</t>
  </si>
  <si>
    <t>GRC DECORATIVE FINS 75 MM THICK (225*3300)</t>
  </si>
  <si>
    <t>GRC DECORATIVE FINS 75 MM THICK (150*3300)</t>
  </si>
  <si>
    <t>INSTALATION QTY.(B)</t>
  </si>
  <si>
    <t>BOQ QTY.(A)</t>
  </si>
  <si>
    <t>SUPPLY QTY.(C)</t>
  </si>
  <si>
    <t>VARIATION IN QTY.(A-C)</t>
  </si>
  <si>
    <t>BILL WISE RECEVIED QTY. DETAIL</t>
  </si>
  <si>
    <t>EVEREST COMPOSITES</t>
  </si>
  <si>
    <t>INVOICE NO.</t>
  </si>
  <si>
    <t>BILL NO.</t>
  </si>
  <si>
    <t>BILLED QTY</t>
  </si>
  <si>
    <t xml:space="preserve">GRC DECORATIVE JALI 30MM THICK AND FINS </t>
  </si>
  <si>
    <t>GRC DECORATIVE FINS 75MM THICK(225*3300)</t>
  </si>
  <si>
    <t>GRC DECORATIVE FINS 75MM THICK (150*3300)</t>
  </si>
  <si>
    <t>RA-1</t>
  </si>
  <si>
    <t>RA-2</t>
  </si>
  <si>
    <t>RA-3</t>
  </si>
  <si>
    <t>RA-4</t>
  </si>
  <si>
    <t>RA-5</t>
  </si>
  <si>
    <t>RA-6</t>
  </si>
  <si>
    <t>RA-7</t>
  </si>
  <si>
    <t>TOTAL RECEVIED</t>
  </si>
  <si>
    <t>VARIATION IN QTY.(B-C)</t>
  </si>
  <si>
    <t>PAYED UPTO RA-7</t>
  </si>
  <si>
    <t xml:space="preserve">Balance </t>
  </si>
  <si>
    <t>GRC Decorative</t>
  </si>
  <si>
    <t>Total Recived</t>
  </si>
  <si>
    <t xml:space="preserve">Total Theretical Consumption </t>
  </si>
  <si>
    <t>Actual Balance / Wastage at Site</t>
  </si>
  <si>
    <t>Total % Of Balance / wastage on Billed Quantity</t>
  </si>
  <si>
    <t>%</t>
  </si>
  <si>
    <t>GRAND TOTAL</t>
  </si>
  <si>
    <t>SQ.M</t>
  </si>
  <si>
    <t>GRAND TOTAL (FOR FRONT AND BACK ELEVATION)</t>
  </si>
  <si>
    <t>6TH FLOOR</t>
  </si>
  <si>
    <t>5TH FLOOR</t>
  </si>
  <si>
    <t>4TH FLOOR</t>
  </si>
  <si>
    <t>3RD FLOOR</t>
  </si>
  <si>
    <t>2ND FLOOR</t>
  </si>
  <si>
    <t>1ST FLOOR</t>
  </si>
  <si>
    <t>ELEVATION - 4 (PLAIN SHEET AREA)</t>
  </si>
  <si>
    <t>ELEVATION -4 (GALLERY DEDUCATION AREA)</t>
  </si>
  <si>
    <t>ELEVATION - 4 (GRILL AREA)(FRONT SIDE)</t>
  </si>
  <si>
    <t>ELEVATION - 3 (PLAIN SHEET AREA)</t>
  </si>
  <si>
    <t>ELEVATION -3 (GALLERY DEDUCATION AREA)</t>
  </si>
  <si>
    <t>ELEVATION - 3 (GRILL AREA)(TOWARDS EXISTING HOSTEL)</t>
  </si>
  <si>
    <t>ELEVATION - 2 (PLAIN SHEET AREA)</t>
  </si>
  <si>
    <t>ELEVATION -2 (GALLERY DEDUCATION AREA)</t>
  </si>
  <si>
    <t>ELEVATION - 2 (GRILL AREA)(BACK SIDE)</t>
  </si>
  <si>
    <t>ELEVATION - 1 (PLAIN SHEET AREA)</t>
  </si>
  <si>
    <t>ELEVATION - 1 (GALLERY DEDUCATION AREA)</t>
  </si>
  <si>
    <t>ELEVATION - 1 (GRILL AREA)(TOWARDS RAMP)</t>
  </si>
  <si>
    <t xml:space="preserve">GRC GRILL  WORK FOR GIRLS HOSTELS </t>
  </si>
  <si>
    <t>PLAIN PANNEL WORK FOR RECEPTION</t>
  </si>
  <si>
    <t>PLAIN PANNEL WORK FOR GYM</t>
  </si>
  <si>
    <t>PANNEL WORK FOR CANTEEN</t>
  </si>
  <si>
    <t>PLAIN PANNEL WORK FOR CANTEEN</t>
  </si>
  <si>
    <t xml:space="preserve">GRC PLAIN PANNEL WORK </t>
  </si>
  <si>
    <t>GRAND TOTAL (FOR BH1,BH2,BH3 AND BH4)</t>
  </si>
  <si>
    <t>NO.OF BLOCK</t>
  </si>
  <si>
    <t>PANNEL WORK IN COURTYARD</t>
  </si>
  <si>
    <t>PLAIN PANNEL WORK FOR COURTYARD IN HOSTEL</t>
  </si>
  <si>
    <t>NO.OF SIDE</t>
  </si>
  <si>
    <t>DEDUCATION FOR OPEN AREA (AT GRID 8&amp;9)</t>
  </si>
  <si>
    <t>DEDUCATION FOR OPEN AREA (AT GRID 5)</t>
  </si>
  <si>
    <t>DEDUCATION FOR OPEN AREA (AT GRID 2&amp;4)</t>
  </si>
  <si>
    <t>DEDUCATION FOR OPEN AREA (AT GRID 1&amp;2)</t>
  </si>
  <si>
    <t>EAST ELEVATION TOWARDS CANTEEN</t>
  </si>
  <si>
    <t>GRILL WORK FOR EAST ELEVATION</t>
  </si>
  <si>
    <t>DEDUCATION FOR OPEN AREA (AT GRID J&amp;H)</t>
  </si>
  <si>
    <t>SOUTH ELEVATION TOWARDS EXISTING HOSTEL</t>
  </si>
  <si>
    <t>GRILL WORK FOR SOUTH ELEVATION</t>
  </si>
  <si>
    <t>DEDUCATION FOR STAIRCASE AREA</t>
  </si>
  <si>
    <t>DEDUCATION FOR OPEN AREA (AT GRID H)</t>
  </si>
  <si>
    <t>DEDUCATION FOR OPEN AREA (AT GRID H&amp;G)</t>
  </si>
  <si>
    <t>DEDUCATION FOR OPEN AREA (AT GRID E&amp;F)</t>
  </si>
  <si>
    <t>NORTH ELEVATION (TOWARDS EXISTING HOSTEL)</t>
  </si>
  <si>
    <t>GRILL WORK FOR NORTH ELEVATION</t>
  </si>
  <si>
    <t>GRC GRILL WORK FOR PODIUM</t>
  </si>
  <si>
    <t>EAST ELEVATION (TOWARDS EXISTING HOSTEL)</t>
  </si>
  <si>
    <t>FINS WORK FOR EAST ELEVATION</t>
  </si>
  <si>
    <t>FINS WORK FOR NORTH ELEVATION</t>
  </si>
  <si>
    <t>SOUTH ELEVATION (TOWARDS EXISTING HOSTEL)</t>
  </si>
  <si>
    <t>FINS WORK FOR SOUTH ELEVATION</t>
  </si>
  <si>
    <t>GRC FINS WORK FOR PODIUM</t>
  </si>
  <si>
    <t>GRAND TOTAL (FOR BH1,BH2,BH-3 AND BH-4)</t>
  </si>
  <si>
    <t>ELEVATION-B (TOWARDS PODIUM)</t>
  </si>
  <si>
    <t>GRILL WORK FOR ELEVATION -E</t>
  </si>
  <si>
    <t>ELEVATION - D (TOWARDS MAIN ENTRY)</t>
  </si>
  <si>
    <t>GRILL WORK FOR ELEVATION -D</t>
  </si>
  <si>
    <t>ELEVATION-C (TOWARDS WATER BODY)</t>
  </si>
  <si>
    <t>GRILL WORK FOR ELEVATION -C</t>
  </si>
  <si>
    <t>GRILL WORK FOR ELEVATION -B</t>
  </si>
  <si>
    <t>ELEVATION-A (TOWARDS ROAD SIDE)</t>
  </si>
  <si>
    <t>GRILL WORK FOR ELEVATION -A</t>
  </si>
  <si>
    <t>GRC GRILL WORK FOR BOY HOSTEL</t>
  </si>
  <si>
    <t>CORNER FINS</t>
  </si>
  <si>
    <t>ELEVATION-E (TOWARDS PODIUM CORNER)</t>
  </si>
  <si>
    <t>FINS WORK FOR ELEVATION -E</t>
  </si>
  <si>
    <t>FINS WORK FOR ELEVATION -D</t>
  </si>
  <si>
    <t>FINS WORK FOR ELEVATION -C</t>
  </si>
  <si>
    <t>FINS WORK FOR ELEVATION -B</t>
  </si>
  <si>
    <t>FINS WORK FOR ELEVATION -A</t>
  </si>
  <si>
    <t>GRC FINS WORK FOR BOY HOSTEL</t>
  </si>
  <si>
    <t>HEIGHT</t>
  </si>
  <si>
    <t>WIDTH</t>
  </si>
  <si>
    <t>TOTAL QTY.</t>
  </si>
  <si>
    <t>QTY</t>
  </si>
  <si>
    <t>MEASUREMENT</t>
  </si>
  <si>
    <t>NOS</t>
  </si>
  <si>
    <t>PLAIN PANNEL WORK FOR BOYS HOSTELS</t>
  </si>
  <si>
    <t>AMOUNT</t>
  </si>
  <si>
    <t>RATE</t>
  </si>
  <si>
    <t xml:space="preserve">DESCRIPTION </t>
  </si>
  <si>
    <t xml:space="preserve">Total </t>
  </si>
  <si>
    <t>Grc Installation work  as per site</t>
  </si>
  <si>
    <t>Total Consumption As Per site</t>
  </si>
  <si>
    <t>Amount</t>
  </si>
  <si>
    <t>Balance Payment</t>
  </si>
  <si>
    <t xml:space="preserve"> TOTAL</t>
  </si>
  <si>
    <t xml:space="preserve">GRC DECORATIVE JALI 30MM THICK </t>
  </si>
  <si>
    <t>GRC DECORATIVE FINS 75 MM THICK (225*3300),(</t>
  </si>
  <si>
    <t>GRAND TOTAL 225MM</t>
  </si>
  <si>
    <t>GRAND TOTAL 150MM</t>
  </si>
  <si>
    <t>TOTAL 225MM</t>
  </si>
  <si>
    <t>TOTAL 150MM</t>
  </si>
  <si>
    <t>RA-8</t>
  </si>
  <si>
    <t>CONSUME QTY.</t>
  </si>
  <si>
    <t>BALANCE QTY.</t>
  </si>
  <si>
    <t>SUPPLY UPTO RA-8</t>
  </si>
  <si>
    <t>PAID SUPPLY QTY</t>
  </si>
  <si>
    <t>GRC ABOVE PARAPET(300MM HIGH)</t>
  </si>
  <si>
    <t>151.564 IS PERIPHERRY OF SINGLE BLOCK</t>
  </si>
  <si>
    <t xml:space="preserve"> </t>
  </si>
  <si>
    <t>FINS FOR PARAPET WALL (225 MM)</t>
  </si>
  <si>
    <t>FINS FOR PARAPET WALL (150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</si>
</sst>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/>
    <xf numFmtId="0" fontId="3" fillId="2" borderId="1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0" fillId="0" borderId="4" xfId="0" applyNumberFormat="1" applyBorder="1" applyAlignment="1">
      <alignment horizontal="center" vertical="center"/>
    </xf>
    <xf numFmtId="2" fontId="1" fillId="6" borderId="3" xfId="0" applyNumberFormat="1" applyFont="1" applyFill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9" xfId="0" applyFont="1" applyBorder="1"/>
    <xf numFmtId="0" fontId="7" fillId="0" borderId="0" xfId="0" applyFont="1"/>
    <xf numFmtId="0" fontId="0" fillId="0" borderId="0" xfId="0" applyAlignment="1">
      <alignment horizontal="left" wrapText="1"/>
    </xf>
    <xf numFmtId="0" fontId="7" fillId="7" borderId="0" xfId="0" applyFont="1" applyFill="1"/>
    <xf numFmtId="2" fontId="1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3" xfId="0" applyNumberFormat="1" applyBorder="1"/>
    <xf numFmtId="0" fontId="0" fillId="5" borderId="4" xfId="0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0" borderId="6" xfId="0" applyFont="1" applyBorder="1"/>
    <xf numFmtId="2" fontId="1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/>
    <xf numFmtId="1" fontId="1" fillId="0" borderId="9" xfId="0" applyNumberFormat="1" applyFont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8" xfId="0" applyBorder="1"/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31" xfId="0" applyBorder="1"/>
    <xf numFmtId="0" fontId="1" fillId="0" borderId="32" xfId="0" applyFont="1" applyBorder="1"/>
    <xf numFmtId="0" fontId="1" fillId="0" borderId="32" xfId="0" applyFont="1" applyBorder="1" applyAlignment="1">
      <alignment wrapText="1"/>
    </xf>
    <xf numFmtId="0" fontId="1" fillId="0" borderId="32" xfId="0" applyFont="1" applyFill="1" applyBorder="1"/>
    <xf numFmtId="0" fontId="1" fillId="0" borderId="33" xfId="0" applyFont="1" applyBorder="1"/>
    <xf numFmtId="0" fontId="1" fillId="10" borderId="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2" fontId="1" fillId="7" borderId="3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6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="60" zoomScaleNormal="100" workbookViewId="0">
      <selection activeCell="Q9" sqref="Q9"/>
    </sheetView>
  </sheetViews>
  <sheetFormatPr defaultRowHeight="15" x14ac:dyDescent="0.25"/>
  <cols>
    <col min="1" max="1" width="7.5703125" customWidth="1"/>
    <col min="2" max="2" width="53.85546875" customWidth="1"/>
    <col min="3" max="3" width="11.140625" customWidth="1"/>
    <col min="4" max="4" width="18" customWidth="1"/>
    <col min="5" max="5" width="14.5703125" customWidth="1"/>
    <col min="6" max="6" width="25.42578125" customWidth="1"/>
    <col min="7" max="7" width="20.140625" customWidth="1"/>
    <col min="8" max="8" width="11.5703125" customWidth="1"/>
    <col min="9" max="9" width="9.5703125" bestFit="1" customWidth="1"/>
    <col min="10" max="10" width="19.5703125" customWidth="1"/>
    <col min="11" max="11" width="11.5703125" bestFit="1" customWidth="1"/>
    <col min="12" max="12" width="10.5703125" bestFit="1" customWidth="1"/>
  </cols>
  <sheetData>
    <row r="1" spans="1:13" ht="26.25" customHeight="1" thickBot="1" x14ac:dyDescent="0.35">
      <c r="A1" s="132" t="s">
        <v>5</v>
      </c>
      <c r="B1" s="133"/>
      <c r="C1" s="133"/>
      <c r="D1" s="133"/>
      <c r="E1" s="133"/>
      <c r="F1" s="133"/>
      <c r="G1" s="134"/>
    </row>
    <row r="2" spans="1:13" ht="25.5" customHeight="1" thickBot="1" x14ac:dyDescent="0.35">
      <c r="A2" s="132" t="s">
        <v>6</v>
      </c>
      <c r="B2" s="133"/>
      <c r="C2" s="133"/>
      <c r="D2" s="133"/>
      <c r="E2" s="133"/>
      <c r="F2" s="133"/>
      <c r="G2" s="134"/>
    </row>
    <row r="3" spans="1:13" ht="30" customHeight="1" thickBot="1" x14ac:dyDescent="0.35">
      <c r="A3" s="3" t="s">
        <v>0</v>
      </c>
      <c r="B3" s="3" t="s">
        <v>121</v>
      </c>
      <c r="C3" s="3" t="s">
        <v>2</v>
      </c>
      <c r="D3" s="3" t="s">
        <v>115</v>
      </c>
      <c r="E3" s="3" t="s">
        <v>120</v>
      </c>
      <c r="F3" s="3" t="s">
        <v>119</v>
      </c>
      <c r="G3" s="3" t="s">
        <v>3</v>
      </c>
    </row>
    <row r="4" spans="1:13" ht="30.75" customHeight="1" x14ac:dyDescent="0.3">
      <c r="A4" s="109"/>
      <c r="B4" s="110" t="s">
        <v>123</v>
      </c>
      <c r="C4" s="109"/>
      <c r="D4" s="109"/>
      <c r="E4" s="109"/>
      <c r="F4" s="109"/>
      <c r="G4" s="111"/>
    </row>
    <row r="5" spans="1:13" ht="32.25" customHeight="1" x14ac:dyDescent="0.25">
      <c r="A5" s="58">
        <v>1</v>
      </c>
      <c r="B5" s="74" t="s">
        <v>128</v>
      </c>
      <c r="C5" s="72" t="s">
        <v>4</v>
      </c>
      <c r="D5" s="73">
        <f>'MEASUREMENT SHEET'!H188</f>
        <v>222836.80374499998</v>
      </c>
      <c r="E5" s="72">
        <v>275</v>
      </c>
      <c r="F5" s="72">
        <f t="shared" ref="F5:F8" si="0">E5*D5</f>
        <v>61280121.029874995</v>
      </c>
      <c r="G5" s="1"/>
      <c r="H5" s="53"/>
      <c r="I5" s="53"/>
    </row>
    <row r="6" spans="1:13" ht="32.25" customHeight="1" x14ac:dyDescent="0.25">
      <c r="A6" s="58">
        <v>2</v>
      </c>
      <c r="B6" s="75" t="s">
        <v>129</v>
      </c>
      <c r="C6" s="72" t="s">
        <v>4</v>
      </c>
      <c r="D6" s="73">
        <f>'MEASUREMENT SHEET'!H50</f>
        <v>24244.339463999997</v>
      </c>
      <c r="E6" s="72">
        <v>137.5</v>
      </c>
      <c r="F6" s="73">
        <f t="shared" si="0"/>
        <v>3333596.6762999995</v>
      </c>
      <c r="G6" s="1"/>
      <c r="H6" s="53"/>
    </row>
    <row r="7" spans="1:13" ht="26.25" customHeight="1" x14ac:dyDescent="0.25">
      <c r="A7" s="58">
        <v>3</v>
      </c>
      <c r="B7" s="75" t="s">
        <v>9</v>
      </c>
      <c r="C7" s="72" t="s">
        <v>4</v>
      </c>
      <c r="D7" s="73">
        <f>'MEASUREMENT SHEET'!H51</f>
        <v>12361.3032</v>
      </c>
      <c r="E7" s="72">
        <v>137.5</v>
      </c>
      <c r="F7" s="73">
        <f t="shared" si="0"/>
        <v>1699679.19</v>
      </c>
      <c r="G7" s="1"/>
      <c r="H7" s="53"/>
    </row>
    <row r="8" spans="1:13" ht="50.25" customHeight="1" x14ac:dyDescent="0.25">
      <c r="A8" s="58">
        <v>4</v>
      </c>
      <c r="B8" s="75" t="s">
        <v>118</v>
      </c>
      <c r="C8" s="72" t="s">
        <v>4</v>
      </c>
      <c r="D8" s="73">
        <f>'MEASUREMENT SHEET'!H211</f>
        <v>4150.1373800000001</v>
      </c>
      <c r="E8" s="89">
        <v>137.5</v>
      </c>
      <c r="F8" s="73">
        <f t="shared" si="0"/>
        <v>570643.88974999997</v>
      </c>
      <c r="G8" s="82"/>
      <c r="H8" s="53"/>
    </row>
    <row r="9" spans="1:13" ht="31.5" customHeight="1" x14ac:dyDescent="0.25">
      <c r="A9" s="58"/>
      <c r="B9" s="20" t="s">
        <v>122</v>
      </c>
      <c r="C9" s="72"/>
      <c r="D9" s="73">
        <f>SUM(D5:D8)</f>
        <v>263592.58378899994</v>
      </c>
      <c r="E9" s="72"/>
      <c r="F9" s="73">
        <f>SUM(F5:F8)</f>
        <v>66884040.785924986</v>
      </c>
      <c r="G9" s="1"/>
      <c r="H9" s="53"/>
      <c r="K9" s="53"/>
      <c r="L9" s="53"/>
      <c r="M9" s="53"/>
    </row>
    <row r="10" spans="1:13" ht="27" customHeight="1" thickBot="1" x14ac:dyDescent="0.3">
      <c r="A10" s="97"/>
      <c r="B10" s="98"/>
      <c r="C10" s="99"/>
      <c r="D10" s="100"/>
      <c r="E10" s="99"/>
      <c r="F10" s="100"/>
      <c r="G10" s="101"/>
      <c r="H10" s="53"/>
      <c r="K10" s="53"/>
    </row>
    <row r="11" spans="1:13" ht="21" customHeight="1" thickBot="1" x14ac:dyDescent="0.3">
      <c r="A11" s="105"/>
      <c r="B11" s="135" t="s">
        <v>33</v>
      </c>
      <c r="C11" s="135"/>
      <c r="D11" s="135"/>
      <c r="E11" s="105"/>
      <c r="F11" s="106"/>
      <c r="G11" s="107"/>
      <c r="H11" s="76"/>
      <c r="K11" s="53"/>
    </row>
    <row r="12" spans="1:13" ht="28.5" customHeight="1" x14ac:dyDescent="0.25">
      <c r="A12" s="102"/>
      <c r="B12" s="136" t="s">
        <v>34</v>
      </c>
      <c r="C12" s="137"/>
      <c r="D12" s="138"/>
      <c r="E12" s="103" t="s">
        <v>4</v>
      </c>
      <c r="F12" s="104">
        <v>281368</v>
      </c>
      <c r="G12" s="1"/>
      <c r="H12" s="76"/>
    </row>
    <row r="13" spans="1:13" ht="26.25" customHeight="1" x14ac:dyDescent="0.25">
      <c r="A13" s="12"/>
      <c r="B13" s="126" t="s">
        <v>124</v>
      </c>
      <c r="C13" s="127"/>
      <c r="D13" s="128"/>
      <c r="E13" s="22" t="s">
        <v>4</v>
      </c>
      <c r="F13" s="77">
        <f>D9</f>
        <v>263592.58378899994</v>
      </c>
      <c r="G13" s="1"/>
      <c r="H13" s="76"/>
    </row>
    <row r="14" spans="1:13" ht="21.75" customHeight="1" x14ac:dyDescent="0.25">
      <c r="A14" s="12"/>
      <c r="B14" s="126" t="s">
        <v>36</v>
      </c>
      <c r="C14" s="127"/>
      <c r="D14" s="128"/>
      <c r="E14" s="22" t="s">
        <v>4</v>
      </c>
      <c r="F14" s="77">
        <f>F12-F13</f>
        <v>17775.416211000062</v>
      </c>
      <c r="G14" s="1"/>
      <c r="H14" s="76"/>
    </row>
    <row r="15" spans="1:13" ht="21" customHeight="1" x14ac:dyDescent="0.25">
      <c r="A15" s="12"/>
      <c r="B15" s="129" t="s">
        <v>37</v>
      </c>
      <c r="C15" s="130"/>
      <c r="D15" s="131"/>
      <c r="E15" s="22" t="s">
        <v>38</v>
      </c>
      <c r="F15" s="77">
        <f>ROUND(F13/F14,4)</f>
        <v>14.8291</v>
      </c>
      <c r="G15" s="1"/>
      <c r="H15" s="76"/>
    </row>
    <row r="16" spans="1:13" ht="21" customHeight="1" thickBot="1" x14ac:dyDescent="0.3">
      <c r="A16" s="14"/>
      <c r="B16" s="139"/>
      <c r="C16" s="140"/>
      <c r="D16" s="141"/>
      <c r="E16" s="94"/>
      <c r="F16" s="95"/>
      <c r="G16" s="96"/>
      <c r="H16" s="76"/>
    </row>
    <row r="17" spans="1:8" ht="21" customHeight="1" thickBot="1" x14ac:dyDescent="0.3">
      <c r="A17" s="123" t="s">
        <v>137</v>
      </c>
      <c r="B17" s="124"/>
      <c r="C17" s="124"/>
      <c r="D17" s="124"/>
      <c r="E17" s="124"/>
      <c r="F17" s="124"/>
      <c r="G17" s="125"/>
      <c r="H17" s="47"/>
    </row>
    <row r="18" spans="1:8" ht="31.5" customHeight="1" thickBot="1" x14ac:dyDescent="0.3">
      <c r="A18" s="114"/>
      <c r="B18" s="115" t="s">
        <v>1</v>
      </c>
      <c r="C18" s="115" t="s">
        <v>2</v>
      </c>
      <c r="D18" s="116" t="s">
        <v>138</v>
      </c>
      <c r="E18" s="117" t="s">
        <v>135</v>
      </c>
      <c r="F18" s="115" t="s">
        <v>136</v>
      </c>
      <c r="G18" s="118" t="s">
        <v>125</v>
      </c>
    </row>
    <row r="19" spans="1:8" ht="41.25" customHeight="1" x14ac:dyDescent="0.25">
      <c r="A19" s="108"/>
      <c r="B19" s="74" t="s">
        <v>7</v>
      </c>
      <c r="C19" s="72" t="s">
        <v>4</v>
      </c>
      <c r="D19" s="102">
        <f>204418.96+16780</f>
        <v>221198.96</v>
      </c>
      <c r="E19" s="112">
        <f>D5</f>
        <v>222836.80374499998</v>
      </c>
      <c r="F19" s="112">
        <f>E19-D19</f>
        <v>1637.843744999991</v>
      </c>
      <c r="G19" s="113">
        <f>F19*275</f>
        <v>450407.02987499756</v>
      </c>
    </row>
    <row r="20" spans="1:8" ht="44.25" customHeight="1" x14ac:dyDescent="0.25">
      <c r="A20" s="11"/>
      <c r="B20" s="75" t="s">
        <v>8</v>
      </c>
      <c r="C20" s="79" t="s">
        <v>4</v>
      </c>
      <c r="D20" s="12">
        <f>19728.49+4361</f>
        <v>24089.49</v>
      </c>
      <c r="E20" s="80">
        <f>D6</f>
        <v>24244.339463999997</v>
      </c>
      <c r="F20" s="80">
        <f t="shared" ref="F20:F21" si="1">E20-D20</f>
        <v>154.84946399999535</v>
      </c>
      <c r="G20" s="13">
        <f>F20*137.5</f>
        <v>21291.801299999359</v>
      </c>
    </row>
    <row r="21" spans="1:8" ht="36.75" customHeight="1" x14ac:dyDescent="0.25">
      <c r="A21" s="11"/>
      <c r="B21" s="75" t="s">
        <v>9</v>
      </c>
      <c r="C21" s="79" t="s">
        <v>4</v>
      </c>
      <c r="D21" s="12">
        <f>12112.82+54</f>
        <v>12166.82</v>
      </c>
      <c r="E21" s="80">
        <f>D7</f>
        <v>12361.3032</v>
      </c>
      <c r="F21" s="80">
        <f t="shared" si="1"/>
        <v>194.48320000000058</v>
      </c>
      <c r="G21" s="13">
        <f>F21*137.5</f>
        <v>26741.440000000079</v>
      </c>
    </row>
    <row r="22" spans="1:8" ht="48.75" customHeight="1" x14ac:dyDescent="0.25">
      <c r="A22" s="11"/>
      <c r="B22" s="75" t="s">
        <v>118</v>
      </c>
      <c r="C22" s="79" t="s">
        <v>4</v>
      </c>
      <c r="D22" s="12">
        <f>6938.252</f>
        <v>6938.2520000000004</v>
      </c>
      <c r="E22" s="80">
        <f>D8</f>
        <v>4150.1373800000001</v>
      </c>
      <c r="F22" s="80">
        <f>E22-D22</f>
        <v>-2788.1146200000003</v>
      </c>
      <c r="G22" s="13">
        <f>F22*137.5</f>
        <v>-383365.76025000005</v>
      </c>
    </row>
    <row r="23" spans="1:8" ht="19.5" customHeight="1" thickBot="1" x14ac:dyDescent="0.3">
      <c r="A23" s="14"/>
      <c r="B23" s="94" t="s">
        <v>126</v>
      </c>
      <c r="C23" s="15"/>
      <c r="D23" s="15"/>
      <c r="E23" s="15"/>
      <c r="F23" s="15"/>
      <c r="G23" s="16">
        <f>SUM(G19:G22)</f>
        <v>115074.51092499692</v>
      </c>
    </row>
    <row r="24" spans="1:8" ht="17.25" customHeight="1" x14ac:dyDescent="0.25"/>
    <row r="25" spans="1:8" ht="17.25" customHeight="1" x14ac:dyDescent="0.25">
      <c r="G25" s="53"/>
    </row>
  </sheetData>
  <mergeCells count="9">
    <mergeCell ref="A17:G17"/>
    <mergeCell ref="B14:D14"/>
    <mergeCell ref="B15:D15"/>
    <mergeCell ref="A1:G1"/>
    <mergeCell ref="A2:G2"/>
    <mergeCell ref="B11:D11"/>
    <mergeCell ref="B12:D12"/>
    <mergeCell ref="B13:D13"/>
    <mergeCell ref="B16:D16"/>
  </mergeCells>
  <pageMargins left="0.7" right="0.7" top="0.75" bottom="0.75" header="0.3" footer="0.3"/>
  <pageSetup scale="75" orientation="landscape" horizontalDpi="0" verticalDpi="0" r:id="rId1"/>
  <rowBreaks count="1" manualBreakCount="1">
    <brk id="2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212"/>
  <sheetViews>
    <sheetView view="pageBreakPreview" zoomScale="60" zoomScaleNormal="100" workbookViewId="0">
      <pane xSplit="4" ySplit="4" topLeftCell="E203" activePane="bottomRight" state="frozen"/>
      <selection pane="topRight" activeCell="E1" sqref="E1"/>
      <selection pane="bottomLeft" activeCell="A5" sqref="A5"/>
      <selection pane="bottomRight" activeCell="T213" sqref="T213"/>
    </sheetView>
  </sheetViews>
  <sheetFormatPr defaultRowHeight="15" x14ac:dyDescent="0.25"/>
  <cols>
    <col min="1" max="1" width="7.28515625" customWidth="1"/>
    <col min="2" max="2" width="52.7109375" customWidth="1"/>
    <col min="3" max="3" width="8.85546875" customWidth="1"/>
    <col min="4" max="4" width="12.42578125" customWidth="1"/>
    <col min="5" max="5" width="10.42578125" customWidth="1"/>
    <col min="6" max="6" width="11.5703125" customWidth="1"/>
    <col min="7" max="7" width="11.28515625" customWidth="1"/>
    <col min="8" max="8" width="14.7109375" customWidth="1"/>
    <col min="9" max="9" width="41.5703125" customWidth="1"/>
    <col min="11" max="11" width="12.7109375" customWidth="1"/>
  </cols>
  <sheetData>
    <row r="1" spans="1:11" ht="24.75" customHeight="1" thickBot="1" x14ac:dyDescent="0.35">
      <c r="A1" s="132" t="s">
        <v>5</v>
      </c>
      <c r="B1" s="133"/>
      <c r="C1" s="133"/>
      <c r="D1" s="133"/>
      <c r="E1" s="133"/>
      <c r="F1" s="133"/>
      <c r="G1" s="133"/>
      <c r="H1" s="133"/>
      <c r="I1" s="134"/>
    </row>
    <row r="2" spans="1:11" ht="24.75" customHeight="1" thickBot="1" x14ac:dyDescent="0.35">
      <c r="A2" s="132" t="s">
        <v>6</v>
      </c>
      <c r="B2" s="133"/>
      <c r="C2" s="133"/>
      <c r="D2" s="133"/>
      <c r="E2" s="133"/>
      <c r="F2" s="133"/>
      <c r="G2" s="133"/>
      <c r="H2" s="133"/>
      <c r="I2" s="134"/>
    </row>
    <row r="3" spans="1:11" ht="22.5" customHeight="1" thickBot="1" x14ac:dyDescent="0.3">
      <c r="A3" s="142" t="s">
        <v>0</v>
      </c>
      <c r="B3" s="142" t="s">
        <v>1</v>
      </c>
      <c r="C3" s="147" t="s">
        <v>2</v>
      </c>
      <c r="D3" s="147" t="s">
        <v>117</v>
      </c>
      <c r="E3" s="147" t="s">
        <v>116</v>
      </c>
      <c r="F3" s="147"/>
      <c r="G3" s="142" t="s">
        <v>115</v>
      </c>
      <c r="H3" s="144" t="s">
        <v>114</v>
      </c>
      <c r="I3" s="146" t="s">
        <v>3</v>
      </c>
    </row>
    <row r="4" spans="1:11" ht="26.25" customHeight="1" thickBot="1" x14ac:dyDescent="0.3">
      <c r="A4" s="143"/>
      <c r="B4" s="143"/>
      <c r="C4" s="147"/>
      <c r="D4" s="147"/>
      <c r="E4" s="71" t="s">
        <v>113</v>
      </c>
      <c r="F4" s="71" t="s">
        <v>112</v>
      </c>
      <c r="G4" s="143"/>
      <c r="H4" s="145"/>
      <c r="I4" s="146"/>
    </row>
    <row r="5" spans="1:11" ht="18.75" x14ac:dyDescent="0.25">
      <c r="A5" s="70">
        <v>1</v>
      </c>
      <c r="B5" s="78" t="s">
        <v>111</v>
      </c>
      <c r="C5" s="4"/>
      <c r="D5" s="4"/>
      <c r="E5" s="4"/>
      <c r="F5" s="4"/>
      <c r="G5" s="4"/>
      <c r="H5" s="4"/>
      <c r="I5" s="1"/>
    </row>
    <row r="6" spans="1:11" x14ac:dyDescent="0.25">
      <c r="A6" s="5">
        <v>1</v>
      </c>
      <c r="B6" s="6" t="s">
        <v>110</v>
      </c>
      <c r="C6" s="7"/>
      <c r="D6" s="7"/>
      <c r="E6" s="7"/>
      <c r="F6" s="7"/>
      <c r="G6" s="7"/>
      <c r="H6" s="7"/>
      <c r="I6" s="2"/>
    </row>
    <row r="7" spans="1:11" x14ac:dyDescent="0.25">
      <c r="A7" s="8">
        <v>1.1000000000000001</v>
      </c>
      <c r="B7" s="7" t="s">
        <v>101</v>
      </c>
      <c r="C7" s="7" t="s">
        <v>40</v>
      </c>
      <c r="D7" s="7">
        <v>9</v>
      </c>
      <c r="E7" s="7">
        <v>0.22500000000000001</v>
      </c>
      <c r="F7" s="69">
        <v>18.425000000000001</v>
      </c>
      <c r="G7" s="52">
        <f>PRODUCT(D7:F7)</f>
        <v>37.310625000000002</v>
      </c>
      <c r="H7" s="7"/>
      <c r="I7" s="2"/>
    </row>
    <row r="8" spans="1:11" x14ac:dyDescent="0.25">
      <c r="A8" s="8">
        <v>1.2</v>
      </c>
      <c r="B8" s="7" t="s">
        <v>101</v>
      </c>
      <c r="C8" s="7" t="s">
        <v>40</v>
      </c>
      <c r="D8" s="7">
        <v>10</v>
      </c>
      <c r="E8" s="7">
        <v>0.22500000000000001</v>
      </c>
      <c r="F8" s="52">
        <v>16.5</v>
      </c>
      <c r="G8" s="52">
        <f>PRODUCT(D8:F8)</f>
        <v>37.125</v>
      </c>
      <c r="H8" s="52"/>
      <c r="I8" s="2"/>
    </row>
    <row r="9" spans="1:11" x14ac:dyDescent="0.25">
      <c r="A9" s="8">
        <v>1.3</v>
      </c>
      <c r="B9" s="7" t="s">
        <v>101</v>
      </c>
      <c r="C9" s="7" t="s">
        <v>40</v>
      </c>
      <c r="D9" s="7">
        <v>16</v>
      </c>
      <c r="E9" s="7">
        <v>0.22500000000000001</v>
      </c>
      <c r="F9" s="69">
        <v>31.625</v>
      </c>
      <c r="G9" s="52">
        <f>PRODUCT(D9:F9)</f>
        <v>113.85000000000001</v>
      </c>
      <c r="H9" s="7"/>
      <c r="I9" s="68">
        <f>SUM(G7:G9)</f>
        <v>188.28562500000001</v>
      </c>
    </row>
    <row r="10" spans="1:11" x14ac:dyDescent="0.25">
      <c r="A10" s="8">
        <v>1.4</v>
      </c>
      <c r="B10" s="7" t="s">
        <v>101</v>
      </c>
      <c r="C10" s="7" t="s">
        <v>40</v>
      </c>
      <c r="D10" s="7">
        <v>21</v>
      </c>
      <c r="E10" s="7">
        <v>0.15</v>
      </c>
      <c r="F10" s="69">
        <v>15.125</v>
      </c>
      <c r="G10" s="52">
        <f>PRODUCT(D10:F10)</f>
        <v>47.643749999999997</v>
      </c>
      <c r="H10" s="52">
        <f>SUM(G7:G10)</f>
        <v>235.92937499999999</v>
      </c>
      <c r="I10" s="54">
        <f>G10</f>
        <v>47.643749999999997</v>
      </c>
    </row>
    <row r="11" spans="1:11" x14ac:dyDescent="0.25">
      <c r="A11" s="5">
        <v>2</v>
      </c>
      <c r="B11" s="6" t="s">
        <v>109</v>
      </c>
      <c r="C11" s="7"/>
      <c r="D11" s="7"/>
      <c r="E11" s="7"/>
      <c r="F11" s="52"/>
      <c r="G11" s="52"/>
      <c r="H11" s="7"/>
      <c r="I11" s="2"/>
      <c r="K11" s="53"/>
    </row>
    <row r="12" spans="1:11" x14ac:dyDescent="0.25">
      <c r="A12" s="8">
        <v>1.1000000000000001</v>
      </c>
      <c r="B12" s="7" t="s">
        <v>94</v>
      </c>
      <c r="C12" s="7" t="s">
        <v>40</v>
      </c>
      <c r="D12" s="7">
        <v>10</v>
      </c>
      <c r="E12" s="7">
        <v>0.22500000000000001</v>
      </c>
      <c r="F12" s="7">
        <v>9.9</v>
      </c>
      <c r="G12" s="52">
        <f>PRODUCT(D12:F12)</f>
        <v>22.275000000000002</v>
      </c>
      <c r="H12" s="7"/>
      <c r="I12" s="2"/>
      <c r="K12" s="53"/>
    </row>
    <row r="13" spans="1:11" x14ac:dyDescent="0.25">
      <c r="A13" s="8">
        <v>1.2</v>
      </c>
      <c r="B13" s="7" t="s">
        <v>94</v>
      </c>
      <c r="C13" s="7" t="s">
        <v>40</v>
      </c>
      <c r="D13" s="7">
        <v>21</v>
      </c>
      <c r="E13" s="7">
        <v>0.15</v>
      </c>
      <c r="F13" s="7">
        <v>8.85</v>
      </c>
      <c r="G13" s="52">
        <f>PRODUCT(D13:F13)</f>
        <v>27.877499999999998</v>
      </c>
      <c r="H13" s="7"/>
      <c r="I13" s="54">
        <f>G13</f>
        <v>27.877499999999998</v>
      </c>
      <c r="K13" s="53"/>
    </row>
    <row r="14" spans="1:11" x14ac:dyDescent="0.25">
      <c r="A14" s="8">
        <v>1.3</v>
      </c>
      <c r="B14" s="7" t="s">
        <v>94</v>
      </c>
      <c r="C14" s="7" t="s">
        <v>40</v>
      </c>
      <c r="D14" s="7">
        <v>11</v>
      </c>
      <c r="E14" s="7">
        <v>0.22500000000000001</v>
      </c>
      <c r="F14" s="69">
        <v>18.425000000000001</v>
      </c>
      <c r="G14" s="52">
        <f>PRODUCT(D14:F14)</f>
        <v>45.601875000000007</v>
      </c>
      <c r="H14" s="52">
        <f>SUM(G12:G14)</f>
        <v>95.75437500000001</v>
      </c>
      <c r="I14" s="68">
        <f>G12+G14</f>
        <v>67.876875000000013</v>
      </c>
    </row>
    <row r="15" spans="1:11" x14ac:dyDescent="0.25">
      <c r="A15" s="5">
        <v>3</v>
      </c>
      <c r="B15" s="6" t="s">
        <v>108</v>
      </c>
      <c r="C15" s="7"/>
      <c r="D15" s="7"/>
      <c r="E15" s="7"/>
      <c r="F15" s="7"/>
      <c r="G15" s="7"/>
      <c r="H15" s="7"/>
      <c r="I15" s="2"/>
    </row>
    <row r="16" spans="1:11" x14ac:dyDescent="0.25">
      <c r="A16" s="8">
        <v>1.1000000000000001</v>
      </c>
      <c r="B16" s="7" t="s">
        <v>98</v>
      </c>
      <c r="C16" s="7" t="s">
        <v>40</v>
      </c>
      <c r="D16" s="7">
        <v>12</v>
      </c>
      <c r="E16" s="7">
        <v>0.22500000000000001</v>
      </c>
      <c r="F16" s="59">
        <v>31.625</v>
      </c>
      <c r="G16" s="52">
        <f t="shared" ref="G16:G21" si="0">PRODUCT(D16:F16)</f>
        <v>85.387500000000003</v>
      </c>
      <c r="H16" s="7"/>
      <c r="I16" s="2"/>
    </row>
    <row r="17" spans="1:9" x14ac:dyDescent="0.25">
      <c r="A17" s="8">
        <v>1.2</v>
      </c>
      <c r="B17" s="7" t="s">
        <v>98</v>
      </c>
      <c r="C17" s="7" t="s">
        <v>40</v>
      </c>
      <c r="D17" s="7">
        <v>11</v>
      </c>
      <c r="E17" s="7">
        <v>0.22500000000000001</v>
      </c>
      <c r="F17" s="7">
        <v>16.5</v>
      </c>
      <c r="G17" s="52">
        <f t="shared" si="0"/>
        <v>40.837499999999999</v>
      </c>
      <c r="H17" s="7"/>
      <c r="I17" s="2"/>
    </row>
    <row r="18" spans="1:9" x14ac:dyDescent="0.25">
      <c r="A18" s="8">
        <v>1.3</v>
      </c>
      <c r="B18" s="7" t="s">
        <v>98</v>
      </c>
      <c r="C18" s="7" t="s">
        <v>40</v>
      </c>
      <c r="D18" s="59">
        <v>6</v>
      </c>
      <c r="E18" s="7">
        <v>0.22500000000000001</v>
      </c>
      <c r="F18" s="59">
        <v>3.5</v>
      </c>
      <c r="G18" s="52">
        <f t="shared" si="0"/>
        <v>4.7250000000000005</v>
      </c>
      <c r="H18" s="7"/>
      <c r="I18" s="2"/>
    </row>
    <row r="19" spans="1:9" x14ac:dyDescent="0.25">
      <c r="A19" s="8">
        <v>1.4</v>
      </c>
      <c r="B19" s="7" t="s">
        <v>98</v>
      </c>
      <c r="C19" s="7" t="s">
        <v>40</v>
      </c>
      <c r="D19" s="7">
        <v>11</v>
      </c>
      <c r="E19" s="7">
        <v>0.22500000000000001</v>
      </c>
      <c r="F19" s="59">
        <v>18.425000000000001</v>
      </c>
      <c r="G19" s="52">
        <f t="shared" si="0"/>
        <v>45.601875000000007</v>
      </c>
      <c r="H19" s="7"/>
      <c r="I19" s="68">
        <f>SUM(G16:G19)</f>
        <v>176.551875</v>
      </c>
    </row>
    <row r="20" spans="1:9" x14ac:dyDescent="0.25">
      <c r="A20" s="8">
        <v>1.5</v>
      </c>
      <c r="B20" s="7" t="s">
        <v>98</v>
      </c>
      <c r="C20" s="7" t="s">
        <v>40</v>
      </c>
      <c r="D20" s="7">
        <v>22</v>
      </c>
      <c r="E20" s="7">
        <v>0.15</v>
      </c>
      <c r="F20" s="59">
        <v>15.125</v>
      </c>
      <c r="G20" s="52">
        <f t="shared" si="0"/>
        <v>49.912499999999994</v>
      </c>
      <c r="H20" s="7"/>
      <c r="I20" s="54">
        <f>SUM(G20:G21)</f>
        <v>55.357499999999995</v>
      </c>
    </row>
    <row r="21" spans="1:9" x14ac:dyDescent="0.25">
      <c r="A21" s="8">
        <v>1.6</v>
      </c>
      <c r="B21" s="7" t="s">
        <v>98</v>
      </c>
      <c r="C21" s="7" t="s">
        <v>40</v>
      </c>
      <c r="D21" s="7">
        <v>11</v>
      </c>
      <c r="E21" s="7">
        <v>0.15</v>
      </c>
      <c r="F21" s="7">
        <v>3.3</v>
      </c>
      <c r="G21" s="52">
        <f t="shared" si="0"/>
        <v>5.4449999999999994</v>
      </c>
      <c r="H21" s="52">
        <f>SUM(G16:G21)</f>
        <v>231.90937499999998</v>
      </c>
      <c r="I21" s="54"/>
    </row>
    <row r="22" spans="1:9" x14ac:dyDescent="0.25">
      <c r="A22" s="5">
        <v>4</v>
      </c>
      <c r="B22" s="6" t="s">
        <v>107</v>
      </c>
      <c r="C22" s="7"/>
      <c r="D22" s="7"/>
      <c r="E22" s="7"/>
      <c r="F22" s="7"/>
      <c r="G22" s="7"/>
      <c r="H22" s="7"/>
      <c r="I22" s="2"/>
    </row>
    <row r="23" spans="1:9" x14ac:dyDescent="0.25">
      <c r="A23" s="8">
        <v>1.1000000000000001</v>
      </c>
      <c r="B23" s="7" t="s">
        <v>96</v>
      </c>
      <c r="C23" s="7" t="s">
        <v>40</v>
      </c>
      <c r="D23" s="7">
        <v>18</v>
      </c>
      <c r="E23" s="7">
        <v>0.15</v>
      </c>
      <c r="F23" s="59">
        <v>19.2</v>
      </c>
      <c r="G23" s="52">
        <f>PRODUCT(D23:F23)</f>
        <v>51.839999999999996</v>
      </c>
      <c r="H23" s="7"/>
      <c r="I23" s="2"/>
    </row>
    <row r="24" spans="1:9" x14ac:dyDescent="0.25">
      <c r="A24" s="8">
        <v>1.2</v>
      </c>
      <c r="B24" s="7" t="s">
        <v>96</v>
      </c>
      <c r="C24" s="7" t="s">
        <v>40</v>
      </c>
      <c r="D24" s="7">
        <v>10</v>
      </c>
      <c r="E24" s="7">
        <v>0.15</v>
      </c>
      <c r="F24" s="59">
        <v>31.625</v>
      </c>
      <c r="G24" s="52">
        <f>PRODUCT(D24:F24)</f>
        <v>47.4375</v>
      </c>
      <c r="H24" s="52">
        <f>SUM(G23:G24)</f>
        <v>99.277500000000003</v>
      </c>
      <c r="I24" s="54">
        <f>SUM(G23:G24)</f>
        <v>99.277500000000003</v>
      </c>
    </row>
    <row r="25" spans="1:9" x14ac:dyDescent="0.25">
      <c r="A25" s="5">
        <v>5</v>
      </c>
      <c r="B25" s="6" t="s">
        <v>106</v>
      </c>
      <c r="C25" s="7"/>
      <c r="D25" s="7"/>
      <c r="E25" s="7"/>
      <c r="F25" s="7"/>
      <c r="G25" s="7"/>
      <c r="H25" s="7"/>
      <c r="I25" s="2"/>
    </row>
    <row r="26" spans="1:9" x14ac:dyDescent="0.25">
      <c r="A26" s="8">
        <v>1.1000000000000001</v>
      </c>
      <c r="B26" s="7" t="s">
        <v>105</v>
      </c>
      <c r="C26" s="7" t="s">
        <v>40</v>
      </c>
      <c r="D26" s="7">
        <v>19</v>
      </c>
      <c r="E26" s="7">
        <v>0.15</v>
      </c>
      <c r="F26" s="59">
        <v>18.425000000000001</v>
      </c>
      <c r="G26" s="52">
        <f>PRODUCT(D26:F26)</f>
        <v>52.511250000000004</v>
      </c>
      <c r="H26" s="54"/>
      <c r="I26" s="54">
        <f>G26</f>
        <v>52.511250000000004</v>
      </c>
    </row>
    <row r="27" spans="1:9" x14ac:dyDescent="0.25">
      <c r="A27" s="5">
        <v>6</v>
      </c>
      <c r="B27" s="6" t="s">
        <v>104</v>
      </c>
      <c r="C27" s="7" t="s">
        <v>40</v>
      </c>
      <c r="D27" s="7">
        <v>2</v>
      </c>
      <c r="E27" s="7">
        <v>0.22500000000000001</v>
      </c>
      <c r="F27" s="59">
        <v>31.625</v>
      </c>
      <c r="G27" s="52">
        <f>PRODUCT(D27:F27)</f>
        <v>14.231250000000001</v>
      </c>
      <c r="H27" s="9"/>
      <c r="I27" s="2"/>
    </row>
    <row r="28" spans="1:9" x14ac:dyDescent="0.25">
      <c r="A28" s="8"/>
      <c r="B28" s="7"/>
      <c r="C28" s="7"/>
      <c r="D28" s="7">
        <v>3</v>
      </c>
      <c r="E28" s="7">
        <v>0.22500000000000001</v>
      </c>
      <c r="F28" s="59">
        <v>18.425000000000001</v>
      </c>
      <c r="G28" s="52">
        <f>PRODUCT(D28:F28)</f>
        <v>12.436875000000001</v>
      </c>
      <c r="H28" s="56">
        <f>SUM(G26:G28)</f>
        <v>79.179375000000007</v>
      </c>
      <c r="I28" s="68">
        <f>SUM(G27:G28)</f>
        <v>26.668125000000003</v>
      </c>
    </row>
    <row r="29" spans="1:9" x14ac:dyDescent="0.25">
      <c r="A29" s="8"/>
      <c r="B29" s="7"/>
      <c r="C29" s="7"/>
      <c r="D29" s="6" t="s">
        <v>67</v>
      </c>
      <c r="E29" s="7"/>
      <c r="F29" s="7"/>
      <c r="G29" s="52"/>
      <c r="H29" s="67">
        <f>(H10+H14+H21+H24+H28)</f>
        <v>742.05000000000007</v>
      </c>
      <c r="I29" s="2"/>
    </row>
    <row r="30" spans="1:9" x14ac:dyDescent="0.25">
      <c r="A30" s="8"/>
      <c r="B30" s="6" t="s">
        <v>66</v>
      </c>
      <c r="C30" s="6" t="s">
        <v>40</v>
      </c>
      <c r="D30" s="6">
        <v>4</v>
      </c>
      <c r="E30" s="7"/>
      <c r="F30" s="7"/>
      <c r="G30" s="7"/>
      <c r="H30" s="9">
        <f>H29*D30</f>
        <v>2968.2000000000003</v>
      </c>
      <c r="I30" s="2"/>
    </row>
    <row r="31" spans="1:9" x14ac:dyDescent="0.25">
      <c r="A31" s="8"/>
      <c r="B31" s="6" t="s">
        <v>39</v>
      </c>
      <c r="C31" s="6" t="s">
        <v>4</v>
      </c>
      <c r="D31" s="7"/>
      <c r="E31" s="7"/>
      <c r="F31" s="7"/>
      <c r="G31" s="7"/>
      <c r="H31" s="9">
        <f>H30*10.76</f>
        <v>31937.832000000002</v>
      </c>
      <c r="I31" s="2"/>
    </row>
    <row r="32" spans="1:9" x14ac:dyDescent="0.25">
      <c r="A32" s="32"/>
      <c r="B32" s="18" t="s">
        <v>132</v>
      </c>
      <c r="C32" s="18"/>
      <c r="D32" s="4"/>
      <c r="E32" s="4"/>
      <c r="F32" s="4"/>
      <c r="G32" s="4"/>
      <c r="H32" s="83">
        <f>(((G7+G8+G9+G12+G14+G16+G17+G18+G19+G27+G28)*4)*10.76)</f>
        <v>19771.822799999998</v>
      </c>
      <c r="I32" s="2"/>
    </row>
    <row r="33" spans="1:286" x14ac:dyDescent="0.25">
      <c r="A33" s="32"/>
      <c r="B33" s="18" t="s">
        <v>133</v>
      </c>
      <c r="C33" s="18"/>
      <c r="D33" s="4"/>
      <c r="E33" s="4"/>
      <c r="F33" s="4"/>
      <c r="G33" s="4"/>
      <c r="H33" s="83">
        <f>(((G10+G13+G20+G21+G23+G24+G26)*4)*10.76)</f>
        <v>12166.0092</v>
      </c>
      <c r="I33" s="2"/>
    </row>
    <row r="34" spans="1:286" s="63" customFormat="1" ht="18.75" x14ac:dyDescent="0.3">
      <c r="A34" s="60">
        <v>2</v>
      </c>
      <c r="B34" s="78" t="s">
        <v>92</v>
      </c>
      <c r="C34" s="60"/>
      <c r="D34" s="60"/>
      <c r="E34" s="60"/>
      <c r="F34" s="60"/>
      <c r="G34" s="60"/>
      <c r="H34" s="60"/>
      <c r="I34" s="2"/>
      <c r="J34"/>
      <c r="K34" s="65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</row>
    <row r="35" spans="1:286" ht="15.75" x14ac:dyDescent="0.25">
      <c r="A35" s="58">
        <v>1</v>
      </c>
      <c r="B35" s="6" t="s">
        <v>91</v>
      </c>
      <c r="C35" s="7"/>
      <c r="D35" s="7"/>
      <c r="E35" s="7"/>
      <c r="F35" s="7"/>
      <c r="G35" s="7"/>
      <c r="H35" s="7"/>
      <c r="I35" s="2"/>
    </row>
    <row r="36" spans="1:286" x14ac:dyDescent="0.25">
      <c r="A36" s="8">
        <v>1.1000000000000001</v>
      </c>
      <c r="B36" s="7" t="s">
        <v>90</v>
      </c>
      <c r="C36" s="7" t="s">
        <v>40</v>
      </c>
      <c r="D36" s="59">
        <v>6</v>
      </c>
      <c r="E36" s="7">
        <v>0.22500000000000001</v>
      </c>
      <c r="F36" s="7">
        <v>6.6</v>
      </c>
      <c r="G36" s="52">
        <f>PRODUCT(D36:F36)</f>
        <v>8.91</v>
      </c>
      <c r="H36" s="7"/>
      <c r="I36" s="2"/>
    </row>
    <row r="37" spans="1:286" x14ac:dyDescent="0.25">
      <c r="A37" s="8">
        <v>1.2</v>
      </c>
      <c r="B37" s="7" t="s">
        <v>90</v>
      </c>
      <c r="C37" s="7" t="s">
        <v>40</v>
      </c>
      <c r="D37" s="7">
        <v>21</v>
      </c>
      <c r="E37" s="7">
        <v>0.22500000000000001</v>
      </c>
      <c r="F37" s="7">
        <v>0.6</v>
      </c>
      <c r="G37" s="52">
        <f>PRODUCT(D37:F37)</f>
        <v>2.8350000000000004</v>
      </c>
      <c r="H37" s="52">
        <f>SUM(G36:G37)</f>
        <v>11.745000000000001</v>
      </c>
      <c r="I37" s="2"/>
    </row>
    <row r="38" spans="1:286" ht="15.75" x14ac:dyDescent="0.25">
      <c r="A38" s="58">
        <v>2</v>
      </c>
      <c r="B38" s="6" t="s">
        <v>89</v>
      </c>
      <c r="C38" s="7"/>
      <c r="D38" s="7"/>
      <c r="E38" s="7"/>
      <c r="F38" s="7"/>
      <c r="G38" s="7"/>
      <c r="H38" s="7"/>
      <c r="I38" s="2"/>
    </row>
    <row r="39" spans="1:286" x14ac:dyDescent="0.25">
      <c r="A39" s="8">
        <v>1.1000000000000001</v>
      </c>
      <c r="B39" s="7" t="s">
        <v>84</v>
      </c>
      <c r="C39" s="7" t="s">
        <v>40</v>
      </c>
      <c r="D39" s="7">
        <v>40</v>
      </c>
      <c r="E39" s="7">
        <v>0.22500000000000001</v>
      </c>
      <c r="F39" s="7">
        <v>6.6</v>
      </c>
      <c r="G39" s="52">
        <f>PRODUCT(D39:F39)</f>
        <v>59.4</v>
      </c>
      <c r="H39" s="7"/>
      <c r="I39" s="2"/>
    </row>
    <row r="40" spans="1:286" x14ac:dyDescent="0.25">
      <c r="A40" s="8">
        <v>1.2</v>
      </c>
      <c r="B40" s="7" t="s">
        <v>84</v>
      </c>
      <c r="C40" s="7" t="s">
        <v>40</v>
      </c>
      <c r="D40" s="59">
        <v>31</v>
      </c>
      <c r="E40" s="7">
        <v>0.22500000000000001</v>
      </c>
      <c r="F40" s="7">
        <v>0.6</v>
      </c>
      <c r="G40" s="52">
        <f>PRODUCT(D40:F40)</f>
        <v>4.1850000000000005</v>
      </c>
      <c r="H40" s="7"/>
      <c r="I40" s="2"/>
    </row>
    <row r="41" spans="1:286" x14ac:dyDescent="0.25">
      <c r="A41" s="8">
        <v>1.3</v>
      </c>
      <c r="B41" s="7" t="s">
        <v>84</v>
      </c>
      <c r="C41" s="7" t="s">
        <v>40</v>
      </c>
      <c r="D41" s="7">
        <v>17</v>
      </c>
      <c r="E41" s="7">
        <v>0.22500000000000001</v>
      </c>
      <c r="F41" s="7">
        <v>3.0760000000000001</v>
      </c>
      <c r="G41" s="52">
        <f>PRODUCT(D41:F41)</f>
        <v>11.765700000000001</v>
      </c>
      <c r="H41" s="52">
        <f>SUM(G39:G41)</f>
        <v>75.350700000000003</v>
      </c>
      <c r="I41" s="2"/>
    </row>
    <row r="42" spans="1:286" ht="15.75" x14ac:dyDescent="0.25">
      <c r="A42" s="58">
        <v>3</v>
      </c>
      <c r="B42" s="6" t="s">
        <v>88</v>
      </c>
      <c r="C42" s="7"/>
      <c r="D42" s="7"/>
      <c r="E42" s="7"/>
      <c r="F42" s="7"/>
      <c r="G42" s="7"/>
      <c r="H42" s="7"/>
      <c r="I42" s="2"/>
    </row>
    <row r="43" spans="1:286" x14ac:dyDescent="0.25">
      <c r="A43" s="8">
        <v>1.1000000000000001</v>
      </c>
      <c r="B43" s="7" t="s">
        <v>87</v>
      </c>
      <c r="C43" s="7" t="s">
        <v>40</v>
      </c>
      <c r="D43" s="7">
        <v>74</v>
      </c>
      <c r="E43" s="7">
        <v>0.22500000000000001</v>
      </c>
      <c r="F43" s="7">
        <v>6.6</v>
      </c>
      <c r="G43" s="52">
        <f>PRODUCT(D43:F43)</f>
        <v>109.89000000000001</v>
      </c>
      <c r="H43" s="7"/>
      <c r="I43" s="2"/>
    </row>
    <row r="44" spans="1:286" x14ac:dyDescent="0.25">
      <c r="A44" s="8">
        <v>1.2</v>
      </c>
      <c r="B44" s="7" t="s">
        <v>87</v>
      </c>
      <c r="C44" s="7" t="s">
        <v>40</v>
      </c>
      <c r="D44" s="7">
        <v>27</v>
      </c>
      <c r="E44" s="7">
        <v>0.22500000000000001</v>
      </c>
      <c r="F44" s="7">
        <v>0.6</v>
      </c>
      <c r="G44" s="52">
        <f>PRODUCT(D44:F44)</f>
        <v>3.645</v>
      </c>
      <c r="H44" s="56">
        <f>SUM(G43:G44)</f>
        <v>113.53500000000001</v>
      </c>
      <c r="I44" s="2"/>
    </row>
    <row r="45" spans="1:286" x14ac:dyDescent="0.25">
      <c r="A45" s="8"/>
      <c r="B45" s="7"/>
      <c r="C45" s="7"/>
      <c r="D45" s="6" t="s">
        <v>70</v>
      </c>
      <c r="E45" s="7"/>
      <c r="F45" s="7"/>
      <c r="G45" s="52"/>
      <c r="H45" s="9">
        <f>H37+H41+H44</f>
        <v>200.63070000000002</v>
      </c>
      <c r="I45" s="2"/>
    </row>
    <row r="46" spans="1:286" x14ac:dyDescent="0.25">
      <c r="A46" s="8"/>
      <c r="B46" s="6" t="s">
        <v>41</v>
      </c>
      <c r="C46" s="6" t="s">
        <v>40</v>
      </c>
      <c r="D46" s="7">
        <v>2</v>
      </c>
      <c r="E46" s="7"/>
      <c r="F46" s="7"/>
      <c r="G46" s="7"/>
      <c r="H46" s="9">
        <f>H45*D46</f>
        <v>401.26140000000004</v>
      </c>
      <c r="I46" s="2"/>
    </row>
    <row r="47" spans="1:286" x14ac:dyDescent="0.25">
      <c r="A47" s="8"/>
      <c r="B47" s="6" t="s">
        <v>39</v>
      </c>
      <c r="C47" s="6" t="s">
        <v>4</v>
      </c>
      <c r="D47" s="7"/>
      <c r="E47" s="7"/>
      <c r="F47" s="7"/>
      <c r="G47" s="7"/>
      <c r="H47" s="9">
        <f>H46*10.76</f>
        <v>4317.5726640000003</v>
      </c>
      <c r="I47" s="2"/>
      <c r="K47" s="53"/>
    </row>
    <row r="48" spans="1:286" x14ac:dyDescent="0.25">
      <c r="A48" s="32"/>
      <c r="B48" s="120" t="s">
        <v>142</v>
      </c>
      <c r="C48" s="121" t="s">
        <v>4</v>
      </c>
      <c r="D48" s="59">
        <f>64*4</f>
        <v>256</v>
      </c>
      <c r="E48" s="61">
        <f>(0.225*0.25)*10.76</f>
        <v>0.60524999999999995</v>
      </c>
      <c r="F48" s="59"/>
      <c r="G48" s="59"/>
      <c r="H48" s="122">
        <f>PRODUCT(D48:G48)</f>
        <v>154.94399999999999</v>
      </c>
      <c r="I48" s="2"/>
      <c r="K48" s="53"/>
    </row>
    <row r="49" spans="1:11" x14ac:dyDescent="0.25">
      <c r="A49" s="32"/>
      <c r="B49" s="120" t="s">
        <v>143</v>
      </c>
      <c r="C49" s="121" t="s">
        <v>4</v>
      </c>
      <c r="D49" s="59">
        <f>121*4</f>
        <v>484</v>
      </c>
      <c r="E49" s="61">
        <f>(0.15*0.25)*10.76</f>
        <v>0.40349999999999997</v>
      </c>
      <c r="F49" s="59"/>
      <c r="G49" s="59"/>
      <c r="H49" s="122">
        <f>PRODUCT(D49:G49)</f>
        <v>195.29399999999998</v>
      </c>
      <c r="I49" s="2"/>
      <c r="K49" s="53"/>
    </row>
    <row r="50" spans="1:11" x14ac:dyDescent="0.25">
      <c r="A50" s="32"/>
      <c r="B50" s="18" t="s">
        <v>130</v>
      </c>
      <c r="C50" s="6" t="s">
        <v>4</v>
      </c>
      <c r="D50" s="7"/>
      <c r="E50" s="7"/>
      <c r="F50" s="7"/>
      <c r="G50" s="7"/>
      <c r="H50" s="122">
        <f>H47+H32+H48</f>
        <v>24244.339463999997</v>
      </c>
      <c r="I50" s="2"/>
    </row>
    <row r="51" spans="1:11" x14ac:dyDescent="0.25">
      <c r="A51" s="32"/>
      <c r="B51" s="18" t="s">
        <v>131</v>
      </c>
      <c r="C51" s="6" t="s">
        <v>4</v>
      </c>
      <c r="D51" s="7"/>
      <c r="E51" s="7"/>
      <c r="F51" s="7"/>
      <c r="G51" s="7"/>
      <c r="H51" s="122">
        <f>H33+H49</f>
        <v>12361.3032</v>
      </c>
      <c r="I51" s="2"/>
    </row>
    <row r="52" spans="1:11" ht="18.75" x14ac:dyDescent="0.25">
      <c r="A52" s="60">
        <v>3</v>
      </c>
      <c r="B52" s="78" t="s">
        <v>103</v>
      </c>
      <c r="C52" s="7"/>
      <c r="D52" s="7"/>
      <c r="E52" s="7"/>
      <c r="F52" s="7"/>
      <c r="G52" s="7"/>
      <c r="H52" s="7"/>
      <c r="I52" s="2"/>
    </row>
    <row r="53" spans="1:11" x14ac:dyDescent="0.25">
      <c r="A53" s="5">
        <v>1</v>
      </c>
      <c r="B53" s="6" t="s">
        <v>102</v>
      </c>
      <c r="C53" s="7"/>
      <c r="D53" s="7"/>
      <c r="E53" s="7"/>
      <c r="F53" s="7"/>
      <c r="G53" s="7"/>
      <c r="H53" s="7"/>
      <c r="I53" s="2"/>
    </row>
    <row r="54" spans="1:11" x14ac:dyDescent="0.25">
      <c r="A54" s="8">
        <v>1.1000000000000001</v>
      </c>
      <c r="B54" s="7" t="s">
        <v>101</v>
      </c>
      <c r="C54" s="7" t="s">
        <v>40</v>
      </c>
      <c r="D54" s="7">
        <v>1</v>
      </c>
      <c r="E54" s="7">
        <v>12.15</v>
      </c>
      <c r="F54" s="59">
        <v>18.425000000000001</v>
      </c>
      <c r="G54" s="52">
        <f>PRODUCT(D54:F54)</f>
        <v>223.86375000000001</v>
      </c>
      <c r="H54" s="7"/>
      <c r="I54" s="2"/>
      <c r="J54" t="s">
        <v>141</v>
      </c>
    </row>
    <row r="55" spans="1:11" x14ac:dyDescent="0.25">
      <c r="A55" s="8">
        <v>1.2</v>
      </c>
      <c r="B55" s="7" t="s">
        <v>101</v>
      </c>
      <c r="C55" s="7" t="s">
        <v>40</v>
      </c>
      <c r="D55" s="7">
        <v>1</v>
      </c>
      <c r="E55" s="7">
        <v>31.49</v>
      </c>
      <c r="F55" s="59">
        <v>31.625</v>
      </c>
      <c r="G55" s="52">
        <f>PRODUCT(D55:F55)</f>
        <v>995.87124999999992</v>
      </c>
      <c r="H55" s="52">
        <f>SUM(G54:G55)</f>
        <v>1219.7349999999999</v>
      </c>
      <c r="I55" s="2"/>
    </row>
    <row r="56" spans="1:11" x14ac:dyDescent="0.25">
      <c r="A56" s="5">
        <v>2</v>
      </c>
      <c r="B56" s="6" t="s">
        <v>100</v>
      </c>
      <c r="C56" s="7"/>
      <c r="D56" s="7"/>
      <c r="E56" s="7"/>
      <c r="F56" s="7"/>
      <c r="G56" s="7"/>
      <c r="H56" s="7"/>
      <c r="I56" s="2"/>
    </row>
    <row r="57" spans="1:11" x14ac:dyDescent="0.25">
      <c r="A57" s="8">
        <v>1.1000000000000001</v>
      </c>
      <c r="B57" s="7" t="s">
        <v>94</v>
      </c>
      <c r="C57" s="7" t="s">
        <v>40</v>
      </c>
      <c r="D57" s="7">
        <v>1</v>
      </c>
      <c r="E57" s="7">
        <v>26.24</v>
      </c>
      <c r="F57" s="59">
        <v>18.425000000000001</v>
      </c>
      <c r="G57" s="52">
        <f>PRODUCT(D57:F57)</f>
        <v>483.47199999999998</v>
      </c>
      <c r="H57" s="52">
        <f>G57</f>
        <v>483.47199999999998</v>
      </c>
      <c r="I57" s="2"/>
    </row>
    <row r="58" spans="1:11" x14ac:dyDescent="0.25">
      <c r="A58" s="5">
        <v>3</v>
      </c>
      <c r="B58" s="6" t="s">
        <v>99</v>
      </c>
      <c r="C58" s="7"/>
      <c r="D58" s="7"/>
      <c r="E58" s="7"/>
      <c r="F58" s="7"/>
      <c r="G58" s="7"/>
      <c r="H58" s="7"/>
      <c r="I58" s="2"/>
    </row>
    <row r="59" spans="1:11" x14ac:dyDescent="0.25">
      <c r="A59" s="8">
        <v>1.1000000000000001</v>
      </c>
      <c r="B59" s="7" t="s">
        <v>98</v>
      </c>
      <c r="C59" s="7" t="s">
        <v>40</v>
      </c>
      <c r="D59" s="7">
        <v>1</v>
      </c>
      <c r="E59" s="7">
        <v>28.8</v>
      </c>
      <c r="F59" s="59">
        <v>31.625</v>
      </c>
      <c r="G59" s="52">
        <f>PRODUCT(D59:F59)</f>
        <v>910.80000000000007</v>
      </c>
      <c r="H59" s="7"/>
      <c r="I59" s="2"/>
    </row>
    <row r="60" spans="1:11" x14ac:dyDescent="0.25">
      <c r="A60" s="8">
        <v>1.2</v>
      </c>
      <c r="B60" s="7" t="s">
        <v>98</v>
      </c>
      <c r="C60" s="7" t="s">
        <v>40</v>
      </c>
      <c r="D60" s="7">
        <v>1</v>
      </c>
      <c r="E60" s="7">
        <v>1</v>
      </c>
      <c r="F60" s="59">
        <v>18.425000000000001</v>
      </c>
      <c r="G60" s="52">
        <f>PRODUCT(D60:F60)</f>
        <v>18.425000000000001</v>
      </c>
      <c r="H60" s="7"/>
      <c r="I60" s="2"/>
    </row>
    <row r="61" spans="1:11" x14ac:dyDescent="0.25">
      <c r="A61" s="8">
        <v>1.3</v>
      </c>
      <c r="B61" s="7" t="s">
        <v>98</v>
      </c>
      <c r="C61" s="7" t="s">
        <v>40</v>
      </c>
      <c r="D61" s="7">
        <v>1</v>
      </c>
      <c r="E61" s="7">
        <v>13.15</v>
      </c>
      <c r="F61" s="59">
        <v>18.425000000000001</v>
      </c>
      <c r="G61" s="52">
        <f>PRODUCT(D61:F61)</f>
        <v>242.28875000000002</v>
      </c>
      <c r="H61" s="7"/>
      <c r="I61" s="2"/>
    </row>
    <row r="62" spans="1:11" x14ac:dyDescent="0.25">
      <c r="A62" s="8">
        <v>1.4</v>
      </c>
      <c r="B62" s="7" t="s">
        <v>98</v>
      </c>
      <c r="C62" s="7" t="s">
        <v>40</v>
      </c>
      <c r="D62" s="7">
        <v>1</v>
      </c>
      <c r="E62" s="7">
        <v>7.92</v>
      </c>
      <c r="F62" s="7">
        <v>3.3</v>
      </c>
      <c r="G62" s="52">
        <f>PRODUCT(D62:F62)</f>
        <v>26.135999999999999</v>
      </c>
      <c r="H62" s="52">
        <f>SUM(G59:G62)</f>
        <v>1197.64975</v>
      </c>
      <c r="I62" s="2"/>
    </row>
    <row r="63" spans="1:11" x14ac:dyDescent="0.25">
      <c r="A63" s="5">
        <v>4</v>
      </c>
      <c r="B63" s="6" t="s">
        <v>97</v>
      </c>
      <c r="C63" s="7"/>
      <c r="D63" s="7"/>
      <c r="E63" s="7"/>
      <c r="F63" s="7"/>
      <c r="G63" s="7"/>
      <c r="H63" s="7"/>
      <c r="I63" s="2"/>
    </row>
    <row r="64" spans="1:11" x14ac:dyDescent="0.25">
      <c r="A64" s="8">
        <v>1.1000000000000001</v>
      </c>
      <c r="B64" s="7" t="s">
        <v>96</v>
      </c>
      <c r="C64" s="7" t="s">
        <v>40</v>
      </c>
      <c r="D64" s="7">
        <v>1</v>
      </c>
      <c r="E64" s="7">
        <v>12</v>
      </c>
      <c r="F64" s="59">
        <v>19.2</v>
      </c>
      <c r="G64" s="52">
        <f>PRODUCT(D64:F64)</f>
        <v>230.39999999999998</v>
      </c>
      <c r="H64" s="7"/>
      <c r="I64" s="2"/>
    </row>
    <row r="65" spans="1:12" x14ac:dyDescent="0.25">
      <c r="A65" s="8">
        <v>1.2</v>
      </c>
      <c r="B65" s="7" t="s">
        <v>96</v>
      </c>
      <c r="C65" s="7" t="s">
        <v>40</v>
      </c>
      <c r="D65" s="7">
        <v>1</v>
      </c>
      <c r="E65" s="7">
        <v>5.95</v>
      </c>
      <c r="F65" s="59">
        <v>31.625</v>
      </c>
      <c r="G65" s="52">
        <f>PRODUCT(D65:F65)</f>
        <v>188.16875000000002</v>
      </c>
      <c r="H65" s="52">
        <f>SUM(G64:G65)</f>
        <v>418.56875000000002</v>
      </c>
      <c r="I65" s="2"/>
      <c r="K65" s="65"/>
      <c r="L65" s="64"/>
    </row>
    <row r="66" spans="1:12" x14ac:dyDescent="0.25">
      <c r="A66" s="5">
        <v>5</v>
      </c>
      <c r="B66" s="6" t="s">
        <v>95</v>
      </c>
      <c r="C66" s="7"/>
      <c r="D66" s="7"/>
      <c r="E66" s="7"/>
      <c r="F66" s="7"/>
      <c r="G66" s="7"/>
      <c r="H66" s="7"/>
      <c r="I66" s="2"/>
      <c r="L66" s="66"/>
    </row>
    <row r="67" spans="1:12" x14ac:dyDescent="0.25">
      <c r="A67" s="8">
        <v>1.1000000000000001</v>
      </c>
      <c r="B67" s="7" t="s">
        <v>94</v>
      </c>
      <c r="C67" s="7" t="s">
        <v>40</v>
      </c>
      <c r="D67" s="7">
        <v>1</v>
      </c>
      <c r="E67" s="7">
        <v>12.654999999999999</v>
      </c>
      <c r="F67" s="59">
        <v>18.425000000000001</v>
      </c>
      <c r="G67" s="52">
        <f>PRODUCT(D67:F67)</f>
        <v>233.168375</v>
      </c>
      <c r="H67" s="56">
        <f>G67</f>
        <v>233.168375</v>
      </c>
      <c r="I67" s="2"/>
      <c r="L67" s="64"/>
    </row>
    <row r="68" spans="1:12" x14ac:dyDescent="0.25">
      <c r="A68" s="8"/>
      <c r="B68" s="7" t="s">
        <v>139</v>
      </c>
      <c r="C68" s="7" t="s">
        <v>40</v>
      </c>
      <c r="D68" s="7">
        <v>1</v>
      </c>
      <c r="E68" s="7">
        <v>152.30000000000001</v>
      </c>
      <c r="F68" s="59">
        <v>0.25</v>
      </c>
      <c r="G68" s="52">
        <f>PRODUCT(D68:F68)</f>
        <v>38.075000000000003</v>
      </c>
      <c r="H68" s="56">
        <f>G68</f>
        <v>38.075000000000003</v>
      </c>
      <c r="I68" s="119" t="s">
        <v>140</v>
      </c>
      <c r="L68" s="64"/>
    </row>
    <row r="69" spans="1:12" x14ac:dyDescent="0.25">
      <c r="A69" s="8"/>
      <c r="B69" s="7"/>
      <c r="C69" s="7"/>
      <c r="D69" s="6" t="s">
        <v>67</v>
      </c>
      <c r="E69" s="7"/>
      <c r="F69" s="7"/>
      <c r="G69" s="52"/>
      <c r="H69" s="9">
        <f>H55+H57+H62+H65+H67+H68</f>
        <v>3590.6688749999998</v>
      </c>
      <c r="I69" s="2"/>
      <c r="K69" s="65"/>
      <c r="L69" s="64"/>
    </row>
    <row r="70" spans="1:12" x14ac:dyDescent="0.25">
      <c r="A70" s="8"/>
      <c r="B70" s="6" t="s">
        <v>93</v>
      </c>
      <c r="C70" s="6" t="s">
        <v>40</v>
      </c>
      <c r="D70" s="7">
        <v>4</v>
      </c>
      <c r="E70" s="7"/>
      <c r="F70" s="7"/>
      <c r="G70" s="7"/>
      <c r="H70" s="55">
        <f>H69*D70</f>
        <v>14362.675499999999</v>
      </c>
      <c r="I70" s="2"/>
      <c r="L70" s="64"/>
    </row>
    <row r="71" spans="1:12" x14ac:dyDescent="0.25">
      <c r="A71" s="8"/>
      <c r="B71" s="6" t="s">
        <v>39</v>
      </c>
      <c r="C71" s="6" t="s">
        <v>4</v>
      </c>
      <c r="D71" s="7"/>
      <c r="E71" s="7"/>
      <c r="F71" s="7"/>
      <c r="G71" s="7"/>
      <c r="H71" s="9">
        <f>H70*10.76</f>
        <v>154542.38837999999</v>
      </c>
      <c r="I71" s="2"/>
    </row>
    <row r="72" spans="1:12" x14ac:dyDescent="0.25">
      <c r="A72" s="8"/>
      <c r="B72" s="7"/>
      <c r="C72" s="7"/>
      <c r="D72" s="7"/>
      <c r="E72" s="7"/>
      <c r="F72" s="7"/>
      <c r="G72" s="7"/>
      <c r="H72" s="7"/>
      <c r="I72" s="2"/>
    </row>
    <row r="73" spans="1:12" x14ac:dyDescent="0.25">
      <c r="A73" s="8"/>
      <c r="B73" s="7"/>
      <c r="C73" s="7"/>
      <c r="D73" s="7"/>
      <c r="E73" s="7"/>
      <c r="F73" s="7"/>
      <c r="G73" s="7"/>
      <c r="H73" s="7"/>
      <c r="I73" s="2"/>
      <c r="K73" s="53"/>
    </row>
    <row r="74" spans="1:12" ht="18.75" x14ac:dyDescent="0.25">
      <c r="A74" s="60">
        <v>4</v>
      </c>
      <c r="B74" s="78" t="s">
        <v>86</v>
      </c>
      <c r="C74" s="7"/>
      <c r="D74" s="7"/>
      <c r="E74" s="7"/>
      <c r="F74" s="7"/>
      <c r="G74" s="7"/>
      <c r="H74" s="7"/>
      <c r="I74" s="2"/>
    </row>
    <row r="75" spans="1:12" ht="15.75" x14ac:dyDescent="0.25">
      <c r="A75" s="58">
        <v>1</v>
      </c>
      <c r="B75" s="6" t="s">
        <v>85</v>
      </c>
      <c r="C75" s="7"/>
      <c r="D75" s="7"/>
      <c r="E75" s="7"/>
      <c r="F75" s="7"/>
      <c r="G75" s="7"/>
      <c r="H75" s="7"/>
      <c r="I75" s="2"/>
    </row>
    <row r="76" spans="1:12" x14ac:dyDescent="0.25">
      <c r="A76" s="8">
        <v>1.1000000000000001</v>
      </c>
      <c r="B76" s="7" t="s">
        <v>84</v>
      </c>
      <c r="C76" s="7" t="s">
        <v>40</v>
      </c>
      <c r="D76" s="7">
        <v>1</v>
      </c>
      <c r="E76" s="59">
        <v>101.48</v>
      </c>
      <c r="F76" s="7">
        <v>6.6</v>
      </c>
      <c r="G76" s="52">
        <f>PRODUCT(D76:F76)</f>
        <v>669.76800000000003</v>
      </c>
      <c r="H76" s="7"/>
      <c r="I76" s="2"/>
    </row>
    <row r="77" spans="1:12" x14ac:dyDescent="0.25">
      <c r="A77" s="8">
        <v>1.2</v>
      </c>
      <c r="B77" s="7" t="s">
        <v>83</v>
      </c>
      <c r="C77" s="7" t="s">
        <v>40</v>
      </c>
      <c r="D77" s="7">
        <v>-1</v>
      </c>
      <c r="E77" s="7">
        <v>15.757999999999999</v>
      </c>
      <c r="F77" s="7">
        <v>6</v>
      </c>
      <c r="G77" s="52">
        <f>PRODUCT(D77:F77)</f>
        <v>-94.548000000000002</v>
      </c>
      <c r="H77" s="7"/>
      <c r="I77" s="2"/>
    </row>
    <row r="78" spans="1:12" x14ac:dyDescent="0.25">
      <c r="A78" s="8">
        <v>1.3</v>
      </c>
      <c r="B78" s="7" t="s">
        <v>82</v>
      </c>
      <c r="C78" s="7" t="s">
        <v>40</v>
      </c>
      <c r="D78" s="7">
        <v>-1</v>
      </c>
      <c r="E78" s="7">
        <v>7.2450000000000001</v>
      </c>
      <c r="F78" s="7">
        <v>6</v>
      </c>
      <c r="G78" s="52">
        <f>PRODUCT(D78:F78)</f>
        <v>-43.47</v>
      </c>
      <c r="H78" s="7"/>
      <c r="I78" s="2"/>
    </row>
    <row r="79" spans="1:12" x14ac:dyDescent="0.25">
      <c r="A79" s="8">
        <v>1.4</v>
      </c>
      <c r="B79" s="7" t="s">
        <v>81</v>
      </c>
      <c r="C79" s="7" t="s">
        <v>40</v>
      </c>
      <c r="D79" s="7">
        <v>-1</v>
      </c>
      <c r="E79" s="7">
        <v>15.89</v>
      </c>
      <c r="F79" s="7">
        <v>6</v>
      </c>
      <c r="G79" s="52">
        <f>PRODUCT(D79:F79)</f>
        <v>-95.34</v>
      </c>
      <c r="H79" s="7"/>
      <c r="I79" s="2"/>
    </row>
    <row r="80" spans="1:12" x14ac:dyDescent="0.25">
      <c r="A80" s="8">
        <v>1.5</v>
      </c>
      <c r="B80" s="7" t="s">
        <v>80</v>
      </c>
      <c r="C80" s="7" t="s">
        <v>40</v>
      </c>
      <c r="D80" s="7">
        <v>-0.5</v>
      </c>
      <c r="E80" s="7">
        <v>21.6</v>
      </c>
      <c r="F80" s="7">
        <v>6.1509999999999998</v>
      </c>
      <c r="G80" s="52">
        <f>PRODUCT(D80:F80)</f>
        <v>-66.430800000000005</v>
      </c>
      <c r="H80" s="56">
        <f>SUM(G76:G80)</f>
        <v>369.97919999999999</v>
      </c>
      <c r="I80" s="2"/>
    </row>
    <row r="81" spans="1:9" ht="15.75" x14ac:dyDescent="0.25">
      <c r="A81" s="58">
        <v>2</v>
      </c>
      <c r="B81" s="6" t="s">
        <v>79</v>
      </c>
      <c r="C81" s="7"/>
      <c r="D81" s="7"/>
      <c r="E81" s="7"/>
      <c r="F81" s="7"/>
      <c r="G81" s="52"/>
      <c r="H81" s="9"/>
      <c r="I81" s="2"/>
    </row>
    <row r="82" spans="1:9" x14ac:dyDescent="0.25">
      <c r="A82" s="8">
        <v>1.1000000000000001</v>
      </c>
      <c r="B82" s="7" t="s">
        <v>78</v>
      </c>
      <c r="C82" s="7" t="s">
        <v>40</v>
      </c>
      <c r="D82" s="7">
        <v>1</v>
      </c>
      <c r="E82" s="7">
        <v>33.365000000000002</v>
      </c>
      <c r="F82" s="7">
        <v>6.6</v>
      </c>
      <c r="G82" s="52">
        <f>PRODUCT(D82:F82)</f>
        <v>220.209</v>
      </c>
      <c r="H82" s="9"/>
      <c r="I82" s="2"/>
    </row>
    <row r="83" spans="1:9" x14ac:dyDescent="0.25">
      <c r="A83" s="8">
        <v>1.2</v>
      </c>
      <c r="B83" s="7" t="s">
        <v>77</v>
      </c>
      <c r="C83" s="7" t="s">
        <v>40</v>
      </c>
      <c r="D83" s="7">
        <v>-1</v>
      </c>
      <c r="E83" s="7">
        <v>26.95</v>
      </c>
      <c r="F83" s="7">
        <v>6</v>
      </c>
      <c r="G83" s="52">
        <f>PRODUCT(D83:F83)</f>
        <v>-161.69999999999999</v>
      </c>
      <c r="H83" s="56">
        <f>SUM(G82:G83)</f>
        <v>58.509000000000015</v>
      </c>
      <c r="I83" s="2"/>
    </row>
    <row r="84" spans="1:9" ht="15.75" x14ac:dyDescent="0.25">
      <c r="A84" s="58">
        <v>3</v>
      </c>
      <c r="B84" s="6" t="s">
        <v>76</v>
      </c>
      <c r="C84" s="7"/>
      <c r="D84" s="7"/>
      <c r="E84" s="7"/>
      <c r="F84" s="7"/>
      <c r="G84" s="52"/>
      <c r="H84" s="9"/>
      <c r="I84" s="2"/>
    </row>
    <row r="85" spans="1:9" x14ac:dyDescent="0.25">
      <c r="A85" s="8">
        <v>1.1000000000000001</v>
      </c>
      <c r="B85" s="7" t="s">
        <v>75</v>
      </c>
      <c r="C85" s="7" t="s">
        <v>40</v>
      </c>
      <c r="D85" s="7">
        <v>1</v>
      </c>
      <c r="E85" s="7">
        <v>123.06</v>
      </c>
      <c r="F85" s="7">
        <v>6.6</v>
      </c>
      <c r="G85" s="52">
        <f>PRODUCT(D85:F85)</f>
        <v>812.19600000000003</v>
      </c>
      <c r="H85" s="9"/>
      <c r="I85" s="2"/>
    </row>
    <row r="86" spans="1:9" x14ac:dyDescent="0.25">
      <c r="A86" s="8">
        <v>1.2</v>
      </c>
      <c r="B86" s="7" t="s">
        <v>74</v>
      </c>
      <c r="C86" s="7" t="s">
        <v>40</v>
      </c>
      <c r="D86" s="7">
        <v>-1</v>
      </c>
      <c r="E86" s="7">
        <v>18.225000000000001</v>
      </c>
      <c r="F86" s="7">
        <v>6</v>
      </c>
      <c r="G86" s="52">
        <f>PRODUCT(D86:F86)</f>
        <v>-109.35000000000001</v>
      </c>
      <c r="H86" s="9"/>
      <c r="I86" s="2"/>
    </row>
    <row r="87" spans="1:9" x14ac:dyDescent="0.25">
      <c r="A87" s="8">
        <v>1.3</v>
      </c>
      <c r="B87" s="7" t="s">
        <v>73</v>
      </c>
      <c r="C87" s="7" t="s">
        <v>40</v>
      </c>
      <c r="D87" s="7">
        <v>-1</v>
      </c>
      <c r="E87" s="7">
        <v>7.32</v>
      </c>
      <c r="F87" s="7">
        <v>6</v>
      </c>
      <c r="G87" s="52">
        <f>PRODUCT(D87:F87)</f>
        <v>-43.92</v>
      </c>
      <c r="H87" s="9"/>
      <c r="I87" s="2"/>
    </row>
    <row r="88" spans="1:9" x14ac:dyDescent="0.25">
      <c r="A88" s="8">
        <v>1.4</v>
      </c>
      <c r="B88" s="7" t="s">
        <v>72</v>
      </c>
      <c r="C88" s="7" t="s">
        <v>40</v>
      </c>
      <c r="D88" s="7">
        <v>-1</v>
      </c>
      <c r="E88" s="7">
        <v>6.28</v>
      </c>
      <c r="F88" s="7">
        <v>6</v>
      </c>
      <c r="G88" s="52">
        <f>PRODUCT(D88:F88)</f>
        <v>-37.68</v>
      </c>
      <c r="H88" s="9"/>
      <c r="I88" s="2"/>
    </row>
    <row r="89" spans="1:9" x14ac:dyDescent="0.25">
      <c r="A89" s="8">
        <v>1.5</v>
      </c>
      <c r="B89" s="7" t="s">
        <v>71</v>
      </c>
      <c r="C89" s="7" t="s">
        <v>40</v>
      </c>
      <c r="D89" s="7">
        <v>-0.5</v>
      </c>
      <c r="E89" s="7">
        <v>6.0250000000000004</v>
      </c>
      <c r="F89" s="7">
        <v>6.1509999999999998</v>
      </c>
      <c r="G89" s="52">
        <f>PRODUCT(D89:F89)</f>
        <v>-18.529887500000001</v>
      </c>
      <c r="H89" s="56">
        <f>SUM(G85:G89)</f>
        <v>602.71611250000012</v>
      </c>
      <c r="I89" s="2"/>
    </row>
    <row r="90" spans="1:9" x14ac:dyDescent="0.25">
      <c r="A90" s="8"/>
      <c r="B90" s="7"/>
      <c r="C90" s="7"/>
      <c r="D90" s="6" t="s">
        <v>70</v>
      </c>
      <c r="E90" s="7"/>
      <c r="F90" s="7"/>
      <c r="G90" s="52"/>
      <c r="H90" s="9">
        <f>H80+H83+H89</f>
        <v>1031.2043125</v>
      </c>
      <c r="I90" s="2"/>
    </row>
    <row r="91" spans="1:9" x14ac:dyDescent="0.25">
      <c r="A91" s="8"/>
      <c r="B91" s="6" t="s">
        <v>41</v>
      </c>
      <c r="C91" s="6" t="s">
        <v>40</v>
      </c>
      <c r="D91" s="7">
        <v>2</v>
      </c>
      <c r="E91" s="7"/>
      <c r="F91" s="7"/>
      <c r="G91" s="7"/>
      <c r="H91" s="55">
        <f>H90*D91</f>
        <v>2062.408625</v>
      </c>
      <c r="I91" s="2"/>
    </row>
    <row r="92" spans="1:9" x14ac:dyDescent="0.25">
      <c r="A92" s="8"/>
      <c r="B92" s="6" t="s">
        <v>39</v>
      </c>
      <c r="C92" s="6" t="s">
        <v>4</v>
      </c>
      <c r="D92" s="7"/>
      <c r="E92" s="7"/>
      <c r="F92" s="7"/>
      <c r="G92" s="7"/>
      <c r="H92" s="9">
        <f>H91*10.76</f>
        <v>22191.516804999999</v>
      </c>
      <c r="I92" s="2"/>
    </row>
    <row r="93" spans="1:9" ht="18.75" x14ac:dyDescent="0.25">
      <c r="A93" s="60">
        <v>5</v>
      </c>
      <c r="B93" s="78" t="s">
        <v>60</v>
      </c>
      <c r="C93" s="7"/>
      <c r="D93" s="7"/>
      <c r="E93" s="7"/>
      <c r="F93" s="7"/>
      <c r="G93" s="52"/>
      <c r="H93" s="9"/>
      <c r="I93" s="2"/>
    </row>
    <row r="94" spans="1:9" ht="15.75" x14ac:dyDescent="0.25">
      <c r="A94" s="58">
        <v>1</v>
      </c>
      <c r="B94" s="6" t="s">
        <v>59</v>
      </c>
      <c r="C94" s="7"/>
      <c r="D94" s="7"/>
      <c r="E94" s="7"/>
      <c r="F94" s="7"/>
      <c r="G94" s="7"/>
      <c r="H94" s="7"/>
      <c r="I94" s="2"/>
    </row>
    <row r="95" spans="1:9" x14ac:dyDescent="0.25">
      <c r="A95" s="8">
        <v>1.1000000000000001</v>
      </c>
      <c r="B95" s="7" t="s">
        <v>47</v>
      </c>
      <c r="C95" s="7" t="s">
        <v>40</v>
      </c>
      <c r="D95" s="7">
        <v>1</v>
      </c>
      <c r="E95" s="7">
        <v>66.02</v>
      </c>
      <c r="F95" s="7">
        <v>3.2</v>
      </c>
      <c r="G95" s="52">
        <f t="shared" ref="G95:G100" si="1">PRODUCT(D95:F95)</f>
        <v>211.26400000000001</v>
      </c>
      <c r="H95" s="7"/>
      <c r="I95" s="2"/>
    </row>
    <row r="96" spans="1:9" x14ac:dyDescent="0.25">
      <c r="A96" s="8">
        <v>1.2</v>
      </c>
      <c r="B96" s="7" t="s">
        <v>46</v>
      </c>
      <c r="C96" s="7" t="s">
        <v>40</v>
      </c>
      <c r="D96" s="7">
        <v>1</v>
      </c>
      <c r="E96" s="7">
        <v>65.77</v>
      </c>
      <c r="F96" s="7">
        <v>3.2</v>
      </c>
      <c r="G96" s="52">
        <f t="shared" si="1"/>
        <v>210.464</v>
      </c>
      <c r="H96" s="7"/>
      <c r="I96" s="2"/>
    </row>
    <row r="97" spans="1:9" x14ac:dyDescent="0.25">
      <c r="A97" s="8">
        <v>1.3</v>
      </c>
      <c r="B97" s="7" t="s">
        <v>45</v>
      </c>
      <c r="C97" s="7" t="s">
        <v>40</v>
      </c>
      <c r="D97" s="7">
        <v>1</v>
      </c>
      <c r="E97" s="7">
        <v>66.02</v>
      </c>
      <c r="F97" s="7">
        <v>3.2</v>
      </c>
      <c r="G97" s="52">
        <f t="shared" si="1"/>
        <v>211.26400000000001</v>
      </c>
      <c r="H97" s="9"/>
      <c r="I97" s="2"/>
    </row>
    <row r="98" spans="1:9" x14ac:dyDescent="0.25">
      <c r="A98" s="8">
        <v>1.4</v>
      </c>
      <c r="B98" s="7" t="s">
        <v>44</v>
      </c>
      <c r="C98" s="7" t="s">
        <v>40</v>
      </c>
      <c r="D98" s="57">
        <v>1</v>
      </c>
      <c r="E98" s="7">
        <v>65.77</v>
      </c>
      <c r="F98" s="7">
        <v>3.2</v>
      </c>
      <c r="G98" s="52">
        <f t="shared" si="1"/>
        <v>210.464</v>
      </c>
      <c r="H98" s="9"/>
      <c r="I98" s="2"/>
    </row>
    <row r="99" spans="1:9" x14ac:dyDescent="0.25">
      <c r="A99" s="8">
        <v>1.5</v>
      </c>
      <c r="B99" s="57" t="s">
        <v>43</v>
      </c>
      <c r="C99" s="7" t="s">
        <v>40</v>
      </c>
      <c r="D99" s="7">
        <v>1</v>
      </c>
      <c r="E99" s="7">
        <v>66.02</v>
      </c>
      <c r="F99" s="7">
        <v>3.2</v>
      </c>
      <c r="G99" s="52">
        <f t="shared" si="1"/>
        <v>211.26400000000001</v>
      </c>
      <c r="H99" s="9"/>
      <c r="I99" s="2"/>
    </row>
    <row r="100" spans="1:9" x14ac:dyDescent="0.25">
      <c r="A100" s="8">
        <v>1.6</v>
      </c>
      <c r="B100" s="57" t="s">
        <v>42</v>
      </c>
      <c r="C100" s="7" t="s">
        <v>40</v>
      </c>
      <c r="D100" s="7">
        <v>1</v>
      </c>
      <c r="E100" s="7">
        <v>65.77</v>
      </c>
      <c r="F100" s="7">
        <v>3.2</v>
      </c>
      <c r="G100" s="52">
        <f t="shared" si="1"/>
        <v>210.464</v>
      </c>
      <c r="H100" s="9"/>
      <c r="I100" s="2"/>
    </row>
    <row r="101" spans="1:9" x14ac:dyDescent="0.25">
      <c r="A101" s="5"/>
      <c r="B101" s="6" t="s">
        <v>58</v>
      </c>
      <c r="C101" s="7"/>
      <c r="D101" s="7"/>
      <c r="E101" s="7"/>
      <c r="F101" s="7"/>
      <c r="G101" s="7"/>
      <c r="H101" s="7"/>
      <c r="I101" s="2"/>
    </row>
    <row r="102" spans="1:9" x14ac:dyDescent="0.25">
      <c r="A102" s="8">
        <v>1.1000000000000001</v>
      </c>
      <c r="B102" s="7" t="s">
        <v>46</v>
      </c>
      <c r="C102" s="7" t="s">
        <v>40</v>
      </c>
      <c r="D102" s="7">
        <v>-1</v>
      </c>
      <c r="E102" s="7">
        <v>7.77</v>
      </c>
      <c r="F102" s="7">
        <v>3.2</v>
      </c>
      <c r="G102" s="52">
        <f>PRODUCT(D102:F102)</f>
        <v>-24.864000000000001</v>
      </c>
      <c r="H102" s="7"/>
      <c r="I102" s="2"/>
    </row>
    <row r="103" spans="1:9" x14ac:dyDescent="0.25">
      <c r="A103" s="8">
        <v>1.2</v>
      </c>
      <c r="B103" s="7" t="s">
        <v>43</v>
      </c>
      <c r="C103" s="7" t="s">
        <v>40</v>
      </c>
      <c r="D103" s="7">
        <v>-1</v>
      </c>
      <c r="E103" s="7">
        <v>3.2</v>
      </c>
      <c r="F103" s="7">
        <v>3.2</v>
      </c>
      <c r="G103" s="52">
        <f>PRODUCT(D103:F103)</f>
        <v>-10.240000000000002</v>
      </c>
      <c r="H103" s="7"/>
      <c r="I103" s="2"/>
    </row>
    <row r="104" spans="1:9" x14ac:dyDescent="0.25">
      <c r="A104" s="8">
        <v>1.3</v>
      </c>
      <c r="B104" s="7" t="s">
        <v>42</v>
      </c>
      <c r="C104" s="7" t="s">
        <v>40</v>
      </c>
      <c r="D104" s="7">
        <v>-1</v>
      </c>
      <c r="E104" s="7">
        <v>5.85</v>
      </c>
      <c r="F104" s="7">
        <v>3.2</v>
      </c>
      <c r="G104" s="52">
        <f>PRODUCT(D104:F104)</f>
        <v>-18.72</v>
      </c>
      <c r="H104" s="7"/>
      <c r="I104" s="2"/>
    </row>
    <row r="105" spans="1:9" x14ac:dyDescent="0.25">
      <c r="A105" s="5">
        <v>3</v>
      </c>
      <c r="B105" s="6" t="s">
        <v>57</v>
      </c>
      <c r="C105" s="7"/>
      <c r="D105" s="7"/>
      <c r="E105" s="7"/>
      <c r="F105" s="7"/>
      <c r="G105" s="7"/>
      <c r="H105" s="7"/>
      <c r="I105" s="2"/>
    </row>
    <row r="106" spans="1:9" x14ac:dyDescent="0.25">
      <c r="A106" s="8">
        <v>1.1000000000000001</v>
      </c>
      <c r="B106" s="7" t="s">
        <v>47</v>
      </c>
      <c r="C106" s="7" t="s">
        <v>40</v>
      </c>
      <c r="D106" s="7">
        <v>2</v>
      </c>
      <c r="E106" s="7">
        <v>0.4</v>
      </c>
      <c r="F106" s="7">
        <v>3.2</v>
      </c>
      <c r="G106" s="52">
        <f t="shared" ref="G106:G113" si="2">PRODUCT(D106:F106)</f>
        <v>2.5600000000000005</v>
      </c>
      <c r="H106" s="7"/>
      <c r="I106" s="2"/>
    </row>
    <row r="107" spans="1:9" x14ac:dyDescent="0.25">
      <c r="A107" s="8">
        <v>1.2</v>
      </c>
      <c r="B107" s="7" t="s">
        <v>46</v>
      </c>
      <c r="C107" s="7" t="s">
        <v>40</v>
      </c>
      <c r="D107" s="7">
        <v>2</v>
      </c>
      <c r="E107" s="7">
        <v>0.4</v>
      </c>
      <c r="F107" s="7">
        <v>3.2</v>
      </c>
      <c r="G107" s="52">
        <f t="shared" si="2"/>
        <v>2.5600000000000005</v>
      </c>
      <c r="H107" s="7"/>
      <c r="I107" s="2"/>
    </row>
    <row r="108" spans="1:9" x14ac:dyDescent="0.25">
      <c r="A108" s="8">
        <v>1.3</v>
      </c>
      <c r="B108" s="7" t="s">
        <v>46</v>
      </c>
      <c r="C108" s="7" t="s">
        <v>40</v>
      </c>
      <c r="D108" s="7">
        <v>1</v>
      </c>
      <c r="E108" s="7">
        <v>0.8</v>
      </c>
      <c r="F108" s="7">
        <v>3.2</v>
      </c>
      <c r="G108" s="52">
        <f t="shared" si="2"/>
        <v>2.5600000000000005</v>
      </c>
      <c r="H108" s="7"/>
      <c r="I108" s="2"/>
    </row>
    <row r="109" spans="1:9" x14ac:dyDescent="0.25">
      <c r="A109" s="8">
        <v>1.4</v>
      </c>
      <c r="B109" s="7" t="s">
        <v>45</v>
      </c>
      <c r="C109" s="7" t="s">
        <v>40</v>
      </c>
      <c r="D109" s="7">
        <v>2</v>
      </c>
      <c r="E109" s="7">
        <v>0.4</v>
      </c>
      <c r="F109" s="7">
        <v>3.2</v>
      </c>
      <c r="G109" s="52">
        <f t="shared" si="2"/>
        <v>2.5600000000000005</v>
      </c>
      <c r="H109" s="7"/>
      <c r="I109" s="2"/>
    </row>
    <row r="110" spans="1:9" x14ac:dyDescent="0.25">
      <c r="A110" s="8">
        <v>1.5</v>
      </c>
      <c r="B110" s="7" t="s">
        <v>44</v>
      </c>
      <c r="C110" s="7" t="s">
        <v>40</v>
      </c>
      <c r="D110" s="7">
        <v>4</v>
      </c>
      <c r="E110" s="7">
        <v>0.4</v>
      </c>
      <c r="F110" s="7">
        <v>3.2</v>
      </c>
      <c r="G110" s="52">
        <f t="shared" si="2"/>
        <v>5.120000000000001</v>
      </c>
      <c r="H110" s="7"/>
      <c r="I110" s="2"/>
    </row>
    <row r="111" spans="1:9" x14ac:dyDescent="0.25">
      <c r="A111" s="8">
        <v>1.6</v>
      </c>
      <c r="B111" s="7" t="s">
        <v>43</v>
      </c>
      <c r="C111" s="7" t="s">
        <v>40</v>
      </c>
      <c r="D111" s="7">
        <v>3</v>
      </c>
      <c r="E111" s="7">
        <v>0.4</v>
      </c>
      <c r="F111" s="7">
        <v>3.2</v>
      </c>
      <c r="G111" s="52">
        <f t="shared" si="2"/>
        <v>3.8400000000000007</v>
      </c>
      <c r="H111" s="7"/>
      <c r="I111" s="2"/>
    </row>
    <row r="112" spans="1:9" x14ac:dyDescent="0.25">
      <c r="A112" s="8">
        <v>1.7</v>
      </c>
      <c r="B112" s="7" t="s">
        <v>42</v>
      </c>
      <c r="C112" s="7" t="s">
        <v>40</v>
      </c>
      <c r="D112" s="7">
        <v>3</v>
      </c>
      <c r="E112" s="7">
        <v>0.4</v>
      </c>
      <c r="F112" s="7">
        <v>3.2</v>
      </c>
      <c r="G112" s="52">
        <f t="shared" si="2"/>
        <v>3.8400000000000007</v>
      </c>
      <c r="H112" s="7"/>
      <c r="I112" s="2"/>
    </row>
    <row r="113" spans="1:9" x14ac:dyDescent="0.25">
      <c r="A113" s="8">
        <v>1.8</v>
      </c>
      <c r="B113" s="7" t="s">
        <v>42</v>
      </c>
      <c r="C113" s="7" t="s">
        <v>40</v>
      </c>
      <c r="D113" s="7">
        <v>1</v>
      </c>
      <c r="E113" s="7">
        <v>0.8</v>
      </c>
      <c r="F113" s="7">
        <v>3.2</v>
      </c>
      <c r="G113" s="52">
        <f t="shared" si="2"/>
        <v>2.5600000000000005</v>
      </c>
      <c r="H113" s="52">
        <f>SUM(G95:G113)</f>
        <v>1236.9599999999991</v>
      </c>
      <c r="I113" s="54"/>
    </row>
    <row r="114" spans="1:9" x14ac:dyDescent="0.25">
      <c r="A114" s="8"/>
      <c r="B114" s="7"/>
      <c r="C114" s="7"/>
      <c r="D114" s="7"/>
      <c r="E114" s="7"/>
      <c r="F114" s="7"/>
      <c r="G114" s="7"/>
      <c r="H114" s="7"/>
      <c r="I114" s="2"/>
    </row>
    <row r="115" spans="1:9" ht="15.75" x14ac:dyDescent="0.25">
      <c r="A115" s="58">
        <v>2</v>
      </c>
      <c r="B115" s="6" t="s">
        <v>56</v>
      </c>
      <c r="C115" s="7"/>
      <c r="D115" s="7"/>
      <c r="E115" s="7"/>
      <c r="F115" s="7"/>
      <c r="G115" s="7"/>
      <c r="H115" s="7"/>
      <c r="I115" s="2"/>
    </row>
    <row r="116" spans="1:9" x14ac:dyDescent="0.25">
      <c r="A116" s="8">
        <v>1.1000000000000001</v>
      </c>
      <c r="B116" s="7" t="s">
        <v>47</v>
      </c>
      <c r="C116" s="7" t="s">
        <v>40</v>
      </c>
      <c r="D116" s="7">
        <v>1</v>
      </c>
      <c r="E116" s="7">
        <v>50.6</v>
      </c>
      <c r="F116" s="7">
        <v>3.2</v>
      </c>
      <c r="G116" s="52">
        <f t="shared" ref="G116:G121" si="3">PRODUCT(D116:F116)</f>
        <v>161.92000000000002</v>
      </c>
      <c r="H116" s="7"/>
      <c r="I116" s="2"/>
    </row>
    <row r="117" spans="1:9" x14ac:dyDescent="0.25">
      <c r="A117" s="8">
        <v>1.2</v>
      </c>
      <c r="B117" s="7" t="s">
        <v>46</v>
      </c>
      <c r="C117" s="7" t="s">
        <v>40</v>
      </c>
      <c r="D117" s="7">
        <v>1</v>
      </c>
      <c r="E117" s="7">
        <v>51.25</v>
      </c>
      <c r="F117" s="7">
        <v>3.2</v>
      </c>
      <c r="G117" s="52">
        <f t="shared" si="3"/>
        <v>164</v>
      </c>
      <c r="H117" s="7"/>
      <c r="I117" s="2"/>
    </row>
    <row r="118" spans="1:9" x14ac:dyDescent="0.25">
      <c r="A118" s="8">
        <v>1.3</v>
      </c>
      <c r="B118" s="7" t="s">
        <v>45</v>
      </c>
      <c r="C118" s="7" t="s">
        <v>40</v>
      </c>
      <c r="D118" s="7">
        <v>1</v>
      </c>
      <c r="E118" s="7">
        <v>50.6</v>
      </c>
      <c r="F118" s="7">
        <v>3.2</v>
      </c>
      <c r="G118" s="52">
        <f t="shared" si="3"/>
        <v>161.92000000000002</v>
      </c>
      <c r="H118" s="7"/>
      <c r="I118" s="2"/>
    </row>
    <row r="119" spans="1:9" x14ac:dyDescent="0.25">
      <c r="A119" s="8">
        <v>1.4</v>
      </c>
      <c r="B119" s="7" t="s">
        <v>44</v>
      </c>
      <c r="C119" s="7" t="s">
        <v>40</v>
      </c>
      <c r="D119" s="57">
        <v>1</v>
      </c>
      <c r="E119" s="7">
        <v>51.25</v>
      </c>
      <c r="F119" s="7">
        <v>3.2</v>
      </c>
      <c r="G119" s="52">
        <f t="shared" si="3"/>
        <v>164</v>
      </c>
      <c r="H119" s="7"/>
      <c r="I119" s="2"/>
    </row>
    <row r="120" spans="1:9" x14ac:dyDescent="0.25">
      <c r="A120" s="8">
        <v>1.5</v>
      </c>
      <c r="B120" s="57" t="s">
        <v>43</v>
      </c>
      <c r="C120" s="7" t="s">
        <v>40</v>
      </c>
      <c r="D120" s="7">
        <v>1</v>
      </c>
      <c r="E120" s="7">
        <v>50.6</v>
      </c>
      <c r="F120" s="7">
        <v>3.2</v>
      </c>
      <c r="G120" s="52">
        <f t="shared" si="3"/>
        <v>161.92000000000002</v>
      </c>
      <c r="H120" s="7"/>
      <c r="I120" s="2"/>
    </row>
    <row r="121" spans="1:9" x14ac:dyDescent="0.25">
      <c r="A121" s="8">
        <v>1.6</v>
      </c>
      <c r="B121" s="57" t="s">
        <v>42</v>
      </c>
      <c r="C121" s="7" t="s">
        <v>40</v>
      </c>
      <c r="D121" s="7">
        <v>1</v>
      </c>
      <c r="E121" s="7">
        <v>51.25</v>
      </c>
      <c r="F121" s="7">
        <v>3.2</v>
      </c>
      <c r="G121" s="52">
        <f t="shared" si="3"/>
        <v>164</v>
      </c>
      <c r="H121" s="7"/>
      <c r="I121" s="2"/>
    </row>
    <row r="122" spans="1:9" x14ac:dyDescent="0.25">
      <c r="A122" s="8"/>
      <c r="B122" s="6" t="s">
        <v>55</v>
      </c>
      <c r="C122" s="7"/>
      <c r="D122" s="7"/>
      <c r="E122" s="7"/>
      <c r="F122" s="7"/>
      <c r="G122" s="7"/>
      <c r="H122" s="7"/>
      <c r="I122" s="2"/>
    </row>
    <row r="123" spans="1:9" x14ac:dyDescent="0.25">
      <c r="A123" s="8">
        <v>1.1000000000000001</v>
      </c>
      <c r="B123" s="7" t="s">
        <v>44</v>
      </c>
      <c r="C123" s="7" t="s">
        <v>40</v>
      </c>
      <c r="D123" s="7">
        <v>-1</v>
      </c>
      <c r="E123" s="7">
        <v>5.875</v>
      </c>
      <c r="F123" s="7">
        <v>3.2</v>
      </c>
      <c r="G123" s="52">
        <f>PRODUCT(D123:F123)</f>
        <v>-18.8</v>
      </c>
      <c r="H123" s="7"/>
      <c r="I123" s="2"/>
    </row>
    <row r="124" spans="1:9" x14ac:dyDescent="0.25">
      <c r="A124" s="8">
        <v>1.3</v>
      </c>
      <c r="B124" s="7" t="s">
        <v>42</v>
      </c>
      <c r="C124" s="7" t="s">
        <v>40</v>
      </c>
      <c r="D124" s="7">
        <v>-1</v>
      </c>
      <c r="E124" s="7">
        <v>12</v>
      </c>
      <c r="F124" s="7">
        <v>3.2</v>
      </c>
      <c r="G124" s="52">
        <f>PRODUCT(D124:F124)</f>
        <v>-38.400000000000006</v>
      </c>
      <c r="H124" s="7"/>
      <c r="I124" s="2"/>
    </row>
    <row r="125" spans="1:9" x14ac:dyDescent="0.25">
      <c r="A125" s="8"/>
      <c r="B125" s="6" t="s">
        <v>54</v>
      </c>
      <c r="C125" s="7"/>
      <c r="D125" s="7"/>
      <c r="E125" s="7"/>
      <c r="F125" s="7"/>
      <c r="G125" s="7"/>
      <c r="H125" s="7"/>
      <c r="I125" s="2"/>
    </row>
    <row r="126" spans="1:9" x14ac:dyDescent="0.25">
      <c r="A126" s="8">
        <v>1.1000000000000001</v>
      </c>
      <c r="B126" s="7" t="s">
        <v>47</v>
      </c>
      <c r="C126" s="7" t="s">
        <v>40</v>
      </c>
      <c r="D126" s="7">
        <v>3</v>
      </c>
      <c r="E126" s="7">
        <v>0.25</v>
      </c>
      <c r="F126" s="7">
        <v>3.2</v>
      </c>
      <c r="G126" s="52">
        <f t="shared" ref="G126:G133" si="4">PRODUCT(D126:F126)</f>
        <v>2.4000000000000004</v>
      </c>
      <c r="H126" s="7"/>
      <c r="I126" s="2"/>
    </row>
    <row r="127" spans="1:9" x14ac:dyDescent="0.25">
      <c r="A127" s="8">
        <v>1.2</v>
      </c>
      <c r="B127" s="7" t="s">
        <v>46</v>
      </c>
      <c r="C127" s="7" t="s">
        <v>40</v>
      </c>
      <c r="D127" s="7">
        <v>2</v>
      </c>
      <c r="E127" s="7">
        <v>0.25</v>
      </c>
      <c r="F127" s="7">
        <v>3.2</v>
      </c>
      <c r="G127" s="52">
        <f t="shared" si="4"/>
        <v>1.6</v>
      </c>
      <c r="H127" s="7"/>
      <c r="I127" s="2"/>
    </row>
    <row r="128" spans="1:9" x14ac:dyDescent="0.25">
      <c r="A128" s="8">
        <v>1.3</v>
      </c>
      <c r="B128" s="7" t="s">
        <v>45</v>
      </c>
      <c r="C128" s="7" t="s">
        <v>40</v>
      </c>
      <c r="D128" s="7">
        <v>3</v>
      </c>
      <c r="E128" s="7">
        <v>0.25</v>
      </c>
      <c r="F128" s="7">
        <v>3.2</v>
      </c>
      <c r="G128" s="52">
        <f t="shared" si="4"/>
        <v>2.4000000000000004</v>
      </c>
      <c r="H128" s="7"/>
      <c r="I128" s="2"/>
    </row>
    <row r="129" spans="1:9" x14ac:dyDescent="0.25">
      <c r="A129" s="8">
        <v>1.4</v>
      </c>
      <c r="B129" s="7" t="s">
        <v>44</v>
      </c>
      <c r="C129" s="7" t="s">
        <v>40</v>
      </c>
      <c r="D129" s="7">
        <v>1</v>
      </c>
      <c r="E129" s="7">
        <v>0.25</v>
      </c>
      <c r="F129" s="7">
        <v>3.2</v>
      </c>
      <c r="G129" s="52">
        <f t="shared" si="4"/>
        <v>0.8</v>
      </c>
      <c r="H129" s="7"/>
      <c r="I129" s="2"/>
    </row>
    <row r="130" spans="1:9" x14ac:dyDescent="0.25">
      <c r="A130" s="8"/>
      <c r="B130" s="7" t="s">
        <v>44</v>
      </c>
      <c r="C130" s="7" t="s">
        <v>40</v>
      </c>
      <c r="D130" s="7">
        <v>1</v>
      </c>
      <c r="E130" s="7">
        <v>0.3</v>
      </c>
      <c r="F130" s="7">
        <v>3.2</v>
      </c>
      <c r="G130" s="52">
        <f t="shared" si="4"/>
        <v>0.96</v>
      </c>
      <c r="H130" s="7"/>
      <c r="I130" s="2"/>
    </row>
    <row r="131" spans="1:9" x14ac:dyDescent="0.25">
      <c r="A131" s="8"/>
      <c r="B131" s="7" t="s">
        <v>44</v>
      </c>
      <c r="C131" s="7" t="s">
        <v>40</v>
      </c>
      <c r="D131" s="7">
        <v>1</v>
      </c>
      <c r="E131" s="7">
        <v>0.55000000000000004</v>
      </c>
      <c r="F131" s="7">
        <v>3.2</v>
      </c>
      <c r="G131" s="52">
        <f t="shared" si="4"/>
        <v>1.7600000000000002</v>
      </c>
      <c r="H131" s="7"/>
      <c r="I131" s="2"/>
    </row>
    <row r="132" spans="1:9" x14ac:dyDescent="0.25">
      <c r="A132" s="8">
        <v>1.5</v>
      </c>
      <c r="B132" s="7" t="s">
        <v>43</v>
      </c>
      <c r="C132" s="7" t="s">
        <v>40</v>
      </c>
      <c r="D132" s="7">
        <v>3</v>
      </c>
      <c r="E132" s="7">
        <v>0.25</v>
      </c>
      <c r="F132" s="7">
        <v>3.2</v>
      </c>
      <c r="G132" s="52">
        <f t="shared" si="4"/>
        <v>2.4000000000000004</v>
      </c>
      <c r="H132" s="7"/>
      <c r="I132" s="2"/>
    </row>
    <row r="133" spans="1:9" x14ac:dyDescent="0.25">
      <c r="A133" s="8">
        <v>1.6</v>
      </c>
      <c r="B133" s="7" t="s">
        <v>42</v>
      </c>
      <c r="C133" s="7" t="s">
        <v>40</v>
      </c>
      <c r="D133" s="7">
        <v>2</v>
      </c>
      <c r="E133" s="7">
        <v>0.3</v>
      </c>
      <c r="F133" s="7">
        <v>3.2</v>
      </c>
      <c r="G133" s="52">
        <f t="shared" si="4"/>
        <v>1.92</v>
      </c>
      <c r="H133" s="52">
        <f>SUM(G116:G133)</f>
        <v>934.8</v>
      </c>
      <c r="I133" s="54"/>
    </row>
    <row r="134" spans="1:9" x14ac:dyDescent="0.25">
      <c r="A134" s="8"/>
      <c r="B134" s="7"/>
      <c r="C134" s="7"/>
      <c r="D134" s="7"/>
      <c r="E134" s="7"/>
      <c r="F134" s="7"/>
      <c r="G134" s="52"/>
      <c r="H134" s="7"/>
      <c r="I134" s="2"/>
    </row>
    <row r="135" spans="1:9" ht="15.75" x14ac:dyDescent="0.25">
      <c r="A135" s="58">
        <v>3</v>
      </c>
      <c r="B135" s="6" t="s">
        <v>53</v>
      </c>
      <c r="C135" s="7"/>
      <c r="D135" s="7"/>
      <c r="E135" s="7"/>
      <c r="F135" s="7"/>
      <c r="G135" s="7"/>
      <c r="H135" s="7"/>
      <c r="I135" s="2"/>
    </row>
    <row r="136" spans="1:9" x14ac:dyDescent="0.25">
      <c r="A136" s="8">
        <v>1.1000000000000001</v>
      </c>
      <c r="B136" s="7" t="s">
        <v>47</v>
      </c>
      <c r="C136" s="7" t="s">
        <v>40</v>
      </c>
      <c r="D136" s="7">
        <v>1</v>
      </c>
      <c r="E136" s="7">
        <v>65.52</v>
      </c>
      <c r="F136" s="7">
        <v>3.2</v>
      </c>
      <c r="G136" s="52">
        <f t="shared" ref="G136:G141" si="5">PRODUCT(D136:F136)</f>
        <v>209.66399999999999</v>
      </c>
      <c r="H136" s="7"/>
      <c r="I136" s="2"/>
    </row>
    <row r="137" spans="1:9" x14ac:dyDescent="0.25">
      <c r="A137" s="8">
        <v>1.2</v>
      </c>
      <c r="B137" s="7" t="s">
        <v>46</v>
      </c>
      <c r="C137" s="7" t="s">
        <v>40</v>
      </c>
      <c r="D137" s="7">
        <v>1</v>
      </c>
      <c r="E137" s="7">
        <v>65.790000000000006</v>
      </c>
      <c r="F137" s="7">
        <v>3.2</v>
      </c>
      <c r="G137" s="52">
        <f t="shared" si="5"/>
        <v>210.52800000000002</v>
      </c>
      <c r="H137" s="7"/>
      <c r="I137" s="2"/>
    </row>
    <row r="138" spans="1:9" x14ac:dyDescent="0.25">
      <c r="A138" s="8">
        <v>1.3</v>
      </c>
      <c r="B138" s="7" t="s">
        <v>45</v>
      </c>
      <c r="C138" s="7" t="s">
        <v>40</v>
      </c>
      <c r="D138" s="7">
        <v>1</v>
      </c>
      <c r="E138" s="7">
        <v>65.52</v>
      </c>
      <c r="F138" s="7">
        <v>3.2</v>
      </c>
      <c r="G138" s="52">
        <f t="shared" si="5"/>
        <v>209.66399999999999</v>
      </c>
      <c r="H138" s="7"/>
      <c r="I138" s="2"/>
    </row>
    <row r="139" spans="1:9" x14ac:dyDescent="0.25">
      <c r="A139" s="8">
        <v>1.4</v>
      </c>
      <c r="B139" s="7" t="s">
        <v>44</v>
      </c>
      <c r="C139" s="7" t="s">
        <v>40</v>
      </c>
      <c r="D139" s="57">
        <v>1</v>
      </c>
      <c r="E139" s="7">
        <v>65.790000000000006</v>
      </c>
      <c r="F139" s="7">
        <v>3.2</v>
      </c>
      <c r="G139" s="52">
        <f t="shared" si="5"/>
        <v>210.52800000000002</v>
      </c>
      <c r="H139" s="7"/>
      <c r="I139" s="2"/>
    </row>
    <row r="140" spans="1:9" x14ac:dyDescent="0.25">
      <c r="A140" s="8">
        <v>1.5</v>
      </c>
      <c r="B140" s="57" t="s">
        <v>43</v>
      </c>
      <c r="C140" s="7" t="s">
        <v>40</v>
      </c>
      <c r="D140" s="7">
        <v>1</v>
      </c>
      <c r="E140" s="7">
        <v>65.52</v>
      </c>
      <c r="F140" s="7">
        <v>3.2</v>
      </c>
      <c r="G140" s="52">
        <f t="shared" si="5"/>
        <v>209.66399999999999</v>
      </c>
      <c r="H140" s="7"/>
      <c r="I140" s="2"/>
    </row>
    <row r="141" spans="1:9" x14ac:dyDescent="0.25">
      <c r="A141" s="8">
        <v>1.6</v>
      </c>
      <c r="B141" s="57" t="s">
        <v>42</v>
      </c>
      <c r="C141" s="7" t="s">
        <v>40</v>
      </c>
      <c r="D141" s="7">
        <v>1</v>
      </c>
      <c r="E141" s="7">
        <v>65.790000000000006</v>
      </c>
      <c r="F141" s="7">
        <v>3.2</v>
      </c>
      <c r="G141" s="52">
        <f t="shared" si="5"/>
        <v>210.52800000000002</v>
      </c>
      <c r="H141" s="7"/>
      <c r="I141" s="2"/>
    </row>
    <row r="142" spans="1:9" x14ac:dyDescent="0.25">
      <c r="A142" s="8"/>
      <c r="B142" s="6" t="s">
        <v>52</v>
      </c>
      <c r="C142" s="7"/>
      <c r="D142" s="7"/>
      <c r="E142" s="7"/>
      <c r="F142" s="7"/>
      <c r="G142" s="7"/>
      <c r="H142" s="7"/>
      <c r="I142" s="2"/>
    </row>
    <row r="143" spans="1:9" x14ac:dyDescent="0.25">
      <c r="A143" s="8">
        <v>1.1000000000000001</v>
      </c>
      <c r="B143" s="7" t="s">
        <v>47</v>
      </c>
      <c r="C143" s="7" t="s">
        <v>40</v>
      </c>
      <c r="D143" s="7">
        <v>-1</v>
      </c>
      <c r="E143" s="59">
        <v>5.5</v>
      </c>
      <c r="F143" s="7">
        <v>3.2</v>
      </c>
      <c r="G143" s="52">
        <f>PRODUCT(D143:F143)</f>
        <v>-17.600000000000001</v>
      </c>
      <c r="H143" s="7"/>
      <c r="I143" s="2"/>
    </row>
    <row r="144" spans="1:9" x14ac:dyDescent="0.25">
      <c r="A144" s="8">
        <v>1.2</v>
      </c>
      <c r="B144" s="7" t="s">
        <v>46</v>
      </c>
      <c r="C144" s="7" t="s">
        <v>40</v>
      </c>
      <c r="D144" s="7">
        <v>-1</v>
      </c>
      <c r="E144" s="59">
        <v>5.5</v>
      </c>
      <c r="F144" s="7">
        <v>3.2</v>
      </c>
      <c r="G144" s="52">
        <f>PRODUCT(D144:F144)</f>
        <v>-17.600000000000001</v>
      </c>
      <c r="H144" s="7"/>
      <c r="I144" s="2"/>
    </row>
    <row r="145" spans="1:9" x14ac:dyDescent="0.25">
      <c r="A145" s="8">
        <v>1.3</v>
      </c>
      <c r="B145" s="7" t="s">
        <v>45</v>
      </c>
      <c r="C145" s="7" t="s">
        <v>40</v>
      </c>
      <c r="D145" s="7">
        <v>-1</v>
      </c>
      <c r="E145" s="59">
        <v>5.5</v>
      </c>
      <c r="F145" s="7">
        <v>3.2</v>
      </c>
      <c r="G145" s="52">
        <f>PRODUCT(D145:F145)</f>
        <v>-17.600000000000001</v>
      </c>
      <c r="H145" s="7"/>
      <c r="I145" s="2"/>
    </row>
    <row r="146" spans="1:9" x14ac:dyDescent="0.25">
      <c r="A146" s="8">
        <v>1.4</v>
      </c>
      <c r="B146" s="7" t="s">
        <v>44</v>
      </c>
      <c r="C146" s="7" t="s">
        <v>40</v>
      </c>
      <c r="D146" s="7">
        <v>-1</v>
      </c>
      <c r="E146" s="59">
        <v>5.5</v>
      </c>
      <c r="F146" s="7">
        <v>3.2</v>
      </c>
      <c r="G146" s="52">
        <f>PRODUCT(D146:F146)</f>
        <v>-17.600000000000001</v>
      </c>
      <c r="H146" s="7"/>
      <c r="I146" s="2"/>
    </row>
    <row r="147" spans="1:9" x14ac:dyDescent="0.25">
      <c r="A147" s="8">
        <v>1.5</v>
      </c>
      <c r="B147" s="7" t="s">
        <v>43</v>
      </c>
      <c r="C147" s="7" t="s">
        <v>40</v>
      </c>
      <c r="D147" s="7">
        <v>-1</v>
      </c>
      <c r="E147" s="59">
        <v>5.5</v>
      </c>
      <c r="F147" s="7">
        <v>3.2</v>
      </c>
      <c r="G147" s="52">
        <f>PRODUCT(D147:F147)</f>
        <v>-17.600000000000001</v>
      </c>
      <c r="H147" s="7"/>
      <c r="I147" s="2"/>
    </row>
    <row r="148" spans="1:9" x14ac:dyDescent="0.25">
      <c r="A148" s="8"/>
      <c r="B148" s="6" t="s">
        <v>51</v>
      </c>
      <c r="C148" s="7"/>
      <c r="D148" s="7"/>
      <c r="E148" s="7"/>
      <c r="F148" s="7"/>
      <c r="G148" s="7"/>
      <c r="H148" s="7"/>
      <c r="I148" s="2"/>
    </row>
    <row r="149" spans="1:9" x14ac:dyDescent="0.25">
      <c r="A149" s="8">
        <v>1.1000000000000001</v>
      </c>
      <c r="B149" s="7" t="s">
        <v>47</v>
      </c>
      <c r="C149" s="7" t="s">
        <v>40</v>
      </c>
      <c r="D149" s="7">
        <v>1</v>
      </c>
      <c r="E149" s="7">
        <v>0.25</v>
      </c>
      <c r="F149" s="7">
        <v>3.2</v>
      </c>
      <c r="G149" s="52">
        <f t="shared" ref="G149:G162" si="6">PRODUCT(D149:F149)</f>
        <v>0.8</v>
      </c>
      <c r="H149" s="7"/>
      <c r="I149" s="2"/>
    </row>
    <row r="150" spans="1:9" x14ac:dyDescent="0.25">
      <c r="A150" s="8"/>
      <c r="B150" s="7" t="s">
        <v>47</v>
      </c>
      <c r="C150" s="7" t="s">
        <v>40</v>
      </c>
      <c r="D150" s="7">
        <v>1</v>
      </c>
      <c r="E150" s="7">
        <v>0.3</v>
      </c>
      <c r="F150" s="7">
        <v>3.2</v>
      </c>
      <c r="G150" s="52">
        <f t="shared" si="6"/>
        <v>0.96</v>
      </c>
      <c r="H150" s="7"/>
      <c r="I150" s="2"/>
    </row>
    <row r="151" spans="1:9" x14ac:dyDescent="0.25">
      <c r="A151" s="8"/>
      <c r="B151" s="7" t="s">
        <v>47</v>
      </c>
      <c r="C151" s="7" t="s">
        <v>40</v>
      </c>
      <c r="D151" s="7">
        <v>1</v>
      </c>
      <c r="E151" s="7">
        <v>0.55000000000000004</v>
      </c>
      <c r="F151" s="7">
        <v>3.2</v>
      </c>
      <c r="G151" s="52">
        <f t="shared" si="6"/>
        <v>1.7600000000000002</v>
      </c>
      <c r="H151" s="7"/>
      <c r="I151" s="2"/>
    </row>
    <row r="152" spans="1:9" x14ac:dyDescent="0.25">
      <c r="A152" s="8">
        <v>1.2</v>
      </c>
      <c r="B152" s="7" t="s">
        <v>46</v>
      </c>
      <c r="C152" s="7" t="s">
        <v>40</v>
      </c>
      <c r="D152" s="7">
        <v>2</v>
      </c>
      <c r="E152" s="7">
        <v>0.25</v>
      </c>
      <c r="F152" s="7">
        <v>3.2</v>
      </c>
      <c r="G152" s="52">
        <f t="shared" si="6"/>
        <v>1.6</v>
      </c>
      <c r="H152" s="7"/>
      <c r="I152" s="2"/>
    </row>
    <row r="153" spans="1:9" x14ac:dyDescent="0.25">
      <c r="A153" s="8"/>
      <c r="B153" s="7" t="s">
        <v>46</v>
      </c>
      <c r="C153" s="7" t="s">
        <v>40</v>
      </c>
      <c r="D153" s="7">
        <v>2</v>
      </c>
      <c r="E153" s="7">
        <v>0.55000000000000004</v>
      </c>
      <c r="F153" s="7">
        <v>3.2</v>
      </c>
      <c r="G153" s="52">
        <f t="shared" si="6"/>
        <v>3.5200000000000005</v>
      </c>
      <c r="H153" s="7"/>
      <c r="I153" s="2"/>
    </row>
    <row r="154" spans="1:9" x14ac:dyDescent="0.25">
      <c r="A154" s="8">
        <v>1.3</v>
      </c>
      <c r="B154" s="7" t="s">
        <v>45</v>
      </c>
      <c r="C154" s="7" t="s">
        <v>40</v>
      </c>
      <c r="D154" s="7">
        <v>1</v>
      </c>
      <c r="E154" s="7">
        <v>0.25</v>
      </c>
      <c r="F154" s="7">
        <v>3.2</v>
      </c>
      <c r="G154" s="52">
        <f t="shared" si="6"/>
        <v>0.8</v>
      </c>
      <c r="H154" s="7"/>
      <c r="I154" s="2"/>
    </row>
    <row r="155" spans="1:9" x14ac:dyDescent="0.25">
      <c r="A155" s="8"/>
      <c r="B155" s="7" t="s">
        <v>45</v>
      </c>
      <c r="C155" s="7" t="s">
        <v>40</v>
      </c>
      <c r="D155" s="7">
        <v>1</v>
      </c>
      <c r="E155" s="7">
        <v>0.3</v>
      </c>
      <c r="F155" s="7">
        <v>3.2</v>
      </c>
      <c r="G155" s="52">
        <f t="shared" si="6"/>
        <v>0.96</v>
      </c>
      <c r="H155" s="7"/>
      <c r="I155" s="2"/>
    </row>
    <row r="156" spans="1:9" x14ac:dyDescent="0.25">
      <c r="A156" s="8"/>
      <c r="B156" s="7" t="s">
        <v>45</v>
      </c>
      <c r="C156" s="7" t="s">
        <v>40</v>
      </c>
      <c r="D156" s="7">
        <v>1</v>
      </c>
      <c r="E156" s="7">
        <v>0.55000000000000004</v>
      </c>
      <c r="F156" s="7">
        <v>3.2</v>
      </c>
      <c r="G156" s="52">
        <f t="shared" si="6"/>
        <v>1.7600000000000002</v>
      </c>
      <c r="H156" s="7"/>
      <c r="I156" s="2"/>
    </row>
    <row r="157" spans="1:9" x14ac:dyDescent="0.25">
      <c r="A157" s="8">
        <v>1.4</v>
      </c>
      <c r="B157" s="7" t="s">
        <v>44</v>
      </c>
      <c r="C157" s="7" t="s">
        <v>40</v>
      </c>
      <c r="D157" s="7">
        <v>2</v>
      </c>
      <c r="E157" s="7">
        <v>0.25</v>
      </c>
      <c r="F157" s="7">
        <v>3.2</v>
      </c>
      <c r="G157" s="52">
        <f t="shared" si="6"/>
        <v>1.6</v>
      </c>
      <c r="H157" s="7"/>
      <c r="I157" s="2"/>
    </row>
    <row r="158" spans="1:9" x14ac:dyDescent="0.25">
      <c r="A158" s="8"/>
      <c r="B158" s="7" t="s">
        <v>44</v>
      </c>
      <c r="C158" s="7" t="s">
        <v>40</v>
      </c>
      <c r="D158" s="7">
        <v>2</v>
      </c>
      <c r="E158" s="7">
        <v>0.55000000000000004</v>
      </c>
      <c r="F158" s="7">
        <v>3.2</v>
      </c>
      <c r="G158" s="52">
        <f t="shared" si="6"/>
        <v>3.5200000000000005</v>
      </c>
      <c r="H158" s="7"/>
      <c r="I158" s="2"/>
    </row>
    <row r="159" spans="1:9" x14ac:dyDescent="0.25">
      <c r="A159" s="8">
        <v>1.5</v>
      </c>
      <c r="B159" s="7" t="s">
        <v>43</v>
      </c>
      <c r="C159" s="7" t="s">
        <v>40</v>
      </c>
      <c r="D159" s="7">
        <v>1</v>
      </c>
      <c r="E159" s="7">
        <v>0.25</v>
      </c>
      <c r="F159" s="7">
        <v>3.2</v>
      </c>
      <c r="G159" s="52">
        <f t="shared" si="6"/>
        <v>0.8</v>
      </c>
      <c r="H159" s="7"/>
      <c r="I159" s="2"/>
    </row>
    <row r="160" spans="1:9" x14ac:dyDescent="0.25">
      <c r="A160" s="8"/>
      <c r="B160" s="7" t="s">
        <v>43</v>
      </c>
      <c r="C160" s="7" t="s">
        <v>40</v>
      </c>
      <c r="D160" s="7">
        <v>1</v>
      </c>
      <c r="E160" s="7">
        <v>0.3</v>
      </c>
      <c r="F160" s="7">
        <v>3.2</v>
      </c>
      <c r="G160" s="52">
        <f t="shared" si="6"/>
        <v>0.96</v>
      </c>
      <c r="H160" s="7"/>
      <c r="I160" s="2"/>
    </row>
    <row r="161" spans="1:9" x14ac:dyDescent="0.25">
      <c r="A161" s="8"/>
      <c r="B161" s="7" t="s">
        <v>43</v>
      </c>
      <c r="C161" s="7" t="s">
        <v>40</v>
      </c>
      <c r="D161" s="7">
        <v>1</v>
      </c>
      <c r="E161" s="7">
        <v>0.55000000000000004</v>
      </c>
      <c r="F161" s="7">
        <v>3.2</v>
      </c>
      <c r="G161" s="52">
        <f t="shared" si="6"/>
        <v>1.7600000000000002</v>
      </c>
      <c r="H161" s="7"/>
      <c r="I161" s="2"/>
    </row>
    <row r="162" spans="1:9" x14ac:dyDescent="0.25">
      <c r="A162" s="8">
        <v>1.6</v>
      </c>
      <c r="B162" s="7" t="s">
        <v>42</v>
      </c>
      <c r="C162" s="7" t="s">
        <v>40</v>
      </c>
      <c r="D162" s="7">
        <v>2</v>
      </c>
      <c r="E162" s="7">
        <v>0.25</v>
      </c>
      <c r="F162" s="7">
        <v>3.2</v>
      </c>
      <c r="G162" s="52">
        <f t="shared" si="6"/>
        <v>1.6</v>
      </c>
      <c r="H162" s="52">
        <f>SUM(G136:G162)</f>
        <v>1194.9760000000001</v>
      </c>
      <c r="I162" s="54"/>
    </row>
    <row r="163" spans="1:9" x14ac:dyDescent="0.25">
      <c r="A163" s="8"/>
      <c r="B163" s="7"/>
      <c r="C163" s="7"/>
      <c r="D163" s="7"/>
      <c r="E163" s="7"/>
      <c r="F163" s="7"/>
      <c r="G163" s="52"/>
      <c r="H163" s="7"/>
      <c r="I163" s="2"/>
    </row>
    <row r="164" spans="1:9" ht="15.75" x14ac:dyDescent="0.25">
      <c r="A164" s="58">
        <v>4</v>
      </c>
      <c r="B164" s="6" t="s">
        <v>50</v>
      </c>
      <c r="C164" s="7"/>
      <c r="D164" s="7"/>
      <c r="E164" s="7"/>
      <c r="F164" s="7"/>
      <c r="G164" s="7"/>
      <c r="H164" s="7"/>
      <c r="I164" s="2"/>
    </row>
    <row r="165" spans="1:9" x14ac:dyDescent="0.25">
      <c r="A165" s="8">
        <v>1.1000000000000001</v>
      </c>
      <c r="B165" s="7" t="s">
        <v>47</v>
      </c>
      <c r="C165" s="7" t="s">
        <v>40</v>
      </c>
      <c r="D165" s="7">
        <v>1</v>
      </c>
      <c r="E165" s="7">
        <v>50.6</v>
      </c>
      <c r="F165" s="7">
        <v>3.2</v>
      </c>
      <c r="G165" s="52">
        <f t="shared" ref="G165:G170" si="7">PRODUCT(D165:F165)</f>
        <v>161.92000000000002</v>
      </c>
      <c r="H165" s="7"/>
      <c r="I165" s="2"/>
    </row>
    <row r="166" spans="1:9" x14ac:dyDescent="0.25">
      <c r="A166" s="8">
        <v>1.2</v>
      </c>
      <c r="B166" s="7" t="s">
        <v>46</v>
      </c>
      <c r="C166" s="7" t="s">
        <v>40</v>
      </c>
      <c r="D166" s="7">
        <v>1</v>
      </c>
      <c r="E166" s="7">
        <v>51.25</v>
      </c>
      <c r="F166" s="7">
        <v>3.2</v>
      </c>
      <c r="G166" s="52">
        <f t="shared" si="7"/>
        <v>164</v>
      </c>
      <c r="H166" s="7"/>
      <c r="I166" s="2"/>
    </row>
    <row r="167" spans="1:9" x14ac:dyDescent="0.25">
      <c r="A167" s="8">
        <v>1.3</v>
      </c>
      <c r="B167" s="7" t="s">
        <v>45</v>
      </c>
      <c r="C167" s="7" t="s">
        <v>40</v>
      </c>
      <c r="D167" s="7">
        <v>1</v>
      </c>
      <c r="E167" s="7">
        <v>50.6</v>
      </c>
      <c r="F167" s="7">
        <v>3.2</v>
      </c>
      <c r="G167" s="52">
        <f t="shared" si="7"/>
        <v>161.92000000000002</v>
      </c>
      <c r="H167" s="7"/>
      <c r="I167" s="2"/>
    </row>
    <row r="168" spans="1:9" x14ac:dyDescent="0.25">
      <c r="A168" s="8">
        <v>1.4</v>
      </c>
      <c r="B168" s="7" t="s">
        <v>44</v>
      </c>
      <c r="C168" s="7" t="s">
        <v>40</v>
      </c>
      <c r="D168" s="57">
        <v>1</v>
      </c>
      <c r="E168" s="7">
        <v>51.25</v>
      </c>
      <c r="F168" s="7">
        <v>3.2</v>
      </c>
      <c r="G168" s="52">
        <f t="shared" si="7"/>
        <v>164</v>
      </c>
      <c r="H168" s="7"/>
      <c r="I168" s="2"/>
    </row>
    <row r="169" spans="1:9" x14ac:dyDescent="0.25">
      <c r="A169" s="8">
        <v>1.5</v>
      </c>
      <c r="B169" s="57" t="s">
        <v>43</v>
      </c>
      <c r="C169" s="7" t="s">
        <v>40</v>
      </c>
      <c r="D169" s="7">
        <v>1</v>
      </c>
      <c r="E169" s="7">
        <v>50.6</v>
      </c>
      <c r="F169" s="7">
        <v>3.2</v>
      </c>
      <c r="G169" s="52">
        <f t="shared" si="7"/>
        <v>161.92000000000002</v>
      </c>
      <c r="H169" s="7"/>
      <c r="I169" s="2"/>
    </row>
    <row r="170" spans="1:9" x14ac:dyDescent="0.25">
      <c r="A170" s="8">
        <v>1.6</v>
      </c>
      <c r="B170" s="57" t="s">
        <v>42</v>
      </c>
      <c r="C170" s="7" t="s">
        <v>40</v>
      </c>
      <c r="D170" s="7">
        <v>1</v>
      </c>
      <c r="E170" s="7">
        <v>51.25</v>
      </c>
      <c r="F170" s="7">
        <v>3.2</v>
      </c>
      <c r="G170" s="52">
        <f t="shared" si="7"/>
        <v>164</v>
      </c>
      <c r="H170" s="7"/>
      <c r="I170" s="2"/>
    </row>
    <row r="171" spans="1:9" x14ac:dyDescent="0.25">
      <c r="A171" s="8"/>
      <c r="B171" s="6" t="s">
        <v>49</v>
      </c>
      <c r="C171" s="7"/>
      <c r="D171" s="7"/>
      <c r="E171" s="7"/>
      <c r="F171" s="7"/>
      <c r="G171" s="7"/>
      <c r="H171" s="7"/>
      <c r="I171" s="2"/>
    </row>
    <row r="172" spans="1:9" x14ac:dyDescent="0.25">
      <c r="A172" s="8">
        <v>1.3</v>
      </c>
      <c r="B172" s="7" t="s">
        <v>45</v>
      </c>
      <c r="C172" s="7" t="s">
        <v>40</v>
      </c>
      <c r="D172" s="7">
        <v>-1</v>
      </c>
      <c r="E172" s="7">
        <v>5.85</v>
      </c>
      <c r="F172" s="7">
        <v>3.2</v>
      </c>
      <c r="G172" s="52">
        <f>PRODUCT(D172:F172)</f>
        <v>-18.72</v>
      </c>
      <c r="H172" s="7"/>
      <c r="I172" s="2"/>
    </row>
    <row r="173" spans="1:9" x14ac:dyDescent="0.25">
      <c r="A173" s="8">
        <v>1.4</v>
      </c>
      <c r="B173" s="7" t="s">
        <v>43</v>
      </c>
      <c r="C173" s="7" t="s">
        <v>40</v>
      </c>
      <c r="D173" s="7">
        <v>-1</v>
      </c>
      <c r="E173" s="7">
        <v>6.75</v>
      </c>
      <c r="F173" s="7">
        <v>3.2</v>
      </c>
      <c r="G173" s="52">
        <f>PRODUCT(D173:F173)</f>
        <v>-21.6</v>
      </c>
      <c r="H173" s="7"/>
      <c r="I173" s="2"/>
    </row>
    <row r="174" spans="1:9" x14ac:dyDescent="0.25">
      <c r="A174" s="8">
        <v>1.5</v>
      </c>
      <c r="B174" s="7" t="s">
        <v>42</v>
      </c>
      <c r="C174" s="7" t="s">
        <v>40</v>
      </c>
      <c r="D174" s="7">
        <v>-1</v>
      </c>
      <c r="E174" s="7">
        <v>12</v>
      </c>
      <c r="F174" s="7">
        <v>3.2</v>
      </c>
      <c r="G174" s="52">
        <f>PRODUCT(D174:F174)</f>
        <v>-38.400000000000006</v>
      </c>
      <c r="H174" s="7"/>
      <c r="I174" s="2"/>
    </row>
    <row r="175" spans="1:9" x14ac:dyDescent="0.25">
      <c r="A175" s="8"/>
      <c r="B175" s="6" t="s">
        <v>48</v>
      </c>
      <c r="C175" s="7"/>
      <c r="D175" s="7"/>
      <c r="E175" s="7"/>
      <c r="F175" s="7"/>
      <c r="G175" s="7"/>
      <c r="H175" s="7"/>
      <c r="I175" s="2"/>
    </row>
    <row r="176" spans="1:9" x14ac:dyDescent="0.25">
      <c r="A176" s="8">
        <v>1.1000000000000001</v>
      </c>
      <c r="B176" s="7" t="s">
        <v>47</v>
      </c>
      <c r="C176" s="7" t="s">
        <v>40</v>
      </c>
      <c r="D176" s="7">
        <v>3</v>
      </c>
      <c r="E176" s="7">
        <v>0.25</v>
      </c>
      <c r="F176" s="7">
        <v>3.2</v>
      </c>
      <c r="G176" s="52">
        <f t="shared" ref="G176:G184" si="8">PRODUCT(D176:F176)</f>
        <v>2.4000000000000004</v>
      </c>
      <c r="H176" s="7"/>
      <c r="I176" s="2"/>
    </row>
    <row r="177" spans="1:10" x14ac:dyDescent="0.25">
      <c r="A177" s="8">
        <v>1.2</v>
      </c>
      <c r="B177" s="7" t="s">
        <v>46</v>
      </c>
      <c r="C177" s="7" t="s">
        <v>40</v>
      </c>
      <c r="D177" s="7">
        <v>2</v>
      </c>
      <c r="E177" s="7">
        <v>0.25</v>
      </c>
      <c r="F177" s="7">
        <v>3.2</v>
      </c>
      <c r="G177" s="52">
        <f t="shared" si="8"/>
        <v>1.6</v>
      </c>
      <c r="H177" s="7"/>
      <c r="I177" s="2"/>
    </row>
    <row r="178" spans="1:10" x14ac:dyDescent="0.25">
      <c r="A178" s="8"/>
      <c r="B178" s="7" t="s">
        <v>46</v>
      </c>
      <c r="C178" s="7" t="s">
        <v>40</v>
      </c>
      <c r="D178" s="7">
        <v>1</v>
      </c>
      <c r="E178" s="7">
        <v>0.4</v>
      </c>
      <c r="F178" s="7">
        <v>3.2</v>
      </c>
      <c r="G178" s="52">
        <f t="shared" si="8"/>
        <v>1.2800000000000002</v>
      </c>
      <c r="H178" s="7"/>
      <c r="I178" s="2"/>
    </row>
    <row r="179" spans="1:10" x14ac:dyDescent="0.25">
      <c r="A179" s="8">
        <v>1.3</v>
      </c>
      <c r="B179" s="7" t="s">
        <v>45</v>
      </c>
      <c r="C179" s="7" t="s">
        <v>40</v>
      </c>
      <c r="D179" s="7">
        <v>3</v>
      </c>
      <c r="E179" s="7">
        <v>0.25</v>
      </c>
      <c r="F179" s="7">
        <v>3.2</v>
      </c>
      <c r="G179" s="52">
        <f t="shared" si="8"/>
        <v>2.4000000000000004</v>
      </c>
      <c r="H179" s="7"/>
      <c r="I179" s="2"/>
    </row>
    <row r="180" spans="1:10" x14ac:dyDescent="0.25">
      <c r="A180" s="8"/>
      <c r="B180" s="7" t="s">
        <v>45</v>
      </c>
      <c r="C180" s="7" t="s">
        <v>40</v>
      </c>
      <c r="D180" s="7">
        <v>2</v>
      </c>
      <c r="E180" s="7">
        <v>0.55000000000000004</v>
      </c>
      <c r="F180" s="7">
        <v>3.2</v>
      </c>
      <c r="G180" s="52">
        <f t="shared" si="8"/>
        <v>3.5200000000000005</v>
      </c>
      <c r="H180" s="7"/>
      <c r="I180" s="2"/>
    </row>
    <row r="181" spans="1:10" x14ac:dyDescent="0.25">
      <c r="A181" s="8">
        <v>1.4</v>
      </c>
      <c r="B181" s="7" t="s">
        <v>44</v>
      </c>
      <c r="C181" s="7" t="s">
        <v>40</v>
      </c>
      <c r="D181" s="7">
        <v>2</v>
      </c>
      <c r="E181" s="7">
        <v>0.25</v>
      </c>
      <c r="F181" s="7">
        <v>3.2</v>
      </c>
      <c r="G181" s="52">
        <f t="shared" si="8"/>
        <v>1.6</v>
      </c>
      <c r="H181" s="7"/>
      <c r="I181" s="2"/>
    </row>
    <row r="182" spans="1:10" x14ac:dyDescent="0.25">
      <c r="A182" s="8">
        <v>1.5</v>
      </c>
      <c r="B182" s="7" t="s">
        <v>43</v>
      </c>
      <c r="C182" s="7" t="s">
        <v>40</v>
      </c>
      <c r="D182" s="7">
        <v>2</v>
      </c>
      <c r="E182" s="7">
        <v>0.25</v>
      </c>
      <c r="F182" s="7">
        <v>3.2</v>
      </c>
      <c r="G182" s="52">
        <f t="shared" si="8"/>
        <v>1.6</v>
      </c>
      <c r="H182" s="7"/>
      <c r="I182" s="2"/>
    </row>
    <row r="183" spans="1:10" x14ac:dyDescent="0.25">
      <c r="A183" s="8"/>
      <c r="B183" s="7" t="s">
        <v>43</v>
      </c>
      <c r="C183" s="7" t="s">
        <v>40</v>
      </c>
      <c r="D183" s="7">
        <v>1</v>
      </c>
      <c r="E183" s="7">
        <v>0.3</v>
      </c>
      <c r="F183" s="7">
        <v>3.2</v>
      </c>
      <c r="G183" s="52">
        <f t="shared" si="8"/>
        <v>0.96</v>
      </c>
      <c r="H183" s="7"/>
      <c r="I183" s="2"/>
    </row>
    <row r="184" spans="1:10" x14ac:dyDescent="0.25">
      <c r="A184" s="8">
        <v>1.6</v>
      </c>
      <c r="B184" s="7" t="s">
        <v>42</v>
      </c>
      <c r="C184" s="7" t="s">
        <v>40</v>
      </c>
      <c r="D184" s="7">
        <v>2</v>
      </c>
      <c r="E184" s="7">
        <v>0.55000000000000004</v>
      </c>
      <c r="F184" s="7">
        <v>3.2</v>
      </c>
      <c r="G184" s="52">
        <f t="shared" si="8"/>
        <v>3.5200000000000005</v>
      </c>
      <c r="H184" s="56">
        <f>SUM(G165:G184)</f>
        <v>917.92</v>
      </c>
      <c r="I184" s="54"/>
    </row>
    <row r="185" spans="1:10" x14ac:dyDescent="0.25">
      <c r="A185" s="8"/>
      <c r="B185" s="7"/>
      <c r="C185" s="7"/>
      <c r="D185" s="7"/>
      <c r="E185" s="7"/>
      <c r="F185" s="7"/>
      <c r="G185" s="52"/>
      <c r="H185" s="56"/>
      <c r="I185" s="54"/>
    </row>
    <row r="186" spans="1:10" x14ac:dyDescent="0.25">
      <c r="A186" s="8"/>
      <c r="B186" s="6" t="s">
        <v>41</v>
      </c>
      <c r="C186" s="6" t="s">
        <v>40</v>
      </c>
      <c r="D186" s="7"/>
      <c r="E186" s="7"/>
      <c r="F186" s="7"/>
      <c r="G186" s="7"/>
      <c r="H186" s="55">
        <f>H113+H133+H162+H184</f>
        <v>4284.655999999999</v>
      </c>
      <c r="I186" s="54"/>
      <c r="J186" s="53"/>
    </row>
    <row r="187" spans="1:10" x14ac:dyDescent="0.25">
      <c r="A187" s="8"/>
      <c r="B187" s="6" t="s">
        <v>39</v>
      </c>
      <c r="C187" s="6" t="s">
        <v>4</v>
      </c>
      <c r="D187" s="7"/>
      <c r="E187" s="7"/>
      <c r="F187" s="7"/>
      <c r="G187" s="7"/>
      <c r="H187" s="9">
        <f>H186*10.76</f>
        <v>46102.898559999987</v>
      </c>
      <c r="I187" s="2"/>
    </row>
    <row r="188" spans="1:10" x14ac:dyDescent="0.25">
      <c r="A188" s="32"/>
      <c r="B188" s="18"/>
      <c r="C188" s="6"/>
      <c r="D188" s="7"/>
      <c r="E188" s="7"/>
      <c r="F188" s="7"/>
      <c r="G188" s="7"/>
      <c r="H188" s="9">
        <f>H187+H92+H71</f>
        <v>222836.80374499998</v>
      </c>
      <c r="I188" s="2"/>
    </row>
    <row r="189" spans="1:10" ht="18.75" x14ac:dyDescent="0.25">
      <c r="A189" s="60">
        <v>6</v>
      </c>
      <c r="B189" s="62" t="s">
        <v>65</v>
      </c>
      <c r="C189" s="7"/>
      <c r="D189" s="7"/>
      <c r="E189" s="7"/>
      <c r="F189" s="7"/>
      <c r="G189" s="7"/>
      <c r="H189" s="7"/>
      <c r="I189" s="2"/>
    </row>
    <row r="190" spans="1:10" ht="15.75" x14ac:dyDescent="0.25">
      <c r="A190" s="58">
        <v>1</v>
      </c>
      <c r="B190" s="6" t="s">
        <v>69</v>
      </c>
      <c r="C190" s="7"/>
      <c r="D190" s="7"/>
      <c r="E190" s="7"/>
      <c r="F190" s="7"/>
      <c r="G190" s="7"/>
      <c r="H190" s="7"/>
      <c r="I190" s="2"/>
    </row>
    <row r="191" spans="1:10" x14ac:dyDescent="0.25">
      <c r="A191" s="8">
        <v>1.1000000000000001</v>
      </c>
      <c r="B191" s="7" t="s">
        <v>68</v>
      </c>
      <c r="C191" s="7" t="s">
        <v>40</v>
      </c>
      <c r="D191" s="59">
        <v>29</v>
      </c>
      <c r="E191" s="61">
        <v>0.1</v>
      </c>
      <c r="F191" s="7">
        <v>11.25</v>
      </c>
      <c r="G191" s="52">
        <f>PRODUCT(D191:F191)</f>
        <v>32.625000000000007</v>
      </c>
      <c r="H191" s="7"/>
      <c r="I191" s="2"/>
    </row>
    <row r="192" spans="1:10" x14ac:dyDescent="0.25">
      <c r="A192" s="8">
        <v>1.2</v>
      </c>
      <c r="B192" s="7" t="s">
        <v>68</v>
      </c>
      <c r="C192" s="7" t="s">
        <v>40</v>
      </c>
      <c r="D192" s="59">
        <f>29*5</f>
        <v>145</v>
      </c>
      <c r="E192" s="61">
        <v>0.1</v>
      </c>
      <c r="F192" s="7">
        <v>2.65</v>
      </c>
      <c r="G192" s="52">
        <f>PRODUCT(D192:F192)</f>
        <v>38.424999999999997</v>
      </c>
      <c r="H192" s="7"/>
      <c r="I192" s="2"/>
    </row>
    <row r="193" spans="1:9" x14ac:dyDescent="0.25">
      <c r="A193" s="8">
        <v>1.3</v>
      </c>
      <c r="B193" s="7" t="s">
        <v>68</v>
      </c>
      <c r="C193" s="7" t="s">
        <v>40</v>
      </c>
      <c r="D193" s="59">
        <f>9*5</f>
        <v>45</v>
      </c>
      <c r="E193" s="61">
        <v>0.1</v>
      </c>
      <c r="F193" s="7">
        <v>2.5</v>
      </c>
      <c r="G193" s="52">
        <f>PRODUCT(D193:F193)</f>
        <v>11.25</v>
      </c>
      <c r="H193" s="9">
        <f>SUM(G191:G193)</f>
        <v>82.300000000000011</v>
      </c>
      <c r="I193" s="2"/>
    </row>
    <row r="194" spans="1:9" ht="20.25" customHeight="1" x14ac:dyDescent="0.25">
      <c r="A194" s="8"/>
      <c r="B194" s="7"/>
      <c r="C194" s="7"/>
      <c r="D194" s="6" t="s">
        <v>67</v>
      </c>
      <c r="E194" s="7"/>
      <c r="F194" s="7"/>
      <c r="G194" s="52"/>
      <c r="H194" s="9"/>
      <c r="I194" s="2"/>
    </row>
    <row r="195" spans="1:9" x14ac:dyDescent="0.25">
      <c r="A195" s="8"/>
      <c r="B195" s="6" t="s">
        <v>66</v>
      </c>
      <c r="C195" s="6" t="s">
        <v>40</v>
      </c>
      <c r="D195" s="7">
        <v>4</v>
      </c>
      <c r="E195" s="7"/>
      <c r="F195" s="7"/>
      <c r="G195" s="7"/>
      <c r="H195" s="55">
        <f>H193*D195</f>
        <v>329.20000000000005</v>
      </c>
      <c r="I195" s="2"/>
    </row>
    <row r="196" spans="1:9" x14ac:dyDescent="0.25">
      <c r="A196" s="8"/>
      <c r="B196" s="6" t="s">
        <v>39</v>
      </c>
      <c r="C196" s="6" t="s">
        <v>4</v>
      </c>
      <c r="D196" s="7"/>
      <c r="E196" s="7"/>
      <c r="F196" s="7"/>
      <c r="G196" s="7"/>
      <c r="H196" s="9">
        <f>H195*10.76</f>
        <v>3542.1920000000005</v>
      </c>
      <c r="I196" s="2"/>
    </row>
    <row r="197" spans="1:9" ht="18.75" x14ac:dyDescent="0.25">
      <c r="A197" s="60">
        <v>7</v>
      </c>
      <c r="B197" s="62" t="s">
        <v>65</v>
      </c>
      <c r="C197" s="7"/>
      <c r="D197" s="7"/>
      <c r="E197" s="7"/>
      <c r="F197" s="7"/>
      <c r="G197" s="52"/>
      <c r="H197" s="9"/>
      <c r="I197" s="2"/>
    </row>
    <row r="198" spans="1:9" ht="18" customHeight="1" x14ac:dyDescent="0.25">
      <c r="A198" s="58">
        <v>1</v>
      </c>
      <c r="B198" s="6" t="s">
        <v>64</v>
      </c>
      <c r="C198" s="7"/>
      <c r="D198" s="7"/>
      <c r="E198" s="7"/>
      <c r="F198" s="7"/>
      <c r="G198" s="52"/>
      <c r="H198" s="9"/>
      <c r="I198" s="2"/>
    </row>
    <row r="199" spans="1:9" ht="18.75" customHeight="1" x14ac:dyDescent="0.25">
      <c r="A199" s="8">
        <v>1.1000000000000001</v>
      </c>
      <c r="B199" s="7" t="s">
        <v>63</v>
      </c>
      <c r="C199" s="7" t="s">
        <v>40</v>
      </c>
      <c r="D199" s="59">
        <f>30</f>
        <v>30</v>
      </c>
      <c r="E199" s="61">
        <v>0.1</v>
      </c>
      <c r="F199" s="7">
        <v>2.6749999999999998</v>
      </c>
      <c r="G199" s="52">
        <f>PRODUCT(D199:F199)</f>
        <v>8.0249999999999986</v>
      </c>
      <c r="H199" s="9"/>
      <c r="I199" s="2"/>
    </row>
    <row r="200" spans="1:9" ht="19.5" customHeight="1" x14ac:dyDescent="0.25">
      <c r="A200" s="8">
        <v>1.2</v>
      </c>
      <c r="B200" s="7" t="s">
        <v>63</v>
      </c>
      <c r="C200" s="7" t="s">
        <v>40</v>
      </c>
      <c r="D200" s="59">
        <v>88</v>
      </c>
      <c r="E200" s="61">
        <v>0.1</v>
      </c>
      <c r="F200" s="7">
        <v>2.6749999999999998</v>
      </c>
      <c r="G200" s="52">
        <f>PRODUCT(D200:F200)</f>
        <v>23.54</v>
      </c>
      <c r="H200" s="9"/>
      <c r="I200" s="2"/>
    </row>
    <row r="201" spans="1:9" ht="21" customHeight="1" x14ac:dyDescent="0.25">
      <c r="A201" s="8">
        <v>1.3</v>
      </c>
      <c r="B201" s="7" t="s">
        <v>63</v>
      </c>
      <c r="C201" s="7" t="s">
        <v>40</v>
      </c>
      <c r="D201" s="59">
        <v>11</v>
      </c>
      <c r="E201" s="61">
        <v>0.1</v>
      </c>
      <c r="F201" s="7">
        <v>2.5</v>
      </c>
      <c r="G201" s="52">
        <f>PRODUCT(D201:F201)</f>
        <v>2.75</v>
      </c>
      <c r="H201" s="56"/>
      <c r="I201" s="2"/>
    </row>
    <row r="202" spans="1:9" ht="21" customHeight="1" x14ac:dyDescent="0.25">
      <c r="A202" s="10">
        <v>1.4</v>
      </c>
      <c r="B202" s="7" t="s">
        <v>63</v>
      </c>
      <c r="C202" s="7" t="s">
        <v>40</v>
      </c>
      <c r="D202" s="59">
        <v>38</v>
      </c>
      <c r="E202" s="61">
        <v>0.1</v>
      </c>
      <c r="F202" s="7">
        <v>1</v>
      </c>
      <c r="G202" s="52">
        <f>PRODUCT(D202:F202)</f>
        <v>3.8000000000000003</v>
      </c>
      <c r="H202" s="56">
        <f>SUM(G199:G202)</f>
        <v>38.114999999999995</v>
      </c>
      <c r="I202" s="2"/>
    </row>
    <row r="203" spans="1:9" ht="17.25" customHeight="1" x14ac:dyDescent="0.25">
      <c r="A203" s="58">
        <v>2</v>
      </c>
      <c r="B203" s="6" t="s">
        <v>62</v>
      </c>
      <c r="C203" s="7"/>
      <c r="D203" s="7"/>
      <c r="E203" s="7"/>
      <c r="F203" s="7"/>
      <c r="G203" s="52"/>
      <c r="H203" s="9"/>
      <c r="I203" s="2"/>
    </row>
    <row r="204" spans="1:9" ht="18" customHeight="1" x14ac:dyDescent="0.25">
      <c r="A204" s="8">
        <v>1.1000000000000001</v>
      </c>
      <c r="B204" s="7" t="s">
        <v>62</v>
      </c>
      <c r="C204" s="7" t="s">
        <v>40</v>
      </c>
      <c r="D204" s="59">
        <v>5</v>
      </c>
      <c r="E204" s="61">
        <v>0.15</v>
      </c>
      <c r="F204" s="7">
        <v>2.5</v>
      </c>
      <c r="G204" s="52">
        <f>PRODUCT(D204:F204)</f>
        <v>1.875</v>
      </c>
      <c r="H204" s="9"/>
      <c r="I204" s="2"/>
    </row>
    <row r="205" spans="1:9" ht="18" customHeight="1" x14ac:dyDescent="0.25">
      <c r="A205" s="8">
        <v>1.2</v>
      </c>
      <c r="B205" s="7" t="s">
        <v>62</v>
      </c>
      <c r="C205" s="7" t="s">
        <v>40</v>
      </c>
      <c r="D205" s="59">
        <v>5</v>
      </c>
      <c r="E205" s="61">
        <v>0.15</v>
      </c>
      <c r="F205" s="7">
        <v>2.5</v>
      </c>
      <c r="G205" s="52">
        <f>PRODUCT(D205:F205)</f>
        <v>1.875</v>
      </c>
      <c r="H205" s="9"/>
      <c r="I205" s="2"/>
    </row>
    <row r="206" spans="1:9" ht="18" customHeight="1" x14ac:dyDescent="0.25">
      <c r="A206" s="8">
        <v>1.3</v>
      </c>
      <c r="B206" s="7" t="s">
        <v>62</v>
      </c>
      <c r="C206" s="7" t="s">
        <v>40</v>
      </c>
      <c r="D206" s="59">
        <v>18</v>
      </c>
      <c r="E206" s="61">
        <v>0.15</v>
      </c>
      <c r="F206" s="7">
        <v>3.9</v>
      </c>
      <c r="G206" s="52">
        <f>PRODUCT(D206:F206)</f>
        <v>10.53</v>
      </c>
      <c r="H206" s="9">
        <f>SUM(G204:G206)</f>
        <v>14.28</v>
      </c>
      <c r="I206" s="2"/>
    </row>
    <row r="207" spans="1:9" ht="20.25" customHeight="1" x14ac:dyDescent="0.25">
      <c r="A207" s="58">
        <v>3</v>
      </c>
      <c r="B207" s="6" t="s">
        <v>61</v>
      </c>
      <c r="C207" s="7"/>
      <c r="D207" s="7"/>
      <c r="E207" s="7"/>
      <c r="F207" s="7"/>
      <c r="G207" s="7"/>
      <c r="H207" s="9"/>
      <c r="I207" s="2"/>
    </row>
    <row r="208" spans="1:9" x14ac:dyDescent="0.25">
      <c r="A208" s="8">
        <v>1.1000000000000001</v>
      </c>
      <c r="B208" s="7" t="s">
        <v>61</v>
      </c>
      <c r="C208" s="7" t="s">
        <v>40</v>
      </c>
      <c r="D208" s="59">
        <v>7</v>
      </c>
      <c r="E208" s="61">
        <v>0.15</v>
      </c>
      <c r="F208" s="7">
        <v>3.91</v>
      </c>
      <c r="G208" s="52">
        <f>PRODUCT(D208:F208)</f>
        <v>4.1055000000000001</v>
      </c>
      <c r="H208" s="9">
        <f>G208</f>
        <v>4.1055000000000001</v>
      </c>
      <c r="I208" s="2"/>
    </row>
    <row r="209" spans="1:9" ht="18" customHeight="1" x14ac:dyDescent="0.25">
      <c r="A209" s="10"/>
      <c r="B209" s="6" t="s">
        <v>41</v>
      </c>
      <c r="C209" s="6" t="s">
        <v>40</v>
      </c>
      <c r="D209" s="7"/>
      <c r="E209" s="7"/>
      <c r="F209" s="7"/>
      <c r="G209" s="7"/>
      <c r="H209" s="55">
        <f>H202+H206+H208</f>
        <v>56.500499999999995</v>
      </c>
      <c r="I209" s="2"/>
    </row>
    <row r="210" spans="1:9" ht="19.5" customHeight="1" x14ac:dyDescent="0.25">
      <c r="A210" s="10"/>
      <c r="B210" s="6" t="s">
        <v>127</v>
      </c>
      <c r="C210" s="6" t="s">
        <v>4</v>
      </c>
      <c r="D210" s="7"/>
      <c r="E210" s="7"/>
      <c r="F210" s="7"/>
      <c r="G210" s="7"/>
      <c r="H210" s="9">
        <f>H209*10.76</f>
        <v>607.94537999999989</v>
      </c>
      <c r="I210" s="2"/>
    </row>
    <row r="211" spans="1:9" x14ac:dyDescent="0.25">
      <c r="A211" s="8"/>
      <c r="B211" s="6" t="s">
        <v>39</v>
      </c>
      <c r="C211" s="6" t="s">
        <v>4</v>
      </c>
      <c r="D211" s="7"/>
      <c r="E211" s="7"/>
      <c r="F211" s="7"/>
      <c r="G211" s="52"/>
      <c r="H211" s="9">
        <f>H210+H196</f>
        <v>4150.1373800000001</v>
      </c>
      <c r="I211" s="2"/>
    </row>
    <row r="212" spans="1:9" ht="15.75" thickBot="1" x14ac:dyDescent="0.3">
      <c r="A212" s="51"/>
      <c r="B212" s="49"/>
      <c r="C212" s="49"/>
      <c r="D212" s="49"/>
      <c r="E212" s="49"/>
      <c r="F212" s="49"/>
      <c r="G212" s="50"/>
      <c r="H212" s="49"/>
      <c r="I212" s="48"/>
    </row>
  </sheetData>
  <mergeCells count="10">
    <mergeCell ref="A1:I1"/>
    <mergeCell ref="A2:I2"/>
    <mergeCell ref="G3:G4"/>
    <mergeCell ref="H3:H4"/>
    <mergeCell ref="I3:I4"/>
    <mergeCell ref="E3:F3"/>
    <mergeCell ref="A3:A4"/>
    <mergeCell ref="B3:B4"/>
    <mergeCell ref="C3:C4"/>
    <mergeCell ref="D3:D4"/>
  </mergeCells>
  <pageMargins left="0.2" right="0.2" top="0.75" bottom="0.75" header="0.3" footer="0.3"/>
  <pageSetup scale="60" orientation="portrait" horizontalDpi="0" verticalDpi="0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view="pageBreakPreview" zoomScale="60" workbookViewId="0">
      <selection activeCell="E7" sqref="E7"/>
    </sheetView>
  </sheetViews>
  <sheetFormatPr defaultRowHeight="15" x14ac:dyDescent="0.25"/>
  <cols>
    <col min="1" max="1" width="10.140625" customWidth="1"/>
    <col min="2" max="2" width="22.42578125" customWidth="1"/>
    <col min="3" max="3" width="13.42578125" customWidth="1"/>
    <col min="4" max="4" width="18" customWidth="1"/>
    <col min="5" max="5" width="16.85546875" customWidth="1"/>
    <col min="6" max="6" width="13.7109375" customWidth="1"/>
    <col min="7" max="7" width="18.42578125" customWidth="1"/>
    <col min="8" max="8" width="16.28515625" customWidth="1"/>
    <col min="9" max="9" width="14.7109375" customWidth="1"/>
    <col min="11" max="11" width="9.5703125" bestFit="1" customWidth="1"/>
  </cols>
  <sheetData>
    <row r="1" spans="1:13" ht="29.25" customHeight="1" thickBot="1" x14ac:dyDescent="0.35">
      <c r="A1" s="132" t="s">
        <v>5</v>
      </c>
      <c r="B1" s="133"/>
      <c r="C1" s="133"/>
      <c r="D1" s="133"/>
      <c r="E1" s="133"/>
      <c r="F1" s="133"/>
      <c r="G1" s="133"/>
      <c r="H1" s="133"/>
      <c r="I1" s="134"/>
    </row>
    <row r="2" spans="1:13" ht="29.25" customHeight="1" thickBot="1" x14ac:dyDescent="0.35">
      <c r="A2" s="132" t="s">
        <v>6</v>
      </c>
      <c r="B2" s="133"/>
      <c r="C2" s="133"/>
      <c r="D2" s="133"/>
      <c r="E2" s="133"/>
      <c r="F2" s="133"/>
      <c r="G2" s="133"/>
      <c r="H2" s="133"/>
      <c r="I2" s="134"/>
    </row>
    <row r="3" spans="1:13" ht="65.25" customHeight="1" thickBot="1" x14ac:dyDescent="0.35">
      <c r="A3" s="3" t="s">
        <v>0</v>
      </c>
      <c r="B3" s="3" t="s">
        <v>1</v>
      </c>
      <c r="C3" s="3" t="s">
        <v>2</v>
      </c>
      <c r="D3" s="23" t="s">
        <v>11</v>
      </c>
      <c r="E3" s="23" t="s">
        <v>10</v>
      </c>
      <c r="F3" s="23" t="s">
        <v>12</v>
      </c>
      <c r="G3" s="23" t="s">
        <v>30</v>
      </c>
      <c r="H3" s="23" t="s">
        <v>13</v>
      </c>
      <c r="I3" s="3" t="s">
        <v>3</v>
      </c>
    </row>
    <row r="4" spans="1:13" ht="79.5" customHeight="1" x14ac:dyDescent="0.25">
      <c r="A4" s="17">
        <v>1</v>
      </c>
      <c r="B4" s="74" t="s">
        <v>7</v>
      </c>
      <c r="C4" s="18" t="s">
        <v>4</v>
      </c>
      <c r="D4" s="18">
        <v>239516</v>
      </c>
      <c r="E4" s="83">
        <f>ABSTRACT!D5</f>
        <v>222836.80374499998</v>
      </c>
      <c r="F4" s="18">
        <f>ABSTRACT!D19</f>
        <v>221198.96</v>
      </c>
      <c r="G4" s="83">
        <f>E4-F4</f>
        <v>1637.843744999991</v>
      </c>
      <c r="H4" s="24"/>
      <c r="I4" s="19"/>
      <c r="K4" s="53"/>
      <c r="M4" s="53"/>
    </row>
    <row r="5" spans="1:13" ht="92.25" customHeight="1" x14ac:dyDescent="0.25">
      <c r="A5" s="5">
        <v>2</v>
      </c>
      <c r="B5" s="75" t="s">
        <v>8</v>
      </c>
      <c r="C5" s="18" t="s">
        <v>4</v>
      </c>
      <c r="D5" s="6">
        <v>24185</v>
      </c>
      <c r="E5" s="9">
        <f>ABSTRACT!D6</f>
        <v>24244.339463999997</v>
      </c>
      <c r="F5" s="6">
        <f>ABSTRACT!D20</f>
        <v>24089.49</v>
      </c>
      <c r="G5" s="83">
        <f>E5-F5</f>
        <v>154.84946399999535</v>
      </c>
      <c r="H5" s="24"/>
      <c r="I5" s="21"/>
      <c r="K5" s="53"/>
      <c r="M5" s="53"/>
    </row>
    <row r="6" spans="1:13" ht="81" customHeight="1" x14ac:dyDescent="0.25">
      <c r="A6" s="5">
        <v>3</v>
      </c>
      <c r="B6" s="75" t="s">
        <v>9</v>
      </c>
      <c r="C6" s="18" t="s">
        <v>4</v>
      </c>
      <c r="D6" s="6">
        <v>12804</v>
      </c>
      <c r="E6" s="9">
        <f>ABSTRACT!D7</f>
        <v>12361.3032</v>
      </c>
      <c r="F6" s="6">
        <f>ABSTRACT!D21</f>
        <v>12166.82</v>
      </c>
      <c r="G6" s="83">
        <f>E6-F6</f>
        <v>194.48320000000058</v>
      </c>
      <c r="H6" s="24"/>
      <c r="I6" s="21"/>
    </row>
    <row r="7" spans="1:13" ht="64.5" customHeight="1" x14ac:dyDescent="0.25">
      <c r="A7" s="58">
        <v>4</v>
      </c>
      <c r="B7" s="75" t="s">
        <v>118</v>
      </c>
      <c r="C7" s="72" t="s">
        <v>4</v>
      </c>
      <c r="D7" s="22"/>
      <c r="E7" s="77">
        <f>ABSTRACT!D8</f>
        <v>4150.1373800000001</v>
      </c>
      <c r="F7" s="77">
        <f>ABSTRACT!D22</f>
        <v>6938.2520000000004</v>
      </c>
      <c r="G7" s="83">
        <f>E7-F7</f>
        <v>-2788.1146200000003</v>
      </c>
      <c r="H7" s="25"/>
      <c r="I7" s="13"/>
    </row>
    <row r="8" spans="1:13" ht="43.5" customHeight="1" x14ac:dyDescent="0.25">
      <c r="A8" s="11"/>
      <c r="B8" s="12"/>
      <c r="C8" s="12"/>
      <c r="D8" s="6">
        <f>SUM(D4:D7)</f>
        <v>276505</v>
      </c>
      <c r="E8" s="9">
        <f>SUM(E4:E7)</f>
        <v>263592.58378899994</v>
      </c>
      <c r="F8" s="6"/>
      <c r="G8" s="83">
        <f>SUM(G4:G7)</f>
        <v>-800.93821100001333</v>
      </c>
      <c r="H8" s="26"/>
      <c r="I8" s="13"/>
    </row>
    <row r="9" spans="1:13" ht="36" customHeight="1" x14ac:dyDescent="0.25">
      <c r="A9" s="11"/>
      <c r="B9" s="12"/>
      <c r="C9" s="12"/>
      <c r="D9" s="12"/>
      <c r="E9" s="12"/>
      <c r="F9" s="12"/>
      <c r="G9" s="12"/>
      <c r="H9" s="26"/>
      <c r="I9" s="13"/>
    </row>
    <row r="10" spans="1:13" ht="40.5" customHeight="1" thickBot="1" x14ac:dyDescent="0.3">
      <c r="A10" s="14"/>
      <c r="B10" s="15"/>
      <c r="C10" s="15"/>
      <c r="D10" s="15"/>
      <c r="E10" s="15"/>
      <c r="F10" s="15"/>
      <c r="G10" s="15"/>
      <c r="H10" s="27"/>
      <c r="I10" s="16"/>
    </row>
    <row r="13" spans="1:13" ht="26.25" customHeight="1" x14ac:dyDescent="0.25">
      <c r="D13" s="30"/>
      <c r="E13" s="43"/>
      <c r="F13" s="43"/>
      <c r="G13" s="43">
        <v>6938.25</v>
      </c>
    </row>
    <row r="14" spans="1:13" x14ac:dyDescent="0.25">
      <c r="D14" s="43"/>
      <c r="E14" s="30"/>
      <c r="F14" s="30"/>
      <c r="G14" s="30"/>
    </row>
    <row r="15" spans="1:13" x14ac:dyDescent="0.25">
      <c r="D15" s="43"/>
      <c r="E15" s="30"/>
      <c r="F15" s="30"/>
      <c r="G15" s="30"/>
    </row>
    <row r="16" spans="1:13" x14ac:dyDescent="0.25">
      <c r="D16" s="43"/>
      <c r="E16" s="30"/>
      <c r="F16" s="30"/>
      <c r="G16" s="30"/>
    </row>
    <row r="17" spans="4:7" x14ac:dyDescent="0.25">
      <c r="D17" s="43"/>
      <c r="E17" s="30"/>
      <c r="F17" s="30"/>
      <c r="G17" s="30"/>
    </row>
    <row r="18" spans="4:7" x14ac:dyDescent="0.25">
      <c r="D18" s="43"/>
      <c r="E18" s="38"/>
      <c r="F18" s="38"/>
      <c r="G18" s="38"/>
    </row>
    <row r="19" spans="4:7" x14ac:dyDescent="0.25">
      <c r="D19" s="43"/>
      <c r="E19" s="30"/>
      <c r="F19" s="30"/>
      <c r="G19" s="30"/>
    </row>
    <row r="20" spans="4:7" x14ac:dyDescent="0.25">
      <c r="D20" s="43"/>
      <c r="F20" s="38"/>
      <c r="G20" s="38"/>
    </row>
  </sheetData>
  <mergeCells count="2">
    <mergeCell ref="A1:I1"/>
    <mergeCell ref="A2:I2"/>
  </mergeCells>
  <pageMargins left="0.7" right="0.7" top="0.75" bottom="0.75" header="0.3" footer="0.3"/>
  <pageSetup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0"/>
  <sheetViews>
    <sheetView tabSelected="1" view="pageBreakPreview" zoomScale="60" zoomScaleNormal="100" workbookViewId="0">
      <pane ySplit="4" topLeftCell="A5" activePane="bottomLeft" state="frozen"/>
      <selection pane="bottomLeft" activeCell="P14" sqref="P14"/>
    </sheetView>
  </sheetViews>
  <sheetFormatPr defaultRowHeight="15" x14ac:dyDescent="0.25"/>
  <cols>
    <col min="1" max="1" width="5.85546875" customWidth="1"/>
    <col min="2" max="2" width="8.85546875" customWidth="1"/>
    <col min="3" max="3" width="13.140625" customWidth="1"/>
    <col min="4" max="4" width="11.85546875" customWidth="1"/>
    <col min="5" max="7" width="16" style="29" customWidth="1"/>
    <col min="8" max="8" width="10.42578125" customWidth="1"/>
    <col min="13" max="13" width="11.28515625" customWidth="1"/>
    <col min="14" max="14" width="10.7109375" customWidth="1"/>
  </cols>
  <sheetData>
    <row r="1" spans="1:12" ht="21.75" thickBot="1" x14ac:dyDescent="0.4">
      <c r="A1" s="161" t="s">
        <v>14</v>
      </c>
      <c r="B1" s="162"/>
      <c r="C1" s="162"/>
      <c r="D1" s="162"/>
      <c r="E1" s="162"/>
      <c r="F1" s="162"/>
      <c r="G1" s="162"/>
      <c r="H1" s="163"/>
    </row>
    <row r="2" spans="1:12" ht="23.25" customHeight="1" thickBot="1" x14ac:dyDescent="0.4">
      <c r="A2" s="164" t="s">
        <v>15</v>
      </c>
      <c r="B2" s="164"/>
      <c r="C2" s="164"/>
      <c r="D2" s="164"/>
      <c r="E2" s="164"/>
      <c r="F2" s="164"/>
      <c r="G2" s="164"/>
      <c r="H2" s="164"/>
    </row>
    <row r="3" spans="1:12" ht="15.75" customHeight="1" thickBot="1" x14ac:dyDescent="0.3">
      <c r="A3" s="165" t="s">
        <v>0</v>
      </c>
      <c r="B3" s="166" t="s">
        <v>16</v>
      </c>
      <c r="C3" s="166" t="s">
        <v>17</v>
      </c>
      <c r="D3" s="167" t="s">
        <v>2</v>
      </c>
      <c r="E3" s="168" t="s">
        <v>18</v>
      </c>
      <c r="F3" s="169"/>
      <c r="G3" s="169"/>
      <c r="H3" s="165" t="s">
        <v>3</v>
      </c>
      <c r="K3">
        <v>275</v>
      </c>
      <c r="L3">
        <v>13.5</v>
      </c>
    </row>
    <row r="4" spans="1:12" ht="52.5" customHeight="1" thickBot="1" x14ac:dyDescent="0.3">
      <c r="A4" s="165"/>
      <c r="B4" s="166"/>
      <c r="C4" s="166"/>
      <c r="D4" s="167"/>
      <c r="E4" s="28" t="s">
        <v>19</v>
      </c>
      <c r="F4" s="28" t="s">
        <v>20</v>
      </c>
      <c r="G4" s="28" t="s">
        <v>21</v>
      </c>
      <c r="H4" s="165"/>
    </row>
    <row r="5" spans="1:12" ht="17.25" customHeight="1" x14ac:dyDescent="0.25">
      <c r="A5" s="10">
        <v>1</v>
      </c>
      <c r="B5" s="31">
        <v>7</v>
      </c>
      <c r="C5" s="32" t="s">
        <v>22</v>
      </c>
      <c r="D5" s="32" t="s">
        <v>4</v>
      </c>
      <c r="E5" s="4"/>
      <c r="F5" s="4">
        <v>599.41999999999996</v>
      </c>
      <c r="G5" s="4"/>
      <c r="H5" s="1"/>
      <c r="J5">
        <f>F5*137.5</f>
        <v>82420.25</v>
      </c>
    </row>
    <row r="6" spans="1:12" x14ac:dyDescent="0.25">
      <c r="A6" s="8">
        <v>2</v>
      </c>
      <c r="B6" s="33">
        <v>8</v>
      </c>
      <c r="C6" s="34" t="s">
        <v>22</v>
      </c>
      <c r="D6" s="34" t="s">
        <v>4</v>
      </c>
      <c r="E6" s="7"/>
      <c r="F6" s="7"/>
      <c r="G6" s="7">
        <v>399.61</v>
      </c>
      <c r="H6" s="2"/>
      <c r="J6">
        <f>G6*137.5</f>
        <v>54946.375</v>
      </c>
    </row>
    <row r="7" spans="1:12" x14ac:dyDescent="0.25">
      <c r="A7" s="8">
        <v>3</v>
      </c>
      <c r="B7" s="33">
        <v>12</v>
      </c>
      <c r="C7" s="34" t="s">
        <v>22</v>
      </c>
      <c r="D7" s="34" t="s">
        <v>4</v>
      </c>
      <c r="E7" s="7">
        <f>4210+1636</f>
        <v>5846</v>
      </c>
      <c r="F7" s="7"/>
      <c r="G7" s="7"/>
      <c r="H7" s="2"/>
      <c r="J7">
        <f>E7*275</f>
        <v>1607650</v>
      </c>
    </row>
    <row r="8" spans="1:12" x14ac:dyDescent="0.25">
      <c r="A8" s="8">
        <v>4</v>
      </c>
      <c r="B8" s="33">
        <v>13</v>
      </c>
      <c r="C8" s="34" t="s">
        <v>22</v>
      </c>
      <c r="D8" s="34" t="s">
        <v>4</v>
      </c>
      <c r="E8" s="7"/>
      <c r="F8" s="7">
        <v>799</v>
      </c>
      <c r="G8" s="7">
        <v>345.8</v>
      </c>
      <c r="H8" s="2"/>
      <c r="J8">
        <f>F8+G8*137.5</f>
        <v>48346.5</v>
      </c>
    </row>
    <row r="9" spans="1:12" x14ac:dyDescent="0.25">
      <c r="A9" s="8">
        <v>5</v>
      </c>
      <c r="B9" s="33">
        <v>16</v>
      </c>
      <c r="C9" s="34" t="s">
        <v>22</v>
      </c>
      <c r="D9" s="34" t="s">
        <v>4</v>
      </c>
      <c r="E9" s="7"/>
      <c r="F9" s="7">
        <f>799+41.17</f>
        <v>840.17</v>
      </c>
      <c r="G9" s="7">
        <f>532+20.58</f>
        <v>552.58000000000004</v>
      </c>
      <c r="H9" s="2"/>
      <c r="J9">
        <f>F9+G9*137.5</f>
        <v>76819.92</v>
      </c>
    </row>
    <row r="10" spans="1:12" x14ac:dyDescent="0.25">
      <c r="A10" s="8">
        <v>6</v>
      </c>
      <c r="B10" s="33">
        <v>17</v>
      </c>
      <c r="C10" s="34" t="s">
        <v>22</v>
      </c>
      <c r="D10" s="34" t="s">
        <v>4</v>
      </c>
      <c r="E10" s="7">
        <f>4210+1145.2</f>
        <v>5355.2</v>
      </c>
      <c r="F10" s="7"/>
      <c r="G10" s="7"/>
      <c r="H10" s="2"/>
      <c r="J10">
        <f>E10*275</f>
        <v>1472680</v>
      </c>
    </row>
    <row r="11" spans="1:12" x14ac:dyDescent="0.25">
      <c r="A11" s="8">
        <v>7</v>
      </c>
      <c r="B11" s="33">
        <v>19</v>
      </c>
      <c r="C11" s="34" t="s">
        <v>22</v>
      </c>
      <c r="D11" s="34" t="s">
        <v>4</v>
      </c>
      <c r="E11" s="7">
        <v>7958</v>
      </c>
      <c r="F11" s="7"/>
      <c r="G11" s="7"/>
      <c r="H11" s="2"/>
      <c r="J11">
        <f>E11*275</f>
        <v>2188450</v>
      </c>
    </row>
    <row r="12" spans="1:12" x14ac:dyDescent="0.25">
      <c r="A12" s="8">
        <v>8</v>
      </c>
      <c r="B12" s="33">
        <v>20</v>
      </c>
      <c r="C12" s="34" t="s">
        <v>22</v>
      </c>
      <c r="D12" s="34" t="s">
        <v>4</v>
      </c>
      <c r="E12" s="7"/>
      <c r="F12" s="7">
        <v>888.95</v>
      </c>
      <c r="G12" s="7">
        <v>566.29999999999995</v>
      </c>
      <c r="H12" s="2"/>
      <c r="J12">
        <f>F12+G12*137.5</f>
        <v>78755.199999999997</v>
      </c>
    </row>
    <row r="13" spans="1:12" x14ac:dyDescent="0.25">
      <c r="A13" s="8">
        <v>9</v>
      </c>
      <c r="B13" s="33">
        <v>21</v>
      </c>
      <c r="C13" s="34" t="s">
        <v>22</v>
      </c>
      <c r="D13" s="34" t="s">
        <v>4</v>
      </c>
      <c r="E13" s="7"/>
      <c r="F13" s="7">
        <v>836.9</v>
      </c>
      <c r="G13" s="7"/>
      <c r="H13" s="2"/>
      <c r="J13">
        <f>F13*137.5</f>
        <v>115073.75</v>
      </c>
    </row>
    <row r="14" spans="1:12" x14ac:dyDescent="0.25">
      <c r="A14" s="85">
        <v>10</v>
      </c>
      <c r="B14" s="86">
        <v>22</v>
      </c>
      <c r="C14" s="86" t="s">
        <v>22</v>
      </c>
      <c r="D14" s="86" t="s">
        <v>4</v>
      </c>
      <c r="E14" s="84">
        <v>7802.2</v>
      </c>
      <c r="F14" s="84"/>
      <c r="G14" s="84"/>
      <c r="H14" s="87"/>
      <c r="J14">
        <f>E14*275</f>
        <v>2145605</v>
      </c>
    </row>
    <row r="15" spans="1:12" x14ac:dyDescent="0.25">
      <c r="A15" s="8">
        <v>11</v>
      </c>
      <c r="B15" s="33">
        <v>23</v>
      </c>
      <c r="C15" s="34" t="s">
        <v>23</v>
      </c>
      <c r="D15" s="34" t="s">
        <v>4</v>
      </c>
      <c r="E15" s="7"/>
      <c r="F15" s="7">
        <f>799+51.4+38.55</f>
        <v>888.94999999999993</v>
      </c>
      <c r="G15" s="7">
        <f>532+34.3</f>
        <v>566.29999999999995</v>
      </c>
      <c r="H15" s="2"/>
      <c r="K15">
        <f>SUM(J5:J14)</f>
        <v>7870746.9950000001</v>
      </c>
    </row>
    <row r="16" spans="1:12" x14ac:dyDescent="0.25">
      <c r="A16" s="8">
        <v>12</v>
      </c>
      <c r="B16" s="33">
        <v>25</v>
      </c>
      <c r="C16" s="34" t="s">
        <v>23</v>
      </c>
      <c r="D16" s="34" t="s">
        <v>4</v>
      </c>
      <c r="E16" s="7"/>
      <c r="F16" s="7">
        <f>799+51.4+38.55</f>
        <v>888.94999999999993</v>
      </c>
      <c r="G16" s="7">
        <f>532+34.3</f>
        <v>566.29999999999995</v>
      </c>
      <c r="H16" s="2"/>
    </row>
    <row r="17" spans="1:8" x14ac:dyDescent="0.25">
      <c r="A17" s="8">
        <v>13</v>
      </c>
      <c r="B17" s="33">
        <v>26</v>
      </c>
      <c r="C17" s="34" t="s">
        <v>23</v>
      </c>
      <c r="D17" s="34" t="s">
        <v>4</v>
      </c>
      <c r="E17" s="7"/>
      <c r="F17" s="7">
        <v>878</v>
      </c>
      <c r="G17" s="7">
        <v>582.20000000000005</v>
      </c>
      <c r="H17" s="2"/>
    </row>
    <row r="18" spans="1:8" x14ac:dyDescent="0.25">
      <c r="A18" s="8">
        <v>14</v>
      </c>
      <c r="B18" s="33">
        <v>27</v>
      </c>
      <c r="C18" s="34" t="s">
        <v>23</v>
      </c>
      <c r="D18" s="34" t="s">
        <v>4</v>
      </c>
      <c r="E18" s="7">
        <f>4841.5+569.8+2658.5+66</f>
        <v>8135.8</v>
      </c>
      <c r="F18" s="7"/>
      <c r="G18" s="7"/>
      <c r="H18" s="2"/>
    </row>
    <row r="19" spans="1:8" x14ac:dyDescent="0.25">
      <c r="A19" s="8">
        <v>15</v>
      </c>
      <c r="B19" s="33">
        <v>28</v>
      </c>
      <c r="C19" s="34" t="s">
        <v>23</v>
      </c>
      <c r="D19" s="34" t="s">
        <v>4</v>
      </c>
      <c r="E19" s="7">
        <f>2273.4+447.7+1842.8+1390.6+224.4</f>
        <v>6178.9</v>
      </c>
      <c r="F19" s="7"/>
      <c r="G19" s="7"/>
      <c r="H19" s="2"/>
    </row>
    <row r="20" spans="1:8" x14ac:dyDescent="0.25">
      <c r="A20" s="8">
        <v>16</v>
      </c>
      <c r="B20" s="33">
        <v>29</v>
      </c>
      <c r="C20" s="34" t="s">
        <v>23</v>
      </c>
      <c r="D20" s="34" t="s">
        <v>4</v>
      </c>
      <c r="E20" s="7"/>
      <c r="F20" s="7">
        <f>559.3+15.98+7.99+15.98+7.99</f>
        <v>607.24</v>
      </c>
      <c r="G20" s="7">
        <v>133</v>
      </c>
      <c r="H20" s="2"/>
    </row>
    <row r="21" spans="1:8" x14ac:dyDescent="0.25">
      <c r="A21" s="8">
        <v>17</v>
      </c>
      <c r="B21" s="33">
        <v>30</v>
      </c>
      <c r="C21" s="34" t="s">
        <v>23</v>
      </c>
      <c r="D21" s="34" t="s">
        <v>4</v>
      </c>
      <c r="E21" s="7">
        <f>4799.4+651.2+2638+59.25+132</f>
        <v>8279.8499999999985</v>
      </c>
      <c r="F21" s="7"/>
      <c r="G21" s="7"/>
      <c r="H21" s="2"/>
    </row>
    <row r="22" spans="1:8" x14ac:dyDescent="0.25">
      <c r="A22" s="8">
        <v>18</v>
      </c>
      <c r="B22" s="33">
        <v>33</v>
      </c>
      <c r="C22" s="34" t="s">
        <v>23</v>
      </c>
      <c r="D22" s="34" t="s">
        <v>4</v>
      </c>
      <c r="E22" s="7"/>
      <c r="F22" s="7">
        <f>559.3+51.4+31.96+7.99+7.99</f>
        <v>658.64</v>
      </c>
      <c r="G22" s="7">
        <f>532+34.3</f>
        <v>566.29999999999995</v>
      </c>
      <c r="H22" s="2"/>
    </row>
    <row r="23" spans="1:8" x14ac:dyDescent="0.25">
      <c r="A23" s="8">
        <v>19</v>
      </c>
      <c r="B23" s="33">
        <v>34</v>
      </c>
      <c r="C23" s="34" t="s">
        <v>23</v>
      </c>
      <c r="D23" s="34" t="s">
        <v>4</v>
      </c>
      <c r="E23" s="7">
        <f>4883.6+651.2+2576.7+158+369.6</f>
        <v>8639.1</v>
      </c>
      <c r="F23" s="7"/>
      <c r="G23" s="7"/>
      <c r="H23" s="2"/>
    </row>
    <row r="24" spans="1:8" x14ac:dyDescent="0.25">
      <c r="A24" s="85">
        <v>20</v>
      </c>
      <c r="B24" s="86">
        <v>37</v>
      </c>
      <c r="C24" s="86" t="s">
        <v>23</v>
      </c>
      <c r="D24" s="86" t="s">
        <v>4</v>
      </c>
      <c r="E24" s="84"/>
      <c r="F24" s="84">
        <f>399.5+35.98</f>
        <v>435.48</v>
      </c>
      <c r="G24" s="84">
        <f>212.8</f>
        <v>212.8</v>
      </c>
      <c r="H24" s="87"/>
    </row>
    <row r="25" spans="1:8" x14ac:dyDescent="0.25">
      <c r="A25" s="8">
        <v>21</v>
      </c>
      <c r="B25" s="33">
        <v>39</v>
      </c>
      <c r="C25" s="34" t="s">
        <v>24</v>
      </c>
      <c r="D25" s="34" t="s">
        <v>4</v>
      </c>
      <c r="E25" s="7"/>
      <c r="F25" s="7">
        <f>399.5+154.2+51.4</f>
        <v>605.1</v>
      </c>
      <c r="G25" s="7">
        <f>51.45</f>
        <v>51.45</v>
      </c>
      <c r="H25" s="2"/>
    </row>
    <row r="26" spans="1:8" x14ac:dyDescent="0.25">
      <c r="A26" s="8">
        <v>22</v>
      </c>
      <c r="B26" s="33">
        <v>40</v>
      </c>
      <c r="C26" s="34" t="s">
        <v>24</v>
      </c>
      <c r="D26" s="34" t="s">
        <v>4</v>
      </c>
      <c r="E26" s="7">
        <f>4841.5+610.5+1063.4+256.75+1689.6</f>
        <v>8461.75</v>
      </c>
      <c r="F26" s="7"/>
      <c r="G26" s="7"/>
      <c r="H26" s="2"/>
    </row>
    <row r="27" spans="1:8" x14ac:dyDescent="0.25">
      <c r="A27" s="8">
        <v>23</v>
      </c>
      <c r="B27" s="33">
        <v>41</v>
      </c>
      <c r="C27" s="34" t="s">
        <v>24</v>
      </c>
      <c r="D27" s="34" t="s">
        <v>4</v>
      </c>
      <c r="E27" s="7"/>
      <c r="F27" s="7">
        <f>359.55+51.4+77.1</f>
        <v>488.04999999999995</v>
      </c>
      <c r="G27" s="7">
        <f>239.4+102.9</f>
        <v>342.3</v>
      </c>
      <c r="H27" s="2"/>
    </row>
    <row r="28" spans="1:8" x14ac:dyDescent="0.25">
      <c r="A28" s="8">
        <v>24</v>
      </c>
      <c r="B28" s="33">
        <v>42</v>
      </c>
      <c r="C28" s="34" t="s">
        <v>24</v>
      </c>
      <c r="D28" s="34" t="s">
        <v>4</v>
      </c>
      <c r="E28" s="7">
        <f>4799.4+651.2+2699.4</f>
        <v>8150</v>
      </c>
      <c r="F28" s="7"/>
      <c r="G28" s="7"/>
      <c r="H28" s="2"/>
    </row>
    <row r="29" spans="1:8" x14ac:dyDescent="0.25">
      <c r="A29" s="85">
        <v>25</v>
      </c>
      <c r="B29" s="86">
        <v>44</v>
      </c>
      <c r="C29" s="86" t="s">
        <v>24</v>
      </c>
      <c r="D29" s="86" t="s">
        <v>4</v>
      </c>
      <c r="E29" s="84"/>
      <c r="F29" s="84">
        <f>479.4</f>
        <v>479.4</v>
      </c>
      <c r="G29" s="84">
        <f>532+68.6</f>
        <v>600.6</v>
      </c>
      <c r="H29" s="87"/>
    </row>
    <row r="30" spans="1:8" x14ac:dyDescent="0.25">
      <c r="A30" s="8">
        <v>26</v>
      </c>
      <c r="B30" s="34">
        <v>47</v>
      </c>
      <c r="C30" s="34" t="s">
        <v>25</v>
      </c>
      <c r="D30" s="34" t="s">
        <v>4</v>
      </c>
      <c r="E30" s="7">
        <f>2147.1+1897+529.1+1349.7</f>
        <v>5922.9</v>
      </c>
      <c r="F30" s="7"/>
      <c r="G30" s="7"/>
      <c r="H30" s="2"/>
    </row>
    <row r="31" spans="1:8" x14ac:dyDescent="0.25">
      <c r="A31" s="8">
        <v>27</v>
      </c>
      <c r="B31" s="34">
        <v>48</v>
      </c>
      <c r="C31" s="34" t="s">
        <v>25</v>
      </c>
      <c r="D31" s="34" t="s">
        <v>4</v>
      </c>
      <c r="E31" s="7"/>
      <c r="F31" s="7">
        <f>159.8+31.96+15.42+7.99+10.28+10.28+7.99+15.42</f>
        <v>259.14000000000004</v>
      </c>
      <c r="G31" s="7">
        <f>505.4+85.75+41.12</f>
        <v>632.27</v>
      </c>
      <c r="H31" s="2"/>
    </row>
    <row r="32" spans="1:8" x14ac:dyDescent="0.25">
      <c r="A32" s="8">
        <v>28</v>
      </c>
      <c r="B32" s="34">
        <v>49</v>
      </c>
      <c r="C32" s="34" t="s">
        <v>25</v>
      </c>
      <c r="D32" s="34" t="s">
        <v>4</v>
      </c>
      <c r="E32" s="7">
        <f>1864+2709.42+466</f>
        <v>5039.42</v>
      </c>
      <c r="F32" s="7"/>
      <c r="G32" s="7"/>
      <c r="H32" s="2"/>
    </row>
    <row r="33" spans="1:13" x14ac:dyDescent="0.25">
      <c r="A33" s="85">
        <v>29</v>
      </c>
      <c r="B33" s="86">
        <v>50</v>
      </c>
      <c r="C33" s="86" t="s">
        <v>25</v>
      </c>
      <c r="D33" s="86" t="s">
        <v>4</v>
      </c>
      <c r="E33" s="84">
        <f>5473+2699.4</f>
        <v>8172.4</v>
      </c>
      <c r="F33" s="84"/>
      <c r="G33" s="84"/>
      <c r="H33" s="87"/>
    </row>
    <row r="34" spans="1:13" x14ac:dyDescent="0.25">
      <c r="A34" s="8">
        <v>30</v>
      </c>
      <c r="B34" s="34">
        <v>51</v>
      </c>
      <c r="C34" s="34" t="s">
        <v>26</v>
      </c>
      <c r="D34" s="34" t="s">
        <v>4</v>
      </c>
      <c r="E34" s="7"/>
      <c r="F34" s="7">
        <f>319.6+128.5+77.1</f>
        <v>525.20000000000005</v>
      </c>
      <c r="G34" s="7">
        <f>505.4+257.25</f>
        <v>762.65</v>
      </c>
      <c r="H34" s="2"/>
    </row>
    <row r="35" spans="1:13" x14ac:dyDescent="0.25">
      <c r="A35" s="8">
        <v>31</v>
      </c>
      <c r="B35" s="34">
        <v>52</v>
      </c>
      <c r="C35" s="34" t="s">
        <v>26</v>
      </c>
      <c r="D35" s="34" t="s">
        <v>4</v>
      </c>
      <c r="E35" s="7">
        <f>4673.1+732.6+135.5+2699.4+406.1</f>
        <v>8646.7000000000007</v>
      </c>
      <c r="F35" s="7"/>
      <c r="G35" s="7"/>
      <c r="H35" s="2"/>
    </row>
    <row r="36" spans="1:13" x14ac:dyDescent="0.25">
      <c r="A36" s="8">
        <v>32</v>
      </c>
      <c r="B36" s="34">
        <v>53</v>
      </c>
      <c r="C36" s="34" t="s">
        <v>26</v>
      </c>
      <c r="D36" s="34" t="s">
        <v>4</v>
      </c>
      <c r="E36" s="7">
        <f>2287.44+1256.32+1270.8+314</f>
        <v>5128.5600000000004</v>
      </c>
      <c r="F36" s="7"/>
      <c r="G36" s="7"/>
      <c r="H36" s="2"/>
    </row>
    <row r="37" spans="1:13" x14ac:dyDescent="0.25">
      <c r="A37" s="8">
        <v>33</v>
      </c>
      <c r="B37" s="34">
        <v>54</v>
      </c>
      <c r="C37" s="34" t="s">
        <v>26</v>
      </c>
      <c r="D37" s="34" t="s">
        <v>4</v>
      </c>
      <c r="E37" s="7"/>
      <c r="F37" s="7">
        <f>503.37+169.62+287.64+127.84+95.88</f>
        <v>1184.3499999999999</v>
      </c>
      <c r="G37" s="7"/>
      <c r="H37" s="2"/>
    </row>
    <row r="38" spans="1:13" x14ac:dyDescent="0.25">
      <c r="A38" s="8">
        <v>34</v>
      </c>
      <c r="B38" s="34">
        <v>55</v>
      </c>
      <c r="C38" s="34" t="s">
        <v>26</v>
      </c>
      <c r="D38" s="34" t="s">
        <v>4</v>
      </c>
      <c r="E38" s="7">
        <f>4631+814+135.5+2372.2+316+409.2</f>
        <v>8677.9000000000015</v>
      </c>
      <c r="F38" s="7"/>
      <c r="G38" s="7"/>
      <c r="H38" s="2"/>
    </row>
    <row r="39" spans="1:13" x14ac:dyDescent="0.25">
      <c r="A39" s="8">
        <v>35</v>
      </c>
      <c r="B39" s="34">
        <v>56</v>
      </c>
      <c r="C39" s="34" t="s">
        <v>26</v>
      </c>
      <c r="D39" s="34" t="s">
        <v>4</v>
      </c>
      <c r="E39" s="7">
        <f>1609.68+1694.4+1020.76+785.2</f>
        <v>5110.04</v>
      </c>
      <c r="F39" s="7"/>
      <c r="G39" s="7"/>
      <c r="H39" s="2"/>
    </row>
    <row r="40" spans="1:13" x14ac:dyDescent="0.25">
      <c r="A40" s="8">
        <v>36</v>
      </c>
      <c r="B40" s="34">
        <v>57</v>
      </c>
      <c r="C40" s="34" t="s">
        <v>26</v>
      </c>
      <c r="D40" s="34" t="s">
        <v>4</v>
      </c>
      <c r="E40" s="7"/>
      <c r="F40" s="7">
        <f>695.13+100.23</f>
        <v>795.36</v>
      </c>
      <c r="G40" s="7">
        <f>665</f>
        <v>665</v>
      </c>
      <c r="H40" s="2"/>
    </row>
    <row r="41" spans="1:13" x14ac:dyDescent="0.25">
      <c r="A41" s="8">
        <v>37</v>
      </c>
      <c r="B41" s="34">
        <v>58</v>
      </c>
      <c r="C41" s="34" t="s">
        <v>26</v>
      </c>
      <c r="D41" s="34" t="s">
        <v>4</v>
      </c>
      <c r="E41" s="7"/>
      <c r="F41" s="7">
        <v>334.1</v>
      </c>
      <c r="G41" s="7">
        <f>532+85.75</f>
        <v>617.75</v>
      </c>
      <c r="H41" s="2"/>
    </row>
    <row r="42" spans="1:13" x14ac:dyDescent="0.25">
      <c r="A42" s="8">
        <v>38</v>
      </c>
      <c r="B42" s="35">
        <v>59</v>
      </c>
      <c r="C42" s="35" t="s">
        <v>26</v>
      </c>
      <c r="D42" s="35" t="s">
        <v>4</v>
      </c>
      <c r="E42" s="36"/>
      <c r="F42" s="36">
        <f>959.07+192.96</f>
        <v>1152.03</v>
      </c>
      <c r="G42" s="36">
        <f>266.4+85.77</f>
        <v>352.16999999999996</v>
      </c>
      <c r="H42" s="81"/>
    </row>
    <row r="43" spans="1:13" x14ac:dyDescent="0.25">
      <c r="A43" s="8">
        <v>39</v>
      </c>
      <c r="B43" s="34">
        <v>61</v>
      </c>
      <c r="C43" s="34" t="s">
        <v>26</v>
      </c>
      <c r="D43" s="34" t="s">
        <v>4</v>
      </c>
      <c r="E43" s="7">
        <f>1609.68+1567.32+942.24+1060.02</f>
        <v>5179.26</v>
      </c>
      <c r="F43" s="7"/>
      <c r="G43" s="7"/>
      <c r="H43" s="2"/>
    </row>
    <row r="44" spans="1:13" x14ac:dyDescent="0.25">
      <c r="A44" s="8">
        <v>40</v>
      </c>
      <c r="B44" s="34">
        <v>62</v>
      </c>
      <c r="C44" s="34" t="s">
        <v>26</v>
      </c>
      <c r="D44" s="34" t="s">
        <v>4</v>
      </c>
      <c r="E44" s="7"/>
      <c r="F44" s="7">
        <f>575.28+53.97+23.97+30.84+127.84+23.13+23.97+63.92</f>
        <v>922.92000000000007</v>
      </c>
      <c r="G44" s="7">
        <f>505.4+34.3</f>
        <v>539.69999999999993</v>
      </c>
      <c r="H44" s="2"/>
    </row>
    <row r="45" spans="1:13" x14ac:dyDescent="0.25">
      <c r="A45" s="85">
        <v>41</v>
      </c>
      <c r="B45" s="86">
        <v>64</v>
      </c>
      <c r="C45" s="86" t="s">
        <v>26</v>
      </c>
      <c r="D45" s="86" t="s">
        <v>4</v>
      </c>
      <c r="E45" s="84"/>
      <c r="F45" s="84">
        <f>719.1+154.2+15.98+10.28+7.71</f>
        <v>907.27</v>
      </c>
      <c r="G45" s="84">
        <f>186.2+308.7</f>
        <v>494.9</v>
      </c>
      <c r="H45" s="87"/>
    </row>
    <row r="46" spans="1:13" x14ac:dyDescent="0.25">
      <c r="A46" s="8">
        <v>42</v>
      </c>
      <c r="B46" s="34">
        <v>65</v>
      </c>
      <c r="C46" s="34" t="s">
        <v>27</v>
      </c>
      <c r="D46" s="34" t="s">
        <v>4</v>
      </c>
      <c r="E46" s="7">
        <f>4462.6+854.7+81.3+2638.05+537.1</f>
        <v>8573.75</v>
      </c>
      <c r="F46" s="7"/>
      <c r="G46" s="7"/>
      <c r="H46" s="2"/>
    </row>
    <row r="47" spans="1:13" x14ac:dyDescent="0.25">
      <c r="A47" s="8">
        <v>43</v>
      </c>
      <c r="B47" s="34">
        <v>66</v>
      </c>
      <c r="C47" s="34" t="s">
        <v>27</v>
      </c>
      <c r="D47" s="34" t="s">
        <v>4</v>
      </c>
      <c r="E47" s="7"/>
      <c r="F47" s="7">
        <f>783.02+92.52</f>
        <v>875.54</v>
      </c>
      <c r="G47" s="7">
        <f>611.8</f>
        <v>611.79999999999995</v>
      </c>
      <c r="H47" s="2"/>
      <c r="J47" t="s">
        <v>28</v>
      </c>
    </row>
    <row r="48" spans="1:13" x14ac:dyDescent="0.25">
      <c r="A48" s="8">
        <v>44</v>
      </c>
      <c r="B48" s="34">
        <v>67</v>
      </c>
      <c r="C48" s="34" t="s">
        <v>27</v>
      </c>
      <c r="D48" s="34" t="s">
        <v>4</v>
      </c>
      <c r="E48" s="7">
        <f>1397.88+1821.48+667.42+785.2+465.86+55.11+155</f>
        <v>5347.95</v>
      </c>
      <c r="F48" s="7"/>
      <c r="G48" s="7"/>
      <c r="H48" s="2"/>
      <c r="I48">
        <v>5142.6899999999996</v>
      </c>
      <c r="K48">
        <v>275</v>
      </c>
      <c r="L48">
        <f>(K48*I48)</f>
        <v>1414239.75</v>
      </c>
      <c r="M48">
        <v>1412838.89</v>
      </c>
    </row>
    <row r="49" spans="1:13" x14ac:dyDescent="0.25">
      <c r="A49" s="8">
        <v>45</v>
      </c>
      <c r="B49" s="34">
        <v>69</v>
      </c>
      <c r="C49" s="34" t="s">
        <v>27</v>
      </c>
      <c r="D49" s="34" t="s">
        <v>4</v>
      </c>
      <c r="E49" s="7">
        <f>4757.3+773.3+2863</f>
        <v>8393.6</v>
      </c>
      <c r="F49" s="7"/>
      <c r="G49" s="7"/>
      <c r="H49" s="2"/>
      <c r="I49">
        <v>5537.6</v>
      </c>
      <c r="K49">
        <v>275</v>
      </c>
      <c r="L49">
        <f t="shared" ref="L49:L55" si="0">K49*I49</f>
        <v>1522840</v>
      </c>
      <c r="M49">
        <v>1521331.56</v>
      </c>
    </row>
    <row r="50" spans="1:13" x14ac:dyDescent="0.25">
      <c r="A50" s="8">
        <v>46</v>
      </c>
      <c r="B50" s="34">
        <v>70</v>
      </c>
      <c r="C50" s="34" t="s">
        <v>27</v>
      </c>
      <c r="D50" s="34" t="s">
        <v>4</v>
      </c>
      <c r="E50" s="7"/>
      <c r="F50" s="7">
        <f>719.1+77.1</f>
        <v>796.2</v>
      </c>
      <c r="G50" s="7">
        <f>532+102.9</f>
        <v>634.9</v>
      </c>
      <c r="H50" s="2"/>
      <c r="I50">
        <v>8449.7000000000007</v>
      </c>
      <c r="K50">
        <v>275</v>
      </c>
      <c r="L50">
        <f t="shared" si="0"/>
        <v>2323667.5</v>
      </c>
      <c r="M50">
        <v>2321365.7999999998</v>
      </c>
    </row>
    <row r="51" spans="1:13" x14ac:dyDescent="0.25">
      <c r="A51" s="8">
        <v>47</v>
      </c>
      <c r="B51" s="34">
        <v>71</v>
      </c>
      <c r="C51" s="34" t="s">
        <v>27</v>
      </c>
      <c r="D51" s="34" t="s">
        <v>4</v>
      </c>
      <c r="E51" s="7">
        <f>1779.54+889.77+1217.37+1178.1+75.76+137.76+110.16+30.99</f>
        <v>5419.45</v>
      </c>
      <c r="F51" s="7"/>
      <c r="G51" s="7"/>
      <c r="H51" s="2"/>
      <c r="I51">
        <v>5288.6</v>
      </c>
      <c r="K51">
        <v>275</v>
      </c>
      <c r="L51">
        <f t="shared" si="0"/>
        <v>1454365</v>
      </c>
      <c r="M51">
        <v>1452924.38</v>
      </c>
    </row>
    <row r="52" spans="1:13" x14ac:dyDescent="0.25">
      <c r="A52" s="8">
        <v>48</v>
      </c>
      <c r="B52" s="34">
        <v>72</v>
      </c>
      <c r="C52" s="34" t="s">
        <v>27</v>
      </c>
      <c r="D52" s="34" t="s">
        <v>4</v>
      </c>
      <c r="E52" s="7"/>
      <c r="F52" s="7">
        <f>703.12+92.52+63.92+5.14+63.92</f>
        <v>928.61999999999989</v>
      </c>
      <c r="G52" s="7">
        <f>558.6+20.56</f>
        <v>579.16</v>
      </c>
      <c r="H52" s="2"/>
      <c r="I52">
        <v>8030</v>
      </c>
      <c r="K52">
        <v>275</v>
      </c>
      <c r="L52">
        <f t="shared" si="0"/>
        <v>2208250</v>
      </c>
      <c r="M52">
        <v>2206062.63</v>
      </c>
    </row>
    <row r="53" spans="1:13" x14ac:dyDescent="0.25">
      <c r="A53" s="8">
        <v>49</v>
      </c>
      <c r="B53" s="34">
        <v>73</v>
      </c>
      <c r="C53" s="34" t="s">
        <v>27</v>
      </c>
      <c r="D53" s="34" t="s">
        <v>4</v>
      </c>
      <c r="E53" s="7">
        <f>2736.5+1788.6+1349.7+1021.8+347.2+250.04</f>
        <v>7493.84</v>
      </c>
      <c r="F53" s="7"/>
      <c r="G53" s="7"/>
      <c r="H53" s="2"/>
      <c r="I53">
        <v>8147.8</v>
      </c>
      <c r="K53">
        <v>275</v>
      </c>
      <c r="L53">
        <f>K53*I53</f>
        <v>2240645</v>
      </c>
      <c r="M53">
        <v>2238425.54</v>
      </c>
    </row>
    <row r="54" spans="1:13" x14ac:dyDescent="0.25">
      <c r="A54" s="85">
        <v>50</v>
      </c>
      <c r="B54" s="86">
        <v>74</v>
      </c>
      <c r="C54" s="86" t="s">
        <v>27</v>
      </c>
      <c r="D54" s="86" t="s">
        <v>4</v>
      </c>
      <c r="E54" s="84"/>
      <c r="F54" s="84">
        <f>479.4+92.52+46.26</f>
        <v>618.17999999999995</v>
      </c>
      <c r="G54" s="84">
        <f>611.8+109.76+15.42</f>
        <v>736.9799999999999</v>
      </c>
      <c r="H54" s="87"/>
      <c r="I54">
        <v>1910.53</v>
      </c>
      <c r="K54">
        <v>275</v>
      </c>
      <c r="L54">
        <f t="shared" si="0"/>
        <v>525395.75</v>
      </c>
      <c r="M54">
        <v>524875.31999999995</v>
      </c>
    </row>
    <row r="55" spans="1:13" x14ac:dyDescent="0.25">
      <c r="A55" s="8">
        <v>51</v>
      </c>
      <c r="B55" s="34">
        <v>75</v>
      </c>
      <c r="C55" s="34" t="s">
        <v>28</v>
      </c>
      <c r="D55" s="34" t="s">
        <v>4</v>
      </c>
      <c r="E55" s="7">
        <f>508.44+2076.13+392.6+2080.78+84.74</f>
        <v>5142.6900000000005</v>
      </c>
      <c r="F55" s="7"/>
      <c r="G55" s="7"/>
      <c r="H55" s="2"/>
      <c r="I55">
        <v>535.33000000000004</v>
      </c>
      <c r="K55">
        <v>137.5</v>
      </c>
      <c r="L55">
        <f t="shared" si="0"/>
        <v>73607.875</v>
      </c>
      <c r="M55">
        <v>73534.97</v>
      </c>
    </row>
    <row r="56" spans="1:13" x14ac:dyDescent="0.25">
      <c r="A56" s="8">
        <v>53</v>
      </c>
      <c r="B56" s="34">
        <v>77</v>
      </c>
      <c r="C56" s="34" t="s">
        <v>28</v>
      </c>
      <c r="D56" s="34" t="s">
        <v>4</v>
      </c>
      <c r="E56" s="7">
        <f>2203.24+1694.8+588.9+745.94+132.58+17.22+123.93+30.99</f>
        <v>5537.5999999999995</v>
      </c>
      <c r="F56" s="7"/>
      <c r="G56" s="7"/>
      <c r="H56" s="2"/>
    </row>
    <row r="57" spans="1:13" x14ac:dyDescent="0.25">
      <c r="A57" s="8">
        <v>54</v>
      </c>
      <c r="B57" s="34">
        <v>78</v>
      </c>
      <c r="C57" s="34" t="s">
        <v>28</v>
      </c>
      <c r="D57" s="34" t="s">
        <v>4</v>
      </c>
      <c r="E57" s="7">
        <f>5473+2658.5+54.2+264</f>
        <v>8449.7000000000007</v>
      </c>
      <c r="F57" s="7"/>
      <c r="G57" s="7"/>
      <c r="H57" s="2"/>
    </row>
    <row r="58" spans="1:13" x14ac:dyDescent="0.25">
      <c r="A58" s="8">
        <v>56</v>
      </c>
      <c r="B58" s="7">
        <v>80</v>
      </c>
      <c r="C58" s="7" t="s">
        <v>28</v>
      </c>
      <c r="D58" s="7" t="s">
        <v>4</v>
      </c>
      <c r="E58" s="7">
        <f>1016.43+2584.57+392.52+1217.06+10.33+67.16</f>
        <v>5288.07</v>
      </c>
      <c r="F58" s="7"/>
      <c r="G58" s="7"/>
      <c r="H58" s="2"/>
    </row>
    <row r="59" spans="1:13" x14ac:dyDescent="0.25">
      <c r="A59" s="8">
        <v>57</v>
      </c>
      <c r="B59" s="7">
        <v>81</v>
      </c>
      <c r="C59" s="7" t="s">
        <v>28</v>
      </c>
      <c r="D59" s="7" t="s">
        <v>4</v>
      </c>
      <c r="E59" s="7">
        <f>4167.9+1180.3+573.75+1329.25+778.8</f>
        <v>8030</v>
      </c>
      <c r="F59" s="7"/>
      <c r="G59" s="7"/>
      <c r="H59" s="2"/>
    </row>
    <row r="60" spans="1:13" x14ac:dyDescent="0.25">
      <c r="A60" s="8">
        <v>59</v>
      </c>
      <c r="B60" s="7">
        <v>85</v>
      </c>
      <c r="C60" s="7" t="s">
        <v>28</v>
      </c>
      <c r="D60" s="7" t="s">
        <v>4</v>
      </c>
      <c r="E60" s="7">
        <f>5473+650.25+2024.55</f>
        <v>8147.8</v>
      </c>
      <c r="F60" s="7"/>
      <c r="G60" s="7"/>
      <c r="H60" s="2"/>
    </row>
    <row r="61" spans="1:13" x14ac:dyDescent="0.25">
      <c r="A61" s="8">
        <v>60</v>
      </c>
      <c r="B61" s="7">
        <v>86</v>
      </c>
      <c r="C61" s="7" t="s">
        <v>28</v>
      </c>
      <c r="D61" s="7" t="s">
        <v>4</v>
      </c>
      <c r="E61" s="7">
        <f>847.4+42.37+157.04+824.46+39.26</f>
        <v>1910.53</v>
      </c>
      <c r="F61" s="7"/>
      <c r="G61" s="7"/>
      <c r="H61" s="2"/>
    </row>
    <row r="62" spans="1:13" x14ac:dyDescent="0.25">
      <c r="A62" s="85">
        <v>61</v>
      </c>
      <c r="B62" s="84">
        <v>87</v>
      </c>
      <c r="C62" s="84" t="s">
        <v>28</v>
      </c>
      <c r="D62" s="84" t="s">
        <v>4</v>
      </c>
      <c r="E62" s="84"/>
      <c r="F62" s="84">
        <f>439.45+95.88</f>
        <v>535.32999999999993</v>
      </c>
      <c r="G62" s="84"/>
      <c r="H62" s="88"/>
    </row>
    <row r="63" spans="1:13" x14ac:dyDescent="0.25">
      <c r="A63" s="8">
        <v>52</v>
      </c>
      <c r="B63" s="33">
        <v>76</v>
      </c>
      <c r="C63" s="34" t="s">
        <v>134</v>
      </c>
      <c r="D63" s="34" t="s">
        <v>4</v>
      </c>
      <c r="E63" s="7"/>
      <c r="F63" s="42">
        <f>1502.12+53.97</f>
        <v>1556.09</v>
      </c>
      <c r="G63" s="7"/>
      <c r="H63" s="2"/>
      <c r="I63">
        <f>SUM(I48:I55)</f>
        <v>43042.250000000007</v>
      </c>
      <c r="L63">
        <f>SUM(L48:L55)</f>
        <v>11763010.875</v>
      </c>
      <c r="M63">
        <f>SUM(M48:M55)</f>
        <v>11751359.090000002</v>
      </c>
    </row>
    <row r="64" spans="1:13" x14ac:dyDescent="0.25">
      <c r="A64" s="8">
        <v>55</v>
      </c>
      <c r="B64" s="33">
        <v>79</v>
      </c>
      <c r="C64" s="34" t="s">
        <v>134</v>
      </c>
      <c r="D64" s="34" t="s">
        <v>4</v>
      </c>
      <c r="E64" s="7"/>
      <c r="F64" s="42">
        <f>1542.07</f>
        <v>1542.07</v>
      </c>
      <c r="G64" s="7"/>
      <c r="H64" s="2"/>
    </row>
    <row r="65" spans="1:8" x14ac:dyDescent="0.25">
      <c r="A65" s="8">
        <v>58</v>
      </c>
      <c r="B65" s="33">
        <v>84</v>
      </c>
      <c r="C65" s="7" t="s">
        <v>134</v>
      </c>
      <c r="D65" s="7" t="s">
        <v>4</v>
      </c>
      <c r="E65" s="7"/>
      <c r="F65" s="42">
        <f>799</f>
        <v>799</v>
      </c>
      <c r="G65" s="42">
        <v>54</v>
      </c>
      <c r="H65" s="2"/>
    </row>
    <row r="66" spans="1:8" x14ac:dyDescent="0.25">
      <c r="A66" s="8">
        <v>62</v>
      </c>
      <c r="B66" s="7">
        <v>91</v>
      </c>
      <c r="C66" s="7"/>
      <c r="D66" s="7" t="s">
        <v>4</v>
      </c>
      <c r="E66" s="7"/>
      <c r="F66" s="36">
        <f>479.4+61.68</f>
        <v>541.07999999999993</v>
      </c>
      <c r="G66" s="36">
        <f>478.8</f>
        <v>478.8</v>
      </c>
      <c r="H66" s="2"/>
    </row>
    <row r="67" spans="1:8" x14ac:dyDescent="0.25">
      <c r="A67" s="8">
        <v>63</v>
      </c>
      <c r="B67" s="93">
        <v>95</v>
      </c>
      <c r="C67" s="7"/>
      <c r="D67" s="7" t="s">
        <v>4</v>
      </c>
      <c r="E67" s="7">
        <f>6735.53</f>
        <v>6735.53</v>
      </c>
      <c r="F67" s="7"/>
      <c r="G67" s="7"/>
      <c r="H67" s="2"/>
    </row>
    <row r="68" spans="1:8" x14ac:dyDescent="0.25">
      <c r="A68" s="8">
        <v>64</v>
      </c>
      <c r="B68" s="93">
        <v>96</v>
      </c>
      <c r="C68" s="7"/>
      <c r="D68" s="7" t="s">
        <v>4</v>
      </c>
      <c r="E68" s="59">
        <f>3831.9-2694.4</f>
        <v>1137.5</v>
      </c>
      <c r="F68" s="42">
        <v>359.55</v>
      </c>
      <c r="G68" s="7"/>
      <c r="H68" s="2"/>
    </row>
    <row r="69" spans="1:8" x14ac:dyDescent="0.25">
      <c r="A69" s="8">
        <v>65</v>
      </c>
      <c r="B69" s="93">
        <v>97</v>
      </c>
      <c r="C69" s="7"/>
      <c r="D69" s="7" t="s">
        <v>4</v>
      </c>
      <c r="E69" s="42">
        <v>818</v>
      </c>
      <c r="F69" s="42">
        <v>104.29</v>
      </c>
      <c r="G69" s="7"/>
      <c r="H69" s="2"/>
    </row>
    <row r="70" spans="1:8" x14ac:dyDescent="0.25">
      <c r="A70" s="8">
        <v>66</v>
      </c>
      <c r="B70" s="93">
        <v>98</v>
      </c>
      <c r="C70" s="7"/>
      <c r="D70" s="7" t="s">
        <v>4</v>
      </c>
      <c r="E70" s="59">
        <f>1375.66*0</f>
        <v>0</v>
      </c>
      <c r="F70" s="36">
        <v>319.60000000000002</v>
      </c>
      <c r="G70" s="7"/>
      <c r="H70" s="2"/>
    </row>
    <row r="71" spans="1:8" x14ac:dyDescent="0.25">
      <c r="A71" s="8">
        <v>67</v>
      </c>
      <c r="B71" s="93">
        <v>99</v>
      </c>
      <c r="C71" s="7"/>
      <c r="D71" s="7" t="s">
        <v>4</v>
      </c>
      <c r="E71" s="7">
        <v>6060.5</v>
      </c>
      <c r="F71" s="42">
        <v>77.099999999999994</v>
      </c>
      <c r="G71" s="36">
        <f>191.52+24</f>
        <v>215.52</v>
      </c>
      <c r="H71" s="2"/>
    </row>
    <row r="72" spans="1:8" x14ac:dyDescent="0.25">
      <c r="A72" s="8">
        <v>68</v>
      </c>
      <c r="B72" s="93">
        <v>101</v>
      </c>
      <c r="C72" s="7"/>
      <c r="D72" s="7" t="s">
        <v>4</v>
      </c>
      <c r="E72" s="7">
        <v>2694.4</v>
      </c>
      <c r="F72" s="42">
        <v>799</v>
      </c>
      <c r="G72" s="7"/>
      <c r="H72" s="2"/>
    </row>
    <row r="73" spans="1:8" x14ac:dyDescent="0.25">
      <c r="A73" s="8">
        <v>69</v>
      </c>
      <c r="B73" s="7">
        <v>103</v>
      </c>
      <c r="C73" s="7"/>
      <c r="D73" s="7" t="s">
        <v>4</v>
      </c>
      <c r="E73" s="36">
        <v>2778.6</v>
      </c>
      <c r="F73" s="42">
        <v>439.45</v>
      </c>
      <c r="G73" s="7"/>
      <c r="H73" s="2"/>
    </row>
    <row r="74" spans="1:8" x14ac:dyDescent="0.25">
      <c r="A74" s="8">
        <v>70</v>
      </c>
      <c r="B74" s="93">
        <v>104</v>
      </c>
      <c r="C74" s="7"/>
      <c r="D74" s="7" t="s">
        <v>4</v>
      </c>
      <c r="E74" s="36">
        <v>3132.86</v>
      </c>
      <c r="F74" s="42">
        <v>527.34</v>
      </c>
      <c r="G74" s="7"/>
      <c r="H74" s="2"/>
    </row>
    <row r="75" spans="1:8" x14ac:dyDescent="0.25">
      <c r="A75" s="8">
        <v>71</v>
      </c>
      <c r="B75" s="93">
        <v>107</v>
      </c>
      <c r="C75" s="7"/>
      <c r="D75" s="7" t="s">
        <v>4</v>
      </c>
      <c r="E75" s="36">
        <v>3814.14</v>
      </c>
      <c r="F75" s="42">
        <v>399.5</v>
      </c>
      <c r="G75" s="36">
        <v>148.96</v>
      </c>
      <c r="H75" s="2"/>
    </row>
    <row r="76" spans="1:8" x14ac:dyDescent="0.25">
      <c r="A76" s="8">
        <v>72</v>
      </c>
      <c r="B76" s="93">
        <v>108</v>
      </c>
      <c r="C76" s="7"/>
      <c r="D76" s="7" t="s">
        <v>4</v>
      </c>
      <c r="E76" s="36">
        <v>2724.9</v>
      </c>
      <c r="F76" s="42">
        <v>479.4</v>
      </c>
      <c r="G76" s="7"/>
      <c r="H76" s="2"/>
    </row>
    <row r="77" spans="1:8" x14ac:dyDescent="0.25">
      <c r="A77" s="8">
        <v>73</v>
      </c>
      <c r="B77" s="7">
        <v>110</v>
      </c>
      <c r="C77" s="7"/>
      <c r="D77" s="7" t="s">
        <v>4</v>
      </c>
      <c r="E77" s="36">
        <v>1032.54</v>
      </c>
      <c r="F77" s="42">
        <f>559.3+79.9</f>
        <v>639.19999999999993</v>
      </c>
      <c r="G77" s="36">
        <v>148.96</v>
      </c>
      <c r="H77" s="2"/>
    </row>
    <row r="78" spans="1:8" x14ac:dyDescent="0.25">
      <c r="A78" s="8"/>
      <c r="B78" s="7">
        <v>122</v>
      </c>
      <c r="C78" s="34"/>
      <c r="D78" s="7" t="s">
        <v>4</v>
      </c>
      <c r="E78" s="36"/>
      <c r="F78" s="42">
        <v>359.55</v>
      </c>
      <c r="G78" s="36">
        <v>37.24</v>
      </c>
      <c r="H78" s="41"/>
    </row>
    <row r="79" spans="1:8" ht="25.5" customHeight="1" x14ac:dyDescent="0.25">
      <c r="A79" s="8"/>
      <c r="B79" s="159" t="s">
        <v>29</v>
      </c>
      <c r="C79" s="160"/>
      <c r="D79" s="37" t="s">
        <v>4</v>
      </c>
      <c r="E79" s="37">
        <f>SUM(E5:E77)</f>
        <v>235347.93000000002</v>
      </c>
      <c r="F79" s="37">
        <f>SUM(F5:F78)</f>
        <v>28670.710000000003</v>
      </c>
      <c r="G79" s="37">
        <f>SUM(G5:G77)</f>
        <v>13159.059999999998</v>
      </c>
      <c r="H79" s="90">
        <f>SUM(E79:F79:G79)</f>
        <v>277177.7</v>
      </c>
    </row>
    <row r="80" spans="1:8" ht="16.5" customHeight="1" x14ac:dyDescent="0.25">
      <c r="A80" s="8"/>
      <c r="B80" s="42"/>
      <c r="C80" s="42"/>
      <c r="D80" s="42"/>
      <c r="E80" s="42"/>
      <c r="F80" s="42"/>
      <c r="G80" s="42"/>
      <c r="H80" s="2"/>
    </row>
    <row r="81" spans="1:12" ht="20.25" customHeight="1" x14ac:dyDescent="0.25">
      <c r="A81" s="39"/>
      <c r="B81" s="159" t="s">
        <v>31</v>
      </c>
      <c r="C81" s="160"/>
      <c r="D81" s="37" t="s">
        <v>4</v>
      </c>
      <c r="E81" s="40">
        <f>SUM(E5:E62)</f>
        <v>204418.96000000002</v>
      </c>
      <c r="F81" s="40">
        <f>SUM(F5:F55)+535.33</f>
        <v>19728.490000000005</v>
      </c>
      <c r="G81" s="40">
        <f>SUM(G5:G59)</f>
        <v>12112.82</v>
      </c>
      <c r="H81" s="90">
        <f>SUM(E81:F81:G81)</f>
        <v>236260.27000000002</v>
      </c>
    </row>
    <row r="82" spans="1:12" ht="19.5" thickBot="1" x14ac:dyDescent="0.3">
      <c r="A82" s="14"/>
      <c r="B82" s="157" t="s">
        <v>32</v>
      </c>
      <c r="C82" s="158"/>
      <c r="D82" s="15"/>
      <c r="E82" s="91">
        <f>E79-E81</f>
        <v>30928.97</v>
      </c>
      <c r="F82" s="91">
        <f>F79-F81</f>
        <v>8942.2199999999975</v>
      </c>
      <c r="G82" s="91">
        <f>G79-G81</f>
        <v>1046.239999999998</v>
      </c>
      <c r="H82" s="92">
        <f>H79-H81</f>
        <v>40917.429999999993</v>
      </c>
    </row>
    <row r="84" spans="1:12" x14ac:dyDescent="0.25">
      <c r="L84" s="53"/>
    </row>
    <row r="86" spans="1:12" ht="20.25" customHeight="1" x14ac:dyDescent="0.25">
      <c r="A86" s="12"/>
      <c r="B86" s="148" t="s">
        <v>33</v>
      </c>
      <c r="C86" s="149"/>
      <c r="D86" s="150"/>
      <c r="E86" s="12"/>
      <c r="F86" s="44"/>
      <c r="G86" s="44"/>
      <c r="H86" s="44"/>
      <c r="I86" s="47"/>
    </row>
    <row r="87" spans="1:12" ht="20.25" customHeight="1" x14ac:dyDescent="0.25">
      <c r="A87" s="12"/>
      <c r="B87" s="151" t="s">
        <v>34</v>
      </c>
      <c r="C87" s="152"/>
      <c r="D87" s="153"/>
      <c r="E87" s="12" t="s">
        <v>4</v>
      </c>
      <c r="F87" s="45">
        <f>H79</f>
        <v>277177.7</v>
      </c>
      <c r="G87" s="44"/>
      <c r="H87" s="44"/>
      <c r="I87" s="47"/>
    </row>
    <row r="88" spans="1:12" ht="23.25" customHeight="1" x14ac:dyDescent="0.25">
      <c r="A88" s="12"/>
      <c r="B88" s="151" t="s">
        <v>35</v>
      </c>
      <c r="C88" s="152"/>
      <c r="D88" s="153"/>
      <c r="E88" s="12" t="s">
        <v>4</v>
      </c>
      <c r="F88" s="46">
        <f>ABSTRACT!D9</f>
        <v>263592.58378899994</v>
      </c>
      <c r="G88" s="44"/>
      <c r="H88" s="44"/>
      <c r="I88" s="47"/>
    </row>
    <row r="89" spans="1:12" ht="21.75" customHeight="1" x14ac:dyDescent="0.25">
      <c r="A89" s="12"/>
      <c r="B89" s="151" t="s">
        <v>36</v>
      </c>
      <c r="C89" s="152"/>
      <c r="D89" s="153"/>
      <c r="E89" s="12" t="s">
        <v>4</v>
      </c>
      <c r="F89" s="46">
        <f>F87-F88</f>
        <v>13585.116211000073</v>
      </c>
      <c r="G89" s="44"/>
      <c r="H89" s="44"/>
      <c r="I89" s="47"/>
    </row>
    <row r="90" spans="1:12" ht="30.75" customHeight="1" x14ac:dyDescent="0.25">
      <c r="A90" s="12"/>
      <c r="B90" s="154" t="s">
        <v>37</v>
      </c>
      <c r="C90" s="155"/>
      <c r="D90" s="156"/>
      <c r="E90" s="12" t="s">
        <v>38</v>
      </c>
      <c r="F90" s="46">
        <f>ROUND(F88/F89,4)</f>
        <v>19.402999999999999</v>
      </c>
      <c r="G90" s="44"/>
      <c r="H90" s="44"/>
      <c r="I90" s="47"/>
    </row>
  </sheetData>
  <mergeCells count="16">
    <mergeCell ref="B82:C82"/>
    <mergeCell ref="B79:C79"/>
    <mergeCell ref="B81:C81"/>
    <mergeCell ref="A1:H1"/>
    <mergeCell ref="A2:H2"/>
    <mergeCell ref="A3:A4"/>
    <mergeCell ref="B3:B4"/>
    <mergeCell ref="C3:C4"/>
    <mergeCell ref="D3:D4"/>
    <mergeCell ref="H3:H4"/>
    <mergeCell ref="E3:G3"/>
    <mergeCell ref="B86:D86"/>
    <mergeCell ref="B87:D87"/>
    <mergeCell ref="B88:D88"/>
    <mergeCell ref="B89:D89"/>
    <mergeCell ref="B90:D90"/>
  </mergeCells>
  <pageMargins left="0.45" right="0.45" top="0.75" bottom="0.75" header="0.3" footer="0.3"/>
  <pageSetup scale="9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ABSTRACT</vt:lpstr>
      <vt:lpstr>MEASUREMENT SHEET</vt:lpstr>
      <vt:lpstr>SUPPLY QUANTITY</vt:lpstr>
      <vt:lpstr>RECEVIED QTY. DETAIL</vt:lpstr>
      <vt:lpstr>ABSTRACT!Print_Area</vt:lpstr>
      <vt:lpstr>'MEASUREMENT SHEET'!Print_Area</vt:lpstr>
      <vt:lpstr>'RECEVIED QTY. DETAIL'!Print_Area</vt:lpstr>
      <vt:lpstr>'MEASUREMENT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2019-07-13T09:04:09Z</dcterms:modified>
</cp:coreProperties>
</file>