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Z:\Files For Review\Anil Kumar\VIS(2023-24)-PL463-380-593\"/>
    </mc:Choice>
  </mc:AlternateContent>
  <xr:revisionPtr revIDLastSave="0" documentId="13_ncr:1_{FFB6CF82-0694-45EA-A8BE-41A8A4EC70D0}" xr6:coauthVersionLast="47" xr6:coauthVersionMax="47" xr10:uidLastSave="{00000000-0000-0000-0000-000000000000}"/>
  <bookViews>
    <workbookView showVerticalScroll="0" xWindow="-120" yWindow="-120" windowWidth="20730" windowHeight="11160" activeTab="2" xr2:uid="{00000000-000D-0000-FFFF-FFFF00000000}"/>
  </bookViews>
  <sheets>
    <sheet name="Building" sheetId="1" r:id="rId1"/>
    <sheet name="FAR" sheetId="3" r:id="rId2"/>
    <sheet name="Land" sheetId="2" r:id="rId3"/>
  </sheets>
  <definedNames>
    <definedName name="_xlnm.Print_Area" localSheetId="0">Building!$B$2:$Q$10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E6" i="1"/>
  <c r="I13" i="1"/>
  <c r="I14" i="1"/>
  <c r="O7" i="2" l="1"/>
  <c r="M7" i="2"/>
  <c r="P7" i="2" s="1"/>
  <c r="J7" i="2"/>
  <c r="E7" i="2"/>
  <c r="O8" i="2"/>
  <c r="E8" i="2"/>
  <c r="F8" i="2" s="1"/>
  <c r="L24" i="1"/>
  <c r="Q7" i="2" l="1"/>
  <c r="S7" i="2" s="1"/>
  <c r="K5" i="1"/>
  <c r="S8" i="2" l="1"/>
  <c r="Q8" i="2"/>
  <c r="I24" i="1"/>
  <c r="H24" i="1"/>
  <c r="E10" i="3" l="1"/>
  <c r="E16" i="3"/>
  <c r="E14" i="3"/>
  <c r="E15" i="3"/>
  <c r="E12" i="3"/>
  <c r="E13" i="3" s="1"/>
  <c r="M5" i="1" l="1"/>
  <c r="E17" i="3"/>
  <c r="G16" i="1" l="1"/>
  <c r="P14" i="1"/>
  <c r="P13" i="1"/>
  <c r="M6" i="1" l="1"/>
  <c r="N5" i="1" l="1"/>
  <c r="O5" i="1" s="1"/>
  <c r="O6" i="1" s="1"/>
  <c r="Q5" i="1" l="1"/>
  <c r="I15" i="1" s="1"/>
  <c r="Q6" i="1" l="1"/>
  <c r="M14" i="1" l="1"/>
  <c r="I16" i="1"/>
  <c r="I17" i="1" s="1"/>
  <c r="L16" i="1"/>
  <c r="I19" i="1" l="1"/>
  <c r="I18" i="1"/>
  <c r="G18" i="1"/>
  <c r="G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8" authorId="0" shapeId="0" xr:uid="{00000000-0006-0000-0200-00000100000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<sst xmlns="http://schemas.openxmlformats.org/spreadsheetml/2006/main" count="85" uniqueCount="57">
  <si>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</si>
  <si>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</si>
  <si>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</si>
  <si>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</si>
  <si>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</si>
  <si>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</si>
  <si>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</si>
  <si>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</si>
  <si>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</si>
  <si>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</si>
  <si>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</si>
  <si>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</si>
  <si>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</si>
  <si>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</si>
  <si>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</si>
  <si>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</si>
  <si>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</si>
  <si>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</si>
  <si>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</si>
  <si>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</si>
  <si>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</si>
  <si>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</si>
  <si>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</si>
  <si>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</si>
  <si>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LAND</t>
  </si>
  <si>
    <t>BUILDING</t>
  </si>
  <si>
    <t>Land value</t>
  </si>
  <si>
    <t>Circle Rate</t>
  </si>
  <si>
    <t>CIRCLE RATE</t>
  </si>
  <si>
    <t>Particulars</t>
  </si>
  <si>
    <t>Figure</t>
  </si>
  <si>
    <t>Plot Area</t>
  </si>
  <si>
    <t>Sq.m.</t>
  </si>
  <si>
    <t>Permissiable Ground Coverage</t>
  </si>
  <si>
    <t>Permisiable FAR</t>
  </si>
  <si>
    <t>Permissiable GF Construction</t>
  </si>
  <si>
    <t>sq.ft.</t>
  </si>
  <si>
    <t>GF Area</t>
  </si>
  <si>
    <t>Remaining Permissiable FF Construction</t>
  </si>
  <si>
    <t>Permissiable FF Construction</t>
  </si>
  <si>
    <t>FF Area</t>
  </si>
  <si>
    <t>TOTAL Constructed</t>
  </si>
  <si>
    <t>TOTAL Permissiable Constructed</t>
  </si>
  <si>
    <t>Difference</t>
  </si>
  <si>
    <r>
      <t xml:space="preserve">Area
</t>
    </r>
    <r>
      <rPr>
        <b/>
        <i/>
        <sz val="10"/>
        <rFont val="Calibri"/>
        <family val="2"/>
        <scheme val="minor"/>
      </rPr>
      <t>(in sq.ft)</t>
    </r>
  </si>
  <si>
    <t>BUILDING VALUATION OF M/S TRUE COUNT SYSTEMS PVT. LTD.|SURAJPUR INDUSTRIAL AREA, GREATER NOIDA, UP</t>
  </si>
  <si>
    <r>
      <t xml:space="preserve">2. </t>
    </r>
    <r>
      <rPr>
        <i/>
        <sz val="10"/>
        <color theme="1"/>
        <rFont val="Calibri"/>
        <family val="2"/>
        <scheme val="minor"/>
      </rPr>
      <t>All the structure that has been taken in the area statemnet belonging to M/s. True Count System Pvt. Ltd.</t>
    </r>
  </si>
  <si>
    <t>Area(in sq. mtr.)</t>
  </si>
  <si>
    <r>
      <t>Height (</t>
    </r>
    <r>
      <rPr>
        <b/>
        <i/>
        <sz val="10"/>
        <rFont val="Calibri"/>
        <family val="2"/>
        <scheme val="minor"/>
      </rPr>
      <t>in ft.)</t>
    </r>
  </si>
  <si>
    <t>Ground Floor</t>
  </si>
  <si>
    <t xml:space="preserve"> RCC structure bounded by brick wall with virtified tiles flooring</t>
  </si>
  <si>
    <t>Boundary Wall</t>
  </si>
  <si>
    <t xml:space="preserve">RCC wall </t>
  </si>
  <si>
    <t>Boundary wall</t>
  </si>
  <si>
    <r>
      <t xml:space="preserve">1. </t>
    </r>
    <r>
      <rPr>
        <b/>
        <i/>
        <sz val="10"/>
        <color theme="1"/>
        <rFont val="Calibri"/>
        <family val="2"/>
        <scheme val="minor"/>
      </rPr>
      <t>All the details pertaing to the building area statement such as area, floor, etc has been taken from covered area mentioned in the sale deed  provided to us by the bank or client.</t>
    </r>
  </si>
  <si>
    <r>
      <t xml:space="preserve">2. </t>
    </r>
    <r>
      <rPr>
        <i/>
        <sz val="10"/>
        <color theme="1"/>
        <rFont val="Calibri"/>
        <family val="2"/>
        <scheme val="minor"/>
      </rPr>
      <t xml:space="preserve">All the structure that has been taken in the area statemnet belonging to Mr. Rajesh Kumar S/o. Gyan Chandra </t>
    </r>
  </si>
  <si>
    <t>BUILDING VALUATION OF THE PROPERTY OF MR. RAJESH KUMAR S/O. GYAN CHANDRA|VIVEK VIHAR, GMS ROAD, DEHRADUN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</si>
</sst>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2" fillId="5" borderId="0" xfId="0" applyFont="1" applyFill="1"/>
    <xf numFmtId="0" fontId="2" fillId="5" borderId="0" xfId="0" applyFont="1" applyFill="1" applyAlignment="1">
      <alignment wrapText="1"/>
    </xf>
    <xf numFmtId="167" fontId="0" fillId="4" borderId="0" xfId="0" applyNumberFormat="1" applyFill="1"/>
    <xf numFmtId="167" fontId="2" fillId="4" borderId="0" xfId="0" applyNumberFormat="1" applyFont="1" applyFill="1"/>
    <xf numFmtId="166" fontId="2" fillId="4" borderId="0" xfId="1" applyNumberFormat="1" applyFont="1" applyFill="1"/>
    <xf numFmtId="0" fontId="13" fillId="5"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6" borderId="0" xfId="0" applyFont="1" applyFill="1" applyAlignment="1">
      <alignment wrapText="1"/>
    </xf>
    <xf numFmtId="168" fontId="0" fillId="6" borderId="0" xfId="0" applyNumberFormat="1" applyFill="1" applyAlignment="1">
      <alignment horizontal="center" wrapText="1"/>
    </xf>
    <xf numFmtId="0" fontId="14" fillId="3" borderId="1" xfId="0" applyFont="1" applyFill="1" applyBorder="1" applyAlignment="1">
      <alignment horizontal="center" vertical="center" wrapText="1"/>
    </xf>
    <xf numFmtId="164" fontId="14" fillId="3" borderId="1" xfId="3" applyNumberFormat="1" applyFont="1" applyFill="1" applyBorder="1" applyAlignment="1">
      <alignment horizontal="center" vertical="center"/>
    </xf>
    <xf numFmtId="0" fontId="14" fillId="3" borderId="1" xfId="0" applyFont="1" applyFill="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vertical="center"/>
    </xf>
    <xf numFmtId="0" fontId="0" fillId="0" borderId="1" xfId="0" applyBorder="1"/>
    <xf numFmtId="9" fontId="0" fillId="0" borderId="5" xfId="3" applyNumberFormat="1" applyFont="1" applyBorder="1" applyAlignment="1">
      <alignment vertical="center"/>
    </xf>
    <xf numFmtId="43" fontId="0" fillId="0" borderId="1" xfId="3" applyFont="1" applyBorder="1" applyAlignment="1">
      <alignment vertical="center"/>
    </xf>
    <xf numFmtId="43" fontId="0" fillId="0" borderId="1" xfId="3" applyFont="1" applyBorder="1" applyAlignment="1">
      <alignment horizontal="center" vertical="center"/>
    </xf>
    <xf numFmtId="0" fontId="0" fillId="0" borderId="1" xfId="0" applyBorder="1" applyAlignment="1">
      <alignment horizontal="left" vertical="center"/>
    </xf>
    <xf numFmtId="4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3" applyNumberFormat="1" applyFont="1" applyBorder="1" applyAlignment="1">
      <alignment horizontal="center" vertical="center"/>
    </xf>
    <xf numFmtId="0" fontId="0" fillId="0" borderId="1" xfId="0" applyBorder="1" applyAlignment="1">
      <alignment wrapText="1"/>
    </xf>
    <xf numFmtId="164" fontId="0" fillId="0" borderId="1" xfId="3" applyNumberFormat="1" applyFont="1" applyBorder="1" applyAlignment="1">
      <alignment horizontal="center"/>
    </xf>
    <xf numFmtId="43" fontId="0" fillId="0" borderId="0" xfId="0" applyNumberFormat="1"/>
    <xf numFmtId="0" fontId="0" fillId="0" borderId="0" xfId="0" applyAlignment="1">
      <alignment horizontal="center" vertical="center"/>
    </xf>
    <xf numFmtId="164" fontId="2" fillId="0" borderId="1"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0" fillId="4" borderId="1" xfId="0" applyFill="1" applyBorder="1" applyAlignment="1">
      <alignment horizontal="center" vertical="center"/>
    </xf>
    <xf numFmtId="166" fontId="0" fillId="4" borderId="1" xfId="1" applyNumberFormat="1" applyFont="1" applyFill="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0" fillId="4" borderId="1" xfId="0" applyFill="1" applyBorder="1" applyAlignment="1">
      <alignment horizontal="center" vertical="center" wrapText="1"/>
    </xf>
    <xf numFmtId="164" fontId="0" fillId="4" borderId="1" xfId="3" applyNumberFormat="1" applyFont="1" applyFill="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29"/>
  <sheetViews>
    <sheetView topLeftCell="A4" zoomScale="85" zoomScaleNormal="85" zoomScaleSheetLayoutView="85" workbookViewId="0">
      <selection activeCell="G6" sqref="G6:L6"/>
    </sheetView>
  </sheetViews>
  <sheetFormatPr defaultRowHeight="15" x14ac:dyDescent="0.25"/>
  <cols>
    <col min="2" max="2" width="7.28515625" bestFit="1" customWidth="1"/>
    <col min="3" max="3" width="13.140625" style="17" customWidth="1"/>
    <col min="4" max="4" width="22" style="17" customWidth="1"/>
    <col min="5" max="5" width="8.5703125" style="28" customWidth="1"/>
    <col min="6" max="6" width="9.7109375" customWidth="1"/>
    <col min="7" max="7" width="17.7109375" customWidth="1"/>
    <col min="8" max="8" width="10.140625" customWidth="1"/>
    <col min="9" max="9" width="14.28515625" customWidth="1"/>
    <col min="10" max="10" width="13.140625" hidden="1" customWidth="1"/>
    <col min="11" max="11" width="12.42578125" hidden="1" customWidth="1"/>
    <col min="12" max="12" width="16.42578125" customWidth="1"/>
    <col min="13" max="13" width="12.7109375" customWidth="1"/>
    <col min="14" max="14" width="12.42578125" hidden="1" customWidth="1"/>
    <col min="15" max="15" width="16.5703125" hidden="1" customWidth="1"/>
    <col min="16" max="16" width="16.7109375" hidden="1" customWidth="1"/>
    <col min="17" max="17" width="19" style="18" customWidth="1"/>
    <col min="18" max="18" width="17" bestFit="1" customWidth="1"/>
    <col min="19" max="20" width="14.28515625" bestFit="1" customWidth="1"/>
  </cols>
  <sheetData>
    <row r="2" spans="2:20" x14ac:dyDescent="0.25">
      <c r="G2">
        <v>2023</v>
      </c>
    </row>
    <row r="3" spans="2:20" ht="21.75" customHeight="1" x14ac:dyDescent="0.25">
      <c r="B3" s="59" t="s">
        <v>56</v>
      </c>
      <c r="C3" s="60"/>
      <c r="D3" s="60"/>
      <c r="E3" s="60"/>
      <c r="F3" s="60"/>
      <c r="G3" s="60"/>
      <c r="H3" s="60"/>
      <c r="I3" s="60"/>
      <c r="J3" s="60"/>
      <c r="K3" s="60"/>
      <c r="L3" s="60"/>
      <c r="M3" s="60"/>
      <c r="N3" s="60"/>
      <c r="O3" s="60"/>
      <c r="P3" s="60"/>
      <c r="Q3" s="61"/>
    </row>
    <row r="4" spans="2:20" s="15" customFormat="1" ht="60" x14ac:dyDescent="0.25">
      <c r="B4" s="13" t="s">
        <v>0</v>
      </c>
      <c r="C4" s="14" t="s">
        <v>1</v>
      </c>
      <c r="D4" s="14" t="s">
        <v>4</v>
      </c>
      <c r="E4" s="26" t="s">
        <v>44</v>
      </c>
      <c r="F4" s="14" t="s">
        <v>48</v>
      </c>
      <c r="G4" s="14" t="s">
        <v>2</v>
      </c>
      <c r="H4" s="14" t="s">
        <v>13</v>
      </c>
      <c r="I4" s="14" t="s">
        <v>14</v>
      </c>
      <c r="J4" s="14" t="s">
        <v>5</v>
      </c>
      <c r="K4" s="14" t="s">
        <v>7</v>
      </c>
      <c r="L4" s="14" t="s">
        <v>15</v>
      </c>
      <c r="M4" s="14" t="s">
        <v>11</v>
      </c>
      <c r="N4" s="14" t="s">
        <v>8</v>
      </c>
      <c r="O4" s="14" t="s">
        <v>9</v>
      </c>
      <c r="P4" s="14" t="s">
        <v>12</v>
      </c>
      <c r="Q4" s="14" t="s">
        <v>10</v>
      </c>
    </row>
    <row r="5" spans="2:20" ht="50.25" customHeight="1" x14ac:dyDescent="0.25">
      <c r="B5" s="2">
        <v>1</v>
      </c>
      <c r="C5" s="16" t="s">
        <v>49</v>
      </c>
      <c r="D5" s="16" t="s">
        <v>50</v>
      </c>
      <c r="E5" s="29">
        <v>1200</v>
      </c>
      <c r="F5" s="10">
        <v>10</v>
      </c>
      <c r="G5" s="56">
        <v>2003</v>
      </c>
      <c r="H5" s="2">
        <f>$G$2-G5</f>
        <v>20</v>
      </c>
      <c r="I5" s="2">
        <v>65</v>
      </c>
      <c r="J5" s="3">
        <v>0.1</v>
      </c>
      <c r="K5" s="5">
        <f>(1-J5)/I5</f>
        <v>1.3846153846153847E-2</v>
      </c>
      <c r="L5" s="57">
        <v>1500</v>
      </c>
      <c r="M5" s="6">
        <f>L5*E5</f>
        <v>1800000</v>
      </c>
      <c r="N5" s="6">
        <f t="shared" ref="N5" si="0">M5*K5*H5</f>
        <v>498461.5384615385</v>
      </c>
      <c r="O5" s="6">
        <f t="shared" ref="O5" si="1">MAX(M5-N5,0)</f>
        <v>1301538.4615384615</v>
      </c>
      <c r="P5" s="11">
        <v>0</v>
      </c>
      <c r="Q5" s="6">
        <f t="shared" ref="Q5" si="2">IF(O5&gt;J5*M5,O5*(1-P5),M5*J5)</f>
        <v>1301538.4615384615</v>
      </c>
      <c r="R5" s="12"/>
      <c r="S5" s="1"/>
      <c r="T5" s="1"/>
    </row>
    <row r="6" spans="2:20" x14ac:dyDescent="0.25">
      <c r="B6" s="62" t="s">
        <v>6</v>
      </c>
      <c r="C6" s="63"/>
      <c r="D6" s="64"/>
      <c r="E6" s="29">
        <f>SUM(E5)</f>
        <v>1200</v>
      </c>
      <c r="F6" s="9"/>
      <c r="G6" s="65"/>
      <c r="H6" s="65"/>
      <c r="I6" s="65"/>
      <c r="J6" s="65"/>
      <c r="K6" s="65"/>
      <c r="L6" s="65"/>
      <c r="M6" s="7">
        <f>SUM(M5:M5)</f>
        <v>1800000</v>
      </c>
      <c r="N6" s="7"/>
      <c r="O6" s="7">
        <f>SUM(O5:O5)</f>
        <v>1301538.4615384615</v>
      </c>
      <c r="P6" s="7"/>
      <c r="Q6" s="7">
        <f>SUM((Q5:Q5))</f>
        <v>1301538.4615384615</v>
      </c>
      <c r="R6" s="12"/>
    </row>
    <row r="7" spans="2:20" x14ac:dyDescent="0.25">
      <c r="B7" s="67" t="s">
        <v>16</v>
      </c>
      <c r="C7" s="67"/>
      <c r="D7" s="67"/>
      <c r="E7" s="67"/>
      <c r="F7" s="67"/>
      <c r="G7" s="67"/>
      <c r="H7" s="67"/>
      <c r="I7" s="67"/>
      <c r="J7" s="67"/>
      <c r="K7" s="67"/>
      <c r="L7" s="67"/>
      <c r="M7" s="67"/>
      <c r="N7" s="67"/>
      <c r="O7" s="67"/>
      <c r="P7" s="67"/>
      <c r="Q7" s="67"/>
      <c r="R7" s="12"/>
    </row>
    <row r="8" spans="2:20" x14ac:dyDescent="0.25">
      <c r="B8" s="66" t="s">
        <v>54</v>
      </c>
      <c r="C8" s="66"/>
      <c r="D8" s="66"/>
      <c r="E8" s="66"/>
      <c r="F8" s="66"/>
      <c r="G8" s="66"/>
      <c r="H8" s="66"/>
      <c r="I8" s="66"/>
      <c r="J8" s="66"/>
      <c r="K8" s="66"/>
      <c r="L8" s="66"/>
      <c r="M8" s="66"/>
      <c r="N8" s="66"/>
      <c r="O8" s="66"/>
      <c r="P8" s="66"/>
      <c r="Q8" s="66"/>
      <c r="R8" s="12"/>
    </row>
    <row r="9" spans="2:20" x14ac:dyDescent="0.25">
      <c r="B9" s="66" t="s">
        <v>55</v>
      </c>
      <c r="C9" s="58"/>
      <c r="D9" s="58"/>
      <c r="E9" s="58"/>
      <c r="F9" s="58"/>
      <c r="G9" s="58"/>
      <c r="H9" s="58"/>
      <c r="I9" s="58"/>
      <c r="J9" s="58"/>
      <c r="K9" s="58"/>
      <c r="L9" s="58"/>
      <c r="M9" s="58"/>
      <c r="N9" s="58"/>
      <c r="O9" s="58"/>
      <c r="P9" s="58"/>
      <c r="Q9" s="58"/>
      <c r="R9" s="12"/>
    </row>
    <row r="10" spans="2:20" x14ac:dyDescent="0.25">
      <c r="B10" s="58" t="s">
        <v>17</v>
      </c>
      <c r="C10" s="58"/>
      <c r="D10" s="58"/>
      <c r="E10" s="58"/>
      <c r="F10" s="58"/>
      <c r="G10" s="58"/>
      <c r="H10" s="58"/>
      <c r="I10" s="58"/>
      <c r="J10" s="58"/>
      <c r="K10" s="58"/>
      <c r="L10" s="58"/>
      <c r="M10" s="58"/>
      <c r="N10" s="58"/>
      <c r="O10" s="58"/>
      <c r="P10" s="58"/>
      <c r="Q10" s="58"/>
      <c r="R10" s="12"/>
    </row>
    <row r="11" spans="2:20" x14ac:dyDescent="0.25">
      <c r="R11" s="12"/>
    </row>
    <row r="12" spans="2:20" x14ac:dyDescent="0.25">
      <c r="R12" s="12"/>
    </row>
    <row r="13" spans="2:20" ht="15.75" x14ac:dyDescent="0.25">
      <c r="H13" s="19" t="s">
        <v>53</v>
      </c>
      <c r="I13" s="21">
        <f>ROUNDDOWN(68200,-3)</f>
        <v>68000</v>
      </c>
      <c r="O13" s="24" t="s">
        <v>26</v>
      </c>
      <c r="P13" s="21">
        <f>I14</f>
        <v>17730000</v>
      </c>
      <c r="R13" s="12"/>
    </row>
    <row r="14" spans="2:20" ht="15.75" x14ac:dyDescent="0.25">
      <c r="H14" s="19" t="s">
        <v>24</v>
      </c>
      <c r="I14" s="21">
        <f>45000*394</f>
        <v>17730000</v>
      </c>
      <c r="M14" s="25">
        <f>I15+I13</f>
        <v>1369538.4615384615</v>
      </c>
      <c r="O14" s="24" t="s">
        <v>27</v>
      </c>
      <c r="P14" s="21">
        <f>5583.61*20000</f>
        <v>111672200</v>
      </c>
      <c r="R14" s="12"/>
    </row>
    <row r="15" spans="2:20" x14ac:dyDescent="0.25">
      <c r="H15" s="19" t="s">
        <v>25</v>
      </c>
      <c r="I15" s="21">
        <f>Q5</f>
        <v>1301538.4615384615</v>
      </c>
      <c r="R15" s="12"/>
    </row>
    <row r="16" spans="2:20" ht="29.25" customHeight="1" x14ac:dyDescent="0.25">
      <c r="F16" s="17" t="s">
        <v>28</v>
      </c>
      <c r="G16" s="31">
        <f>5583.61*20000</f>
        <v>111672200</v>
      </c>
      <c r="H16" s="20" t="s">
        <v>20</v>
      </c>
      <c r="I16" s="22">
        <f>SUM(I13:I15)</f>
        <v>19099538.46153846</v>
      </c>
      <c r="L16" s="25">
        <f>I14+I15</f>
        <v>19031538.46153846</v>
      </c>
      <c r="N16" s="32"/>
      <c r="O16" s="17"/>
      <c r="P16" s="17"/>
      <c r="Q16" s="33"/>
      <c r="R16" s="30"/>
    </row>
    <row r="17" spans="3:20" ht="30" x14ac:dyDescent="0.25">
      <c r="H17" s="20" t="s">
        <v>23</v>
      </c>
      <c r="I17" s="22">
        <f>ROUNDDOWN(I16,-5)</f>
        <v>19000000</v>
      </c>
      <c r="R17" s="12"/>
    </row>
    <row r="18" spans="3:20" x14ac:dyDescent="0.25">
      <c r="F18" s="19" t="s">
        <v>18</v>
      </c>
      <c r="G18" s="23">
        <f>0.85*I17</f>
        <v>16150000</v>
      </c>
      <c r="H18" s="19" t="s">
        <v>18</v>
      </c>
      <c r="I18" s="22">
        <f>I17*0.85</f>
        <v>16150000</v>
      </c>
      <c r="R18" s="12"/>
    </row>
    <row r="19" spans="3:20" x14ac:dyDescent="0.25">
      <c r="F19" s="19" t="s">
        <v>19</v>
      </c>
      <c r="G19" s="23">
        <f>0.75*I17</f>
        <v>14250000</v>
      </c>
      <c r="H19" s="19" t="s">
        <v>19</v>
      </c>
      <c r="I19" s="22">
        <f>I17*0.75</f>
        <v>14250000</v>
      </c>
      <c r="R19" s="12"/>
    </row>
    <row r="20" spans="3:20" ht="15" customHeight="1" x14ac:dyDescent="0.25">
      <c r="R20" s="12"/>
    </row>
    <row r="22" spans="3:20" x14ac:dyDescent="0.25">
      <c r="C22" s="54"/>
      <c r="D22" s="55"/>
      <c r="R22" s="8"/>
      <c r="S22" s="4"/>
      <c r="T22" s="4"/>
    </row>
    <row r="23" spans="3:20" x14ac:dyDescent="0.25">
      <c r="C23" s="52"/>
      <c r="D23"/>
      <c r="F23" s="50"/>
      <c r="M23" s="49"/>
    </row>
    <row r="24" spans="3:20" x14ac:dyDescent="0.25">
      <c r="C24" s="52"/>
      <c r="D24"/>
      <c r="H24" s="49" t="e">
        <f>#REF!/10.7642</f>
        <v>#REF!</v>
      </c>
      <c r="I24">
        <f>3147/450*10.764</f>
        <v>75.276239999999987</v>
      </c>
      <c r="L24">
        <f>50+61+66+62.5</f>
        <v>239.5</v>
      </c>
    </row>
    <row r="25" spans="3:20" x14ac:dyDescent="0.25">
      <c r="C25" s="52"/>
      <c r="D25"/>
    </row>
    <row r="26" spans="3:20" x14ac:dyDescent="0.25">
      <c r="C26" s="52"/>
      <c r="D26" s="50"/>
    </row>
    <row r="27" spans="3:20" x14ac:dyDescent="0.25">
      <c r="C27" s="52"/>
      <c r="D27" s="50"/>
    </row>
    <row r="28" spans="3:20" ht="15" customHeight="1" x14ac:dyDescent="0.25">
      <c r="C28" s="53"/>
      <c r="D28" s="50"/>
    </row>
    <row r="29" spans="3:20" x14ac:dyDescent="0.25">
      <c r="D29" s="50"/>
    </row>
  </sheetData>
  <mergeCells count="7">
    <mergeCell ref="B10:Q10"/>
    <mergeCell ref="B3:Q3"/>
    <mergeCell ref="B6:D6"/>
    <mergeCell ref="G6:L6"/>
    <mergeCell ref="B8:Q8"/>
    <mergeCell ref="B9:Q9"/>
    <mergeCell ref="B7:Q7"/>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6:F17"/>
  <sheetViews>
    <sheetView workbookViewId="0">
      <selection activeCell="E12" sqref="E12"/>
    </sheetView>
  </sheetViews>
  <sheetFormatPr defaultRowHeight="15" x14ac:dyDescent="0.25"/>
  <cols>
    <col min="4" max="4" width="29.5703125" customWidth="1"/>
    <col min="5" max="5" width="23.85546875" customWidth="1"/>
    <col min="6" max="6" width="22.42578125" customWidth="1"/>
  </cols>
  <sheetData>
    <row r="6" spans="4:6" ht="30" x14ac:dyDescent="0.25">
      <c r="D6" s="34" t="s">
        <v>29</v>
      </c>
      <c r="E6" s="35" t="s">
        <v>30</v>
      </c>
      <c r="F6" s="36" t="s">
        <v>21</v>
      </c>
    </row>
    <row r="7" spans="4:6" x14ac:dyDescent="0.25">
      <c r="D7" s="37" t="s">
        <v>31</v>
      </c>
      <c r="E7" s="38">
        <v>5583.61</v>
      </c>
      <c r="F7" s="39" t="s">
        <v>32</v>
      </c>
    </row>
    <row r="8" spans="4:6" ht="75" x14ac:dyDescent="0.25">
      <c r="D8" s="37" t="s">
        <v>33</v>
      </c>
      <c r="E8" s="40">
        <v>0.6</v>
      </c>
    </row>
    <row r="9" spans="4:6" ht="30" x14ac:dyDescent="0.25">
      <c r="D9" s="37" t="s">
        <v>34</v>
      </c>
      <c r="E9" s="41">
        <v>1.3</v>
      </c>
    </row>
    <row r="10" spans="4:6" ht="60" x14ac:dyDescent="0.25">
      <c r="D10" s="37" t="s">
        <v>35</v>
      </c>
      <c r="E10" s="42">
        <f>E7*E8*10.76</f>
        <v>36047.786159999996</v>
      </c>
      <c r="F10" s="2" t="s">
        <v>36</v>
      </c>
    </row>
    <row r="11" spans="4:6" x14ac:dyDescent="0.25">
      <c r="D11" s="43" t="s">
        <v>37</v>
      </c>
      <c r="E11" s="27">
        <v>50612</v>
      </c>
      <c r="F11" s="2" t="s">
        <v>36</v>
      </c>
    </row>
    <row r="12" spans="4:6" ht="30" x14ac:dyDescent="0.25">
      <c r="D12" s="37" t="s">
        <v>38</v>
      </c>
      <c r="E12" s="42">
        <f>(G7*E9)-E10</f>
        <v>-36047.786159999996</v>
      </c>
      <c r="F12" s="2" t="s">
        <v>36</v>
      </c>
    </row>
    <row r="13" spans="4:6" x14ac:dyDescent="0.25">
      <c r="D13" s="37" t="s">
        <v>39</v>
      </c>
      <c r="E13" s="42">
        <f>E12</f>
        <v>-36047.786159999996</v>
      </c>
      <c r="F13" s="2" t="s">
        <v>36</v>
      </c>
    </row>
    <row r="14" spans="4:6" x14ac:dyDescent="0.25">
      <c r="D14" s="43" t="s">
        <v>40</v>
      </c>
      <c r="E14" s="44" t="e">
        <f>SUM(#REF!)</f>
        <v>#REF!</v>
      </c>
      <c r="F14" s="2" t="s">
        <v>36</v>
      </c>
    </row>
    <row r="15" spans="4:6" x14ac:dyDescent="0.25">
      <c r="D15" s="45" t="s">
        <v>41</v>
      </c>
      <c r="E15" s="42" t="e">
        <f>E11+E14</f>
        <v>#REF!</v>
      </c>
      <c r="F15" s="2" t="s">
        <v>36</v>
      </c>
    </row>
    <row r="16" spans="4:6" ht="30" x14ac:dyDescent="0.25">
      <c r="D16" s="45" t="s">
        <v>42</v>
      </c>
      <c r="E16" s="46">
        <f>G7*E9</f>
        <v>0</v>
      </c>
      <c r="F16" s="2" t="s">
        <v>36</v>
      </c>
    </row>
    <row r="17" spans="4:6" x14ac:dyDescent="0.25">
      <c r="D17" s="47" t="s">
        <v>43</v>
      </c>
      <c r="E17" s="48" t="e">
        <f>E16-E15</f>
        <v>#REF!</v>
      </c>
      <c r="F17" s="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S28"/>
  <sheetViews>
    <sheetView tabSelected="1" zoomScale="85" zoomScaleNormal="85" workbookViewId="0">
      <selection activeCell="N7" sqref="N7"/>
    </sheetView>
  </sheetViews>
  <sheetFormatPr defaultRowHeight="15" x14ac:dyDescent="0.25"/>
  <cols>
    <col min="2" max="2" width="7.28515625" customWidth="1"/>
    <col min="3" max="3" width="9.7109375" bestFit="1" customWidth="1"/>
    <col min="4" max="4" width="20.42578125" customWidth="1"/>
    <col min="5" max="5" width="10.5703125" customWidth="1"/>
    <col min="6" max="6" width="8.5703125" customWidth="1"/>
    <col min="7" max="7" width="9.7109375" bestFit="1" customWidth="1"/>
    <col min="8" max="8" width="10.42578125" bestFit="1" customWidth="1"/>
    <col min="9" max="9" width="9" customWidth="1"/>
    <col min="10" max="10" width="9.7109375" bestFit="1" customWidth="1"/>
    <col min="11" max="11" width="10.5703125" bestFit="1" customWidth="1"/>
    <col min="12" max="12" width="7.7109375" customWidth="1"/>
    <col min="13" max="13" width="10.7109375" bestFit="1" customWidth="1"/>
    <col min="14" max="14" width="10.5703125" bestFit="1" customWidth="1"/>
    <col min="15" max="15" width="11.7109375" bestFit="1" customWidth="1"/>
    <col min="16" max="16" width="10.7109375" bestFit="1" customWidth="1"/>
    <col min="17" max="17" width="11.7109375" bestFit="1" customWidth="1"/>
    <col min="18" max="18" width="9.85546875" bestFit="1" customWidth="1"/>
    <col min="19" max="19" width="11.7109375" bestFit="1" customWidth="1"/>
  </cols>
  <sheetData>
    <row r="5" spans="2:19" ht="15.75" x14ac:dyDescent="0.25">
      <c r="B5" s="59" t="s">
        <v>45</v>
      </c>
      <c r="C5" s="60"/>
      <c r="D5" s="60"/>
      <c r="E5" s="60"/>
      <c r="F5" s="60"/>
      <c r="G5" s="60"/>
      <c r="H5" s="60"/>
      <c r="I5" s="60"/>
      <c r="J5" s="60"/>
      <c r="K5" s="60"/>
      <c r="L5" s="60"/>
      <c r="M5" s="60"/>
      <c r="N5" s="60"/>
      <c r="O5" s="60"/>
      <c r="P5" s="60"/>
      <c r="Q5" s="60"/>
      <c r="R5" s="60"/>
      <c r="S5" s="61"/>
    </row>
    <row r="6" spans="2:19" ht="90" x14ac:dyDescent="0.25">
      <c r="B6" s="13" t="s">
        <v>0</v>
      </c>
      <c r="C6" s="14" t="s">
        <v>1</v>
      </c>
      <c r="D6" s="14" t="s">
        <v>4</v>
      </c>
      <c r="E6" s="14" t="s">
        <v>47</v>
      </c>
      <c r="F6" s="26" t="s">
        <v>44</v>
      </c>
      <c r="G6" s="14" t="s">
        <v>48</v>
      </c>
      <c r="H6" s="14" t="s">
        <v>2</v>
      </c>
      <c r="I6" s="14" t="s">
        <v>3</v>
      </c>
      <c r="J6" s="14" t="s">
        <v>13</v>
      </c>
      <c r="K6" s="14" t="s">
        <v>14</v>
      </c>
      <c r="L6" s="14" t="s">
        <v>5</v>
      </c>
      <c r="M6" s="14" t="s">
        <v>7</v>
      </c>
      <c r="N6" s="14" t="s">
        <v>15</v>
      </c>
      <c r="O6" s="14" t="s">
        <v>11</v>
      </c>
      <c r="P6" s="14" t="s">
        <v>8</v>
      </c>
      <c r="Q6" s="14" t="s">
        <v>9</v>
      </c>
      <c r="R6" s="14" t="s">
        <v>12</v>
      </c>
      <c r="S6" s="14" t="s">
        <v>10</v>
      </c>
    </row>
    <row r="7" spans="2:19" ht="30" x14ac:dyDescent="0.25">
      <c r="B7" s="2">
        <v>3</v>
      </c>
      <c r="C7" s="16" t="s">
        <v>51</v>
      </c>
      <c r="D7" s="68" t="s">
        <v>52</v>
      </c>
      <c r="E7" s="69">
        <f>F7/10.764</f>
        <v>2.0438498699368264</v>
      </c>
      <c r="F7" s="69">
        <v>22</v>
      </c>
      <c r="G7" s="10">
        <v>15</v>
      </c>
      <c r="H7" s="2">
        <v>2003</v>
      </c>
      <c r="I7" s="56">
        <v>2022</v>
      </c>
      <c r="J7" s="2">
        <f>I7-H7</f>
        <v>19</v>
      </c>
      <c r="K7" s="2">
        <v>45</v>
      </c>
      <c r="L7" s="3">
        <v>0.1</v>
      </c>
      <c r="M7" s="5">
        <f>(1-L7)/K7</f>
        <v>0.02</v>
      </c>
      <c r="N7" s="57">
        <v>5000</v>
      </c>
      <c r="O7" s="6">
        <f>N7*F7</f>
        <v>110000</v>
      </c>
      <c r="P7" s="6">
        <f>O7*M7*J7</f>
        <v>41800</v>
      </c>
      <c r="Q7" s="6">
        <f>MAX(O7-P7,0)</f>
        <v>68200</v>
      </c>
      <c r="R7" s="11">
        <v>0</v>
      </c>
      <c r="S7" s="6">
        <f t="shared" ref="S7" si="0">IF(Q7&gt;L7*O7,Q7*(1-R7),O7*L7)</f>
        <v>68200</v>
      </c>
    </row>
    <row r="8" spans="2:19" x14ac:dyDescent="0.25">
      <c r="B8" s="62" t="s">
        <v>6</v>
      </c>
      <c r="C8" s="63"/>
      <c r="D8" s="64"/>
      <c r="E8" s="51">
        <f>SUM(E7:E7)</f>
        <v>2.0438498699368264</v>
      </c>
      <c r="F8" s="29">
        <f t="shared" ref="F8" si="1">10.764*E8</f>
        <v>21.999999999999996</v>
      </c>
      <c r="G8" s="9"/>
      <c r="H8" s="65"/>
      <c r="I8" s="65"/>
      <c r="J8" s="65"/>
      <c r="K8" s="65"/>
      <c r="L8" s="65"/>
      <c r="M8" s="65"/>
      <c r="N8" s="65"/>
      <c r="O8" s="7">
        <f>SUM(O7:O7)</f>
        <v>110000</v>
      </c>
      <c r="P8" s="7"/>
      <c r="Q8" s="7">
        <f>SUM(Q7:Q7)</f>
        <v>68200</v>
      </c>
      <c r="R8" s="7"/>
      <c r="S8" s="7">
        <f>SUM((S7:S7))</f>
        <v>68200</v>
      </c>
    </row>
    <row r="9" spans="2:19" x14ac:dyDescent="0.25">
      <c r="B9" s="67" t="s">
        <v>16</v>
      </c>
      <c r="C9" s="67"/>
      <c r="D9" s="67"/>
      <c r="E9" s="67"/>
      <c r="F9" s="67"/>
      <c r="G9" s="67"/>
      <c r="H9" s="67"/>
      <c r="I9" s="67"/>
      <c r="J9" s="67"/>
      <c r="K9" s="67"/>
      <c r="L9" s="67"/>
      <c r="M9" s="67"/>
      <c r="N9" s="67"/>
      <c r="O9" s="67"/>
      <c r="P9" s="67"/>
      <c r="Q9" s="67"/>
      <c r="R9" s="67"/>
      <c r="S9" s="67"/>
    </row>
    <row r="10" spans="2:19" x14ac:dyDescent="0.25">
      <c r="B10" s="66" t="s">
        <v>22</v>
      </c>
      <c r="C10" s="66"/>
      <c r="D10" s="66"/>
      <c r="E10" s="66"/>
      <c r="F10" s="66"/>
      <c r="G10" s="66"/>
      <c r="H10" s="66"/>
      <c r="I10" s="66"/>
      <c r="J10" s="66"/>
      <c r="K10" s="66"/>
      <c r="L10" s="66"/>
      <c r="M10" s="66"/>
      <c r="N10" s="66"/>
      <c r="O10" s="66"/>
      <c r="P10" s="66"/>
      <c r="Q10" s="66"/>
      <c r="R10" s="66"/>
      <c r="S10" s="66"/>
    </row>
    <row r="11" spans="2:19" x14ac:dyDescent="0.25">
      <c r="B11" s="66" t="s">
        <v>46</v>
      </c>
      <c r="C11" s="58"/>
      <c r="D11" s="58"/>
      <c r="E11" s="58"/>
      <c r="F11" s="58"/>
      <c r="G11" s="58"/>
      <c r="H11" s="58"/>
      <c r="I11" s="58"/>
      <c r="J11" s="58"/>
      <c r="K11" s="58"/>
      <c r="L11" s="58"/>
      <c r="M11" s="58"/>
      <c r="N11" s="58"/>
      <c r="O11" s="58"/>
      <c r="P11" s="58"/>
      <c r="Q11" s="58"/>
      <c r="R11" s="58"/>
      <c r="S11" s="58"/>
    </row>
    <row r="12" spans="2:19" x14ac:dyDescent="0.25">
      <c r="B12" s="58" t="s">
        <v>17</v>
      </c>
      <c r="C12" s="58"/>
      <c r="D12" s="58"/>
      <c r="E12" s="58"/>
      <c r="F12" s="58"/>
      <c r="G12" s="58"/>
      <c r="H12" s="58"/>
      <c r="I12" s="58"/>
      <c r="J12" s="58"/>
      <c r="K12" s="58"/>
      <c r="L12" s="58"/>
      <c r="M12" s="58"/>
      <c r="N12" s="58"/>
      <c r="O12" s="58"/>
      <c r="P12" s="58"/>
      <c r="Q12" s="58"/>
      <c r="R12" s="58"/>
      <c r="S12" s="58"/>
    </row>
    <row r="28" spans="18:18" x14ac:dyDescent="0.25"/>
  </sheetData>
  <mergeCells count="7">
    <mergeCell ref="B11:S11"/>
    <mergeCell ref="B12:S12"/>
    <mergeCell ref="B8:D8"/>
    <mergeCell ref="B5:S5"/>
    <mergeCell ref="H8:N8"/>
    <mergeCell ref="B9:S9"/>
    <mergeCell ref="B10:S10"/>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FAR</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welcome</cp:lastModifiedBy>
  <cp:lastPrinted>2022-01-07T08:12:53Z</cp:lastPrinted>
  <dcterms:created xsi:type="dcterms:W3CDTF">2021-09-16T11:33:35Z</dcterms:created>
  <dcterms:modified xsi:type="dcterms:W3CDTF">2023-10-26T09:27:59Z</dcterms:modified>
</cp:coreProperties>
</file>