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n Progress Files\Vishal Singh\WIP\VIS(2023-24)-PL494-409-622\"/>
    </mc:Choice>
  </mc:AlternateContent>
  <bookViews>
    <workbookView xWindow="0" yWindow="0" windowWidth="2370" windowHeight="0" activeTab="2"/>
  </bookViews>
  <sheets>
    <sheet name="FMV" sheetId="1" r:id="rId1"/>
    <sheet name="Govt." sheetId="3" r:id="rId2"/>
    <sheet name="Calculations" sheetId="4" r:id="rId3"/>
    <sheet name="Sheet2" sheetId="5" r:id="rId4"/>
  </sheets>
  <definedNames>
    <definedName name="_xlnm._FilterDatabase" localSheetId="0" hidden="1">FMV!$E$3:$E$35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4" l="1"/>
  <c r="K18" i="4"/>
  <c r="F10" i="4" l="1"/>
  <c r="B10" i="4"/>
  <c r="E26" i="4"/>
  <c r="B7" i="4" l="1"/>
  <c r="H7" i="3"/>
  <c r="D6" i="3"/>
  <c r="S5" i="1"/>
  <c r="H12" i="5" l="1"/>
  <c r="H13" i="5"/>
  <c r="H14" i="5"/>
  <c r="H11" i="5"/>
  <c r="G21" i="4" l="1"/>
  <c r="AE11" i="1" l="1"/>
  <c r="AE12" i="1"/>
  <c r="AE13" i="1"/>
  <c r="AE10" i="1"/>
  <c r="E15" i="1"/>
  <c r="G15" i="1" s="1"/>
  <c r="J15" i="1"/>
  <c r="N4" i="4" l="1"/>
  <c r="A22" i="4"/>
  <c r="E23" i="4"/>
  <c r="M3" i="4"/>
  <c r="M5" i="4" s="1"/>
  <c r="N3" i="4" l="1"/>
  <c r="N5" i="4" s="1"/>
  <c r="U6" i="1"/>
  <c r="R5" i="1"/>
  <c r="T5" i="1" s="1"/>
  <c r="P5" i="1"/>
  <c r="M5" i="1"/>
  <c r="I5" i="1" l="1"/>
  <c r="R6" i="1"/>
  <c r="F14" i="4" s="1"/>
  <c r="H6" i="1"/>
  <c r="V5" i="1"/>
  <c r="K8" i="4"/>
  <c r="AB38" i="1"/>
  <c r="K6" i="4"/>
  <c r="K15" i="4"/>
  <c r="V6" i="1" l="1"/>
  <c r="F7" i="4" s="1"/>
  <c r="I6" i="1"/>
  <c r="AJ33" i="1"/>
  <c r="AH33" i="1"/>
  <c r="AK33" i="1" s="1"/>
  <c r="AJ32" i="1"/>
  <c r="AH32" i="1"/>
  <c r="AE32" i="1"/>
  <c r="B20" i="4"/>
  <c r="I3" i="4"/>
  <c r="B19" i="4"/>
  <c r="Y12" i="1"/>
  <c r="F19" i="4"/>
  <c r="AK32" i="1" l="1"/>
  <c r="AL33" i="1"/>
  <c r="AN33" i="1" s="1"/>
  <c r="AL32" i="1"/>
  <c r="AN32" i="1" s="1"/>
  <c r="L25" i="1"/>
  <c r="C3" i="4" l="1"/>
  <c r="H8" i="3" s="1"/>
  <c r="H9" i="3" s="1"/>
  <c r="B6" i="4" l="1"/>
  <c r="Z20" i="1" l="1"/>
  <c r="Z19" i="1"/>
  <c r="Z16" i="1"/>
  <c r="X13" i="1" s="1"/>
  <c r="X23" i="1"/>
  <c r="X25" i="1" s="1"/>
  <c r="I17" i="4" l="1"/>
  <c r="G3" i="4"/>
  <c r="F6" i="4" l="1"/>
  <c r="H4" i="4"/>
  <c r="B17" i="4"/>
  <c r="B11" i="4"/>
  <c r="B13" i="4" s="1"/>
  <c r="AC4" i="1"/>
  <c r="AD4" i="1" s="1"/>
  <c r="AA9" i="1"/>
  <c r="AA8" i="1"/>
  <c r="AA7" i="1"/>
  <c r="F11" i="4" l="1"/>
  <c r="H6" i="3"/>
  <c r="B12" i="4"/>
  <c r="F13" i="4" l="1"/>
  <c r="F12" i="4"/>
  <c r="K17" i="1"/>
  <c r="Y6" i="1" l="1"/>
</calcChain>
</file>

<file path=xl/sharedStrings.xml><?xml version="1.0" encoding="utf-8"?>
<sst xmlns="http://schemas.openxmlformats.org/spreadsheetml/2006/main" count="74" uniqueCount="63">
  <si>
    <t>SR. No.</t>
  </si>
  <si>
    <t>Floor</t>
  </si>
  <si>
    <t>Type of Structure</t>
  </si>
  <si>
    <r>
      <t xml:space="preserve">Area 
</t>
    </r>
    <r>
      <rPr>
        <b/>
        <i/>
        <sz val="10"/>
        <rFont val="Calibri"/>
        <family val="2"/>
        <scheme val="minor"/>
      </rPr>
      <t>(in sq.ft)</t>
    </r>
  </si>
  <si>
    <r>
      <t xml:space="preserve">Height </t>
    </r>
    <r>
      <rPr>
        <b/>
        <i/>
        <sz val="10"/>
        <rFont val="Calibri"/>
        <family val="2"/>
        <scheme val="minor"/>
      </rPr>
      <t>(in 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</si>
  <si>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</si>
  <si>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</si>
  <si>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</si>
  <si>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</si>
  <si>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</si>
  <si>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</si>
  <si>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</si>
  <si>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</si>
  <si>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Discounting Factor</t>
  </si>
  <si>
    <t>Depreciated Replacement Market Value
(INR)</t>
  </si>
  <si>
    <t>TOTAL</t>
  </si>
  <si>
    <t>Remarks:</t>
  </si>
  <si>
    <r>
      <t>Area</t>
    </r>
    <r>
      <rPr>
        <b/>
        <sz val="10"/>
        <rFont val="Calibri"/>
        <family val="2"/>
        <scheme val="minor"/>
      </rPr>
      <t xml:space="preserve"> (in sq. mtr.)</t>
    </r>
  </si>
  <si>
    <t>RCC structure bounded by brick wall</t>
  </si>
  <si>
    <t>Depriciation Factor</t>
  </si>
  <si>
    <t>Particular</t>
  </si>
  <si>
    <t>Govt guidline rate for construction(Per SQM)</t>
  </si>
  <si>
    <t>Guidline Value</t>
  </si>
  <si>
    <t>Particulars</t>
  </si>
  <si>
    <r>
      <t>4.</t>
    </r>
    <r>
      <rPr>
        <b/>
        <i/>
        <sz val="10"/>
        <color theme="1"/>
        <rFont val="Calibri"/>
        <family val="2"/>
        <scheme val="minor"/>
      </rPr>
      <t xml:space="preserve"> The valuation is done by considering the depreciated replacement cost approach.</t>
    </r>
  </si>
  <si>
    <t>Land</t>
  </si>
  <si>
    <t>Rate</t>
  </si>
  <si>
    <t>Value</t>
  </si>
  <si>
    <t xml:space="preserve"> -   </t>
  </si>
  <si>
    <t>land</t>
  </si>
  <si>
    <t>Building</t>
  </si>
  <si>
    <t>Aesthetic</t>
  </si>
  <si>
    <t>Fair market</t>
  </si>
  <si>
    <t>Round off</t>
  </si>
  <si>
    <t>Realizable</t>
  </si>
  <si>
    <t>Distress</t>
  </si>
  <si>
    <t>FMV</t>
  </si>
  <si>
    <t>Govt.</t>
  </si>
  <si>
    <t>Depreciation amount
(INR)</t>
  </si>
  <si>
    <t xml:space="preserve">Depreciation factor
 </t>
  </si>
  <si>
    <t>RCC</t>
  </si>
  <si>
    <t>Rs.8,00,000</t>
  </si>
  <si>
    <t>Insurance</t>
  </si>
  <si>
    <t xml:space="preserve"> Ground Floor</t>
  </si>
  <si>
    <t>BUILDING VALUATION FOR MR. RAMESH LAL</t>
  </si>
  <si>
    <t>Govt depriciated rate=15000*0.851</t>
  </si>
  <si>
    <t>Govt Land</t>
  </si>
  <si>
    <t>L</t>
  </si>
  <si>
    <t>B</t>
  </si>
  <si>
    <r>
      <t xml:space="preserve">3. </t>
    </r>
    <r>
      <rPr>
        <b/>
        <i/>
        <sz val="10"/>
        <color theme="1"/>
        <rFont val="Calibri"/>
        <family val="2"/>
        <scheme val="minor"/>
      </rPr>
      <t>All the structure that has been taken as per site survey measurment, as no relevant data/document was provided.</t>
    </r>
  </si>
  <si>
    <r>
      <t xml:space="preserve">Area 
</t>
    </r>
    <r>
      <rPr>
        <b/>
        <i/>
        <sz val="10"/>
        <rFont val="Calibri"/>
        <family val="2"/>
        <scheme val="minor"/>
      </rPr>
      <t>(in sq.mt)</t>
    </r>
  </si>
  <si>
    <t>P&amp;M</t>
  </si>
  <si>
    <r>
      <t xml:space="preserve">1. </t>
    </r>
    <r>
      <rPr>
        <b/>
        <i/>
        <sz val="10"/>
        <color theme="1"/>
        <rFont val="Calibri"/>
        <family val="2"/>
        <scheme val="minor"/>
      </rPr>
      <t>All the details pertaining to the building area statement such as area, floor,type of structure, age of the building etc. has been taken as per the site measurment carried out, during site survey.</t>
    </r>
  </si>
  <si>
    <t>n</t>
  </si>
  <si>
    <t>s</t>
  </si>
  <si>
    <t>e</t>
  </si>
  <si>
    <t>w</t>
  </si>
  <si>
    <t>Ground Floor</t>
  </si>
  <si>
    <t>Covered Area(In Sq. Ft.)</t>
  </si>
  <si>
    <t>2. Construction year of the building is taken as per the details mentioned by the owner.</t>
  </si>
  <si>
    <t>BUILDING VALUATION FOR Mr. Ravidra Singh Gusain</t>
  </si>
  <si>
    <t>Building/Land</t>
  </si>
  <si>
    <t>Yard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</si>
</sst>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_ * #,##0_ ;_ * \-#,##0_ ;_ * &quot;-&quot;??_ ;_ @_ "/>
    <numFmt numFmtId="166" formatCode="_ * #,##0.000_ ;_ * \-#,##0.000_ ;_ * &quot;-&quot;??_ ;_ @_ "/>
    <numFmt numFmtId="167" formatCode="_ * #,##0.0000_ ;_ * \-#,##0.0000_ ;_ * &quot;-&quot;??_ ;_ @_ "/>
    <numFmt numFmtId="168" formatCode="_ * #,##0.00000_ ;_ * \-#,##0.00000_ ;_ * &quot;-&quot;??_ ;_ @_ "/>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b/>
      <i/>
      <sz val="11"/>
      <color theme="1"/>
      <name val="Calibri"/>
      <family val="2"/>
      <scheme val="minor"/>
    </font>
    <font>
      <b/>
      <i/>
      <sz val="10"/>
      <color theme="1"/>
      <name val="Calibri"/>
      <family val="2"/>
      <scheme val="minor"/>
    </font>
    <font>
      <b/>
      <sz val="10"/>
      <name val="Calibri"/>
      <family val="2"/>
      <scheme val="minor"/>
    </font>
    <font>
      <b/>
      <sz val="12"/>
      <color theme="1"/>
      <name val="Calibri"/>
      <family val="2"/>
      <scheme val="minor"/>
    </font>
    <font>
      <sz val="11"/>
      <name val="Calibri"/>
      <family val="2"/>
      <scheme val="minor"/>
    </font>
    <font>
      <b/>
      <sz val="10"/>
      <color theme="1"/>
      <name val="Arial"/>
      <family val="2"/>
    </font>
  </fonts>
  <fills count="5">
    <fill>
      <patternFill patternType="none"/>
    </fill>
    <fill>
      <patternFill patternType="gray125"/>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4" fillId="3" borderId="4" xfId="0" applyFont="1" applyFill="1" applyBorder="1" applyAlignment="1">
      <alignment horizontal="center" vertical="center" wrapText="1"/>
    </xf>
    <xf numFmtId="0" fontId="0" fillId="0" borderId="0" xfId="0" applyAlignment="1">
      <alignment wrapText="1"/>
    </xf>
    <xf numFmtId="165" fontId="0" fillId="0" borderId="0" xfId="1" applyNumberFormat="1" applyFont="1"/>
    <xf numFmtId="164" fontId="0" fillId="0" borderId="0" xfId="0" applyNumberFormat="1"/>
    <xf numFmtId="164" fontId="0" fillId="0" borderId="0" xfId="1" applyFont="1"/>
    <xf numFmtId="0" fontId="0" fillId="4" borderId="0" xfId="0" applyFill="1"/>
    <xf numFmtId="0" fontId="10" fillId="4" borderId="4" xfId="0" applyFont="1" applyFill="1" applyBorder="1" applyAlignment="1">
      <alignment horizontal="center" vertical="center" wrapText="1"/>
    </xf>
    <xf numFmtId="9" fontId="10" fillId="4" borderId="4"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164" fontId="4" fillId="3" borderId="15" xfId="1" applyFont="1" applyFill="1" applyBorder="1" applyAlignment="1">
      <alignment horizontal="center" vertical="center" wrapText="1"/>
    </xf>
    <xf numFmtId="165" fontId="4" fillId="3" borderId="16" xfId="1" applyNumberFormat="1"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wrapText="1"/>
    </xf>
    <xf numFmtId="164" fontId="0" fillId="0" borderId="10" xfId="1" applyFont="1" applyBorder="1" applyAlignment="1">
      <alignment horizontal="center" vertical="center"/>
    </xf>
    <xf numFmtId="164" fontId="1" fillId="0" borderId="10" xfId="1" applyFill="1" applyBorder="1" applyAlignment="1">
      <alignment horizontal="center" vertical="center" wrapText="1"/>
    </xf>
    <xf numFmtId="165" fontId="0" fillId="0" borderId="10" xfId="1" applyNumberFormat="1" applyFont="1" applyBorder="1" applyAlignment="1">
      <alignment horizontal="center" vertical="center" wrapText="1"/>
    </xf>
    <xf numFmtId="166" fontId="0" fillId="0" borderId="10" xfId="1" applyNumberFormat="1" applyFont="1" applyBorder="1" applyAlignment="1">
      <alignment horizontal="center" vertical="center" wrapText="1"/>
    </xf>
    <xf numFmtId="165" fontId="1" fillId="0" borderId="11" xfId="1" applyNumberFormat="1" applyFill="1" applyBorder="1" applyAlignment="1">
      <alignment horizontal="center" vertical="center" wrapText="1"/>
    </xf>
    <xf numFmtId="167" fontId="0" fillId="0" borderId="0" xfId="0" applyNumberFormat="1"/>
    <xf numFmtId="165" fontId="2" fillId="0" borderId="20" xfId="1" applyNumberFormat="1" applyFont="1" applyBorder="1"/>
    <xf numFmtId="0" fontId="2" fillId="0" borderId="0" xfId="0" applyFont="1"/>
    <xf numFmtId="0" fontId="2" fillId="0" borderId="0" xfId="0" applyFont="1" applyAlignment="1">
      <alignment wrapText="1"/>
    </xf>
    <xf numFmtId="0" fontId="2" fillId="4" borderId="0" xfId="0" applyFont="1" applyFill="1"/>
    <xf numFmtId="164" fontId="10" fillId="0" borderId="4" xfId="1" applyFont="1" applyBorder="1" applyAlignment="1">
      <alignment horizontal="center" vertical="center" wrapText="1"/>
    </xf>
    <xf numFmtId="165" fontId="10" fillId="4" borderId="4" xfId="1" applyNumberFormat="1" applyFont="1" applyFill="1" applyBorder="1" applyAlignment="1">
      <alignment horizontal="center" vertical="center" wrapText="1"/>
    </xf>
    <xf numFmtId="164" fontId="4" fillId="0" borderId="5" xfId="1" applyFont="1" applyFill="1" applyBorder="1" applyAlignment="1">
      <alignment horizontal="center" vertical="center" wrapText="1"/>
    </xf>
    <xf numFmtId="2" fontId="10" fillId="4" borderId="4" xfId="0" applyNumberFormat="1" applyFont="1" applyFill="1" applyBorder="1" applyAlignment="1">
      <alignment horizontal="center" vertical="center" wrapText="1"/>
    </xf>
    <xf numFmtId="9" fontId="0" fillId="0" borderId="0" xfId="0" applyNumberFormat="1"/>
    <xf numFmtId="165" fontId="0" fillId="0" borderId="0" xfId="0" applyNumberFormat="1"/>
    <xf numFmtId="0" fontId="0" fillId="0" borderId="4" xfId="0" applyBorder="1" applyAlignment="1">
      <alignment horizontal="left" vertical="center"/>
    </xf>
    <xf numFmtId="0" fontId="0" fillId="0" borderId="4" xfId="0" applyBorder="1" applyAlignment="1">
      <alignment horizontal="center" vertical="center"/>
    </xf>
    <xf numFmtId="2" fontId="0" fillId="0" borderId="0" xfId="0" applyNumberFormat="1"/>
    <xf numFmtId="2" fontId="0" fillId="0" borderId="21" xfId="0" applyNumberFormat="1" applyBorder="1"/>
    <xf numFmtId="2" fontId="0" fillId="0" borderId="26" xfId="0" applyNumberFormat="1" applyBorder="1"/>
    <xf numFmtId="2" fontId="0" fillId="0" borderId="22" xfId="0" applyNumberFormat="1" applyBorder="1"/>
    <xf numFmtId="2" fontId="0" fillId="0" borderId="17" xfId="0" applyNumberFormat="1" applyBorder="1"/>
    <xf numFmtId="2" fontId="0" fillId="0" borderId="18" xfId="0" applyNumberFormat="1" applyBorder="1"/>
    <xf numFmtId="2" fontId="0" fillId="0" borderId="25" xfId="0" applyNumberFormat="1" applyBorder="1"/>
    <xf numFmtId="2" fontId="11" fillId="0" borderId="0" xfId="0" applyNumberFormat="1" applyFont="1"/>
    <xf numFmtId="2" fontId="0" fillId="0" borderId="23" xfId="0" applyNumberFormat="1" applyBorder="1"/>
    <xf numFmtId="2" fontId="0" fillId="0" borderId="24" xfId="0" applyNumberFormat="1" applyBorder="1"/>
    <xf numFmtId="2" fontId="0" fillId="0" borderId="0" xfId="1" applyNumberFormat="1" applyFont="1"/>
    <xf numFmtId="1" fontId="0" fillId="0" borderId="25" xfId="0" applyNumberFormat="1" applyBorder="1"/>
    <xf numFmtId="165" fontId="10" fillId="0" borderId="4" xfId="1" applyNumberFormat="1" applyFont="1" applyFill="1" applyBorder="1" applyAlignment="1">
      <alignment horizontal="center" vertical="center" wrapText="1"/>
    </xf>
    <xf numFmtId="165" fontId="0" fillId="0" borderId="4" xfId="1" applyNumberFormat="1" applyFont="1" applyFill="1" applyBorder="1" applyAlignment="1">
      <alignment horizontal="center" vertical="center"/>
    </xf>
    <xf numFmtId="1" fontId="0" fillId="0" borderId="9" xfId="0" applyNumberFormat="1" applyBorder="1"/>
    <xf numFmtId="1" fontId="0" fillId="0" borderId="27" xfId="0" applyNumberFormat="1" applyBorder="1"/>
    <xf numFmtId="1" fontId="0" fillId="0" borderId="12" xfId="0" applyNumberFormat="1" applyBorder="1"/>
    <xf numFmtId="165" fontId="11" fillId="0" borderId="11" xfId="1" applyNumberFormat="1" applyFont="1" applyBorder="1"/>
    <xf numFmtId="165" fontId="11" fillId="0" borderId="28" xfId="1" applyNumberFormat="1" applyFont="1" applyBorder="1"/>
    <xf numFmtId="165" fontId="0" fillId="0" borderId="28" xfId="1" applyNumberFormat="1" applyFont="1" applyBorder="1"/>
    <xf numFmtId="165" fontId="0" fillId="0" borderId="13" xfId="1" applyNumberFormat="1" applyFont="1" applyBorder="1"/>
    <xf numFmtId="9" fontId="0" fillId="0" borderId="0" xfId="2" applyFont="1"/>
    <xf numFmtId="10" fontId="0" fillId="0" borderId="0" xfId="2" applyNumberFormat="1" applyFont="1"/>
    <xf numFmtId="1" fontId="4" fillId="0" borderId="4" xfId="0" applyNumberFormat="1" applyFont="1" applyFill="1" applyBorder="1" applyAlignment="1">
      <alignment horizontal="center" vertical="center" wrapText="1"/>
    </xf>
    <xf numFmtId="0" fontId="0" fillId="0" borderId="4" xfId="0" applyFill="1" applyBorder="1" applyAlignment="1">
      <alignment horizontal="left" vertical="center"/>
    </xf>
    <xf numFmtId="0" fontId="10" fillId="0" borderId="4" xfId="0" applyFont="1" applyFill="1" applyBorder="1" applyAlignment="1">
      <alignment horizontal="center" vertical="center" wrapText="1"/>
    </xf>
    <xf numFmtId="0" fontId="0" fillId="0" borderId="4" xfId="0" applyFill="1" applyBorder="1" applyAlignment="1">
      <alignment horizontal="center" vertical="center"/>
    </xf>
    <xf numFmtId="2" fontId="0" fillId="0" borderId="4" xfId="0" applyNumberFormat="1" applyFill="1" applyBorder="1" applyAlignment="1">
      <alignment horizontal="center" vertical="center"/>
    </xf>
    <xf numFmtId="9" fontId="10" fillId="0" borderId="4" xfId="0" applyNumberFormat="1" applyFont="1" applyFill="1" applyBorder="1" applyAlignment="1">
      <alignment horizontal="center" vertical="center" wrapText="1"/>
    </xf>
    <xf numFmtId="165" fontId="10" fillId="0" borderId="4"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164" fontId="4" fillId="0" borderId="4" xfId="1" applyFont="1" applyFill="1" applyBorder="1" applyAlignment="1">
      <alignment horizontal="center" vertical="center" wrapText="1"/>
    </xf>
    <xf numFmtId="165" fontId="4" fillId="0" borderId="5" xfId="1" applyNumberFormat="1" applyFont="1" applyFill="1" applyBorder="1" applyAlignment="1">
      <alignment horizontal="center" vertical="center" wrapText="1"/>
    </xf>
    <xf numFmtId="0" fontId="11" fillId="0" borderId="0" xfId="0" applyFont="1"/>
    <xf numFmtId="168" fontId="10" fillId="0" borderId="4" xfId="0" applyNumberFormat="1" applyFont="1" applyFill="1" applyBorder="1" applyAlignment="1">
      <alignment horizontal="center"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9" fillId="3" borderId="6" xfId="0" applyFont="1"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2" fillId="0" borderId="17" xfId="0" applyFont="1" applyBorder="1" applyAlignment="1">
      <alignment horizontal="right" vertical="center"/>
    </xf>
    <xf numFmtId="0" fontId="2" fillId="0" borderId="18" xfId="0" applyFont="1" applyBorder="1" applyAlignment="1">
      <alignment horizontal="right" vertical="center"/>
    </xf>
    <xf numFmtId="0" fontId="2" fillId="0" borderId="19" xfId="0" applyFont="1" applyBorder="1" applyAlignment="1">
      <alignment horizontal="right" vertical="center"/>
    </xf>
    <xf numFmtId="2" fontId="0" fillId="0" borderId="6" xfId="0" applyNumberFormat="1" applyBorder="1" applyAlignment="1">
      <alignment horizontal="center"/>
    </xf>
    <xf numFmtId="2" fontId="0" fillId="0" borderId="7" xfId="0" applyNumberFormat="1" applyBorder="1" applyAlignment="1">
      <alignment horizontal="center"/>
    </xf>
    <xf numFmtId="2" fontId="0" fillId="0" borderId="8" xfId="0" applyNumberForma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N38"/>
  <sheetViews>
    <sheetView zoomScale="85" zoomScaleNormal="85" workbookViewId="0">
      <selection activeCell="E27" sqref="E27"/>
    </sheetView>
  </sheetViews>
  <sheetFormatPr defaultRowHeight="15" x14ac:dyDescent="0.25"/>
  <cols>
    <col min="1" max="1" width="7.42578125" customWidth="1"/>
    <col min="2" max="2" width="6.28515625" customWidth="1"/>
    <col min="3" max="3" width="13.140625" bestFit="1" customWidth="1"/>
    <col min="4" max="4" width="13.140625" hidden="1" customWidth="1"/>
    <col min="5" max="5" width="9.7109375" style="2" customWidth="1"/>
    <col min="6" max="7" width="9.7109375" style="2" hidden="1" customWidth="1"/>
    <col min="8" max="8" width="16.5703125" customWidth="1"/>
    <col min="9" max="9" width="14.5703125" hidden="1" customWidth="1"/>
    <col min="10" max="10" width="8.85546875" style="6" customWidth="1"/>
    <col min="11" max="11" width="11.85546875" customWidth="1"/>
    <col min="12" max="12" width="9.5703125" hidden="1" customWidth="1"/>
    <col min="13" max="13" width="10.42578125" hidden="1" customWidth="1"/>
    <col min="14" max="14" width="11" hidden="1" customWidth="1"/>
    <col min="15" max="15" width="7.85546875" hidden="1" customWidth="1"/>
    <col min="16" max="16" width="12.28515625" hidden="1" customWidth="1"/>
    <col min="17" max="17" width="10.85546875" bestFit="1" customWidth="1"/>
    <col min="18" max="18" width="16" customWidth="1"/>
    <col min="19" max="19" width="19" hidden="1" customWidth="1"/>
    <col min="20" max="20" width="19.85546875" hidden="1" customWidth="1"/>
    <col min="21" max="21" width="20.85546875" hidden="1" customWidth="1"/>
    <col min="22" max="22" width="19.42578125" customWidth="1"/>
    <col min="23" max="23" width="10.28515625" bestFit="1" customWidth="1"/>
    <col min="24" max="24" width="14.28515625" style="3" bestFit="1" customWidth="1"/>
    <col min="25" max="25" width="15.42578125" bestFit="1" customWidth="1"/>
    <col min="26" max="26" width="14.42578125" bestFit="1" customWidth="1"/>
    <col min="27" max="27" width="15.42578125" bestFit="1" customWidth="1"/>
    <col min="28" max="28" width="22.28515625" customWidth="1"/>
    <col min="29" max="29" width="14.42578125" bestFit="1" customWidth="1"/>
    <col min="30" max="30" width="10.28515625" bestFit="1" customWidth="1"/>
    <col min="33" max="33" width="14.42578125" bestFit="1" customWidth="1"/>
    <col min="36" max="36" width="12.5703125" customWidth="1"/>
    <col min="40" max="40" width="16" customWidth="1"/>
  </cols>
  <sheetData>
    <row r="3" spans="2:36" ht="29.25" customHeight="1" x14ac:dyDescent="0.25">
      <c r="B3" s="72" t="s">
        <v>60</v>
      </c>
      <c r="C3" s="73"/>
      <c r="D3" s="73"/>
      <c r="E3" s="73"/>
      <c r="F3" s="73"/>
      <c r="G3" s="73"/>
      <c r="H3" s="73"/>
      <c r="I3" s="73"/>
      <c r="J3" s="73"/>
      <c r="K3" s="73"/>
      <c r="L3" s="73"/>
      <c r="M3" s="73"/>
      <c r="N3" s="73"/>
      <c r="O3" s="73"/>
      <c r="P3" s="73"/>
      <c r="Q3" s="73"/>
      <c r="R3" s="73"/>
      <c r="S3" s="73"/>
      <c r="T3" s="73"/>
      <c r="U3" s="73"/>
      <c r="V3" s="74"/>
    </row>
    <row r="4" spans="2:36" ht="67.5" customHeight="1" x14ac:dyDescent="0.25">
      <c r="B4" s="1" t="s">
        <v>0</v>
      </c>
      <c r="C4" s="1" t="s">
        <v>23</v>
      </c>
      <c r="D4" s="1" t="s">
        <v>1</v>
      </c>
      <c r="E4" s="1" t="s">
        <v>2</v>
      </c>
      <c r="F4" s="1" t="s">
        <v>47</v>
      </c>
      <c r="G4" s="1" t="s">
        <v>48</v>
      </c>
      <c r="H4" s="1" t="s">
        <v>58</v>
      </c>
      <c r="I4" s="1" t="s">
        <v>50</v>
      </c>
      <c r="J4" s="1" t="s">
        <v>4</v>
      </c>
      <c r="K4" s="1" t="s">
        <v>5</v>
      </c>
      <c r="L4" s="1" t="s">
        <v>6</v>
      </c>
      <c r="M4" s="1" t="s">
        <v>7</v>
      </c>
      <c r="N4" s="1" t="s">
        <v>8</v>
      </c>
      <c r="O4" s="1" t="s">
        <v>9</v>
      </c>
      <c r="P4" s="1" t="s">
        <v>10</v>
      </c>
      <c r="Q4" s="1" t="s">
        <v>11</v>
      </c>
      <c r="R4" s="1" t="s">
        <v>12</v>
      </c>
      <c r="S4" s="1" t="s">
        <v>39</v>
      </c>
      <c r="T4" s="1" t="s">
        <v>38</v>
      </c>
      <c r="U4" s="1" t="s">
        <v>13</v>
      </c>
      <c r="V4" s="1" t="s">
        <v>14</v>
      </c>
      <c r="X4"/>
      <c r="AA4" s="30">
        <v>0.2</v>
      </c>
      <c r="AB4">
        <v>18000</v>
      </c>
      <c r="AC4">
        <f>AA4*AB4</f>
        <v>3600</v>
      </c>
      <c r="AD4">
        <f>AB4-AC4</f>
        <v>14400</v>
      </c>
    </row>
    <row r="5" spans="2:36" x14ac:dyDescent="0.25">
      <c r="B5" s="57">
        <v>1</v>
      </c>
      <c r="C5" s="58" t="s">
        <v>57</v>
      </c>
      <c r="D5" s="59"/>
      <c r="E5" s="60" t="s">
        <v>40</v>
      </c>
      <c r="F5" s="60">
        <v>27</v>
      </c>
      <c r="G5" s="60">
        <v>37</v>
      </c>
      <c r="H5" s="47">
        <v>1800</v>
      </c>
      <c r="I5" s="61">
        <f>H5/10.7639</f>
        <v>167.2256338316038</v>
      </c>
      <c r="J5" s="59">
        <v>10</v>
      </c>
      <c r="K5" s="60">
        <v>2014</v>
      </c>
      <c r="L5" s="59">
        <v>2023</v>
      </c>
      <c r="M5" s="59">
        <f>L5-K5</f>
        <v>9</v>
      </c>
      <c r="N5" s="59">
        <v>65</v>
      </c>
      <c r="O5" s="62">
        <v>0.1</v>
      </c>
      <c r="P5" s="59">
        <f>(1-O5)/N5</f>
        <v>1.3846153846153847E-2</v>
      </c>
      <c r="Q5" s="59">
        <v>1600</v>
      </c>
      <c r="R5" s="46">
        <f>Q5*H5</f>
        <v>2880000</v>
      </c>
      <c r="S5" s="68">
        <f>P5*M5</f>
        <v>0.12461538461538461</v>
      </c>
      <c r="T5" s="63">
        <f>R5*S5</f>
        <v>358892.30769230769</v>
      </c>
      <c r="U5" s="63"/>
      <c r="V5" s="46">
        <f>R5-T5</f>
        <v>2521107.6923076925</v>
      </c>
      <c r="X5"/>
      <c r="AA5" s="30"/>
    </row>
    <row r="6" spans="2:36" ht="24" customHeight="1" x14ac:dyDescent="0.25">
      <c r="B6" s="64"/>
      <c r="C6" s="64"/>
      <c r="D6" s="64"/>
      <c r="E6" s="64"/>
      <c r="F6" s="64"/>
      <c r="G6" s="64"/>
      <c r="H6" s="28">
        <f>SUM(H5:H5)</f>
        <v>1800</v>
      </c>
      <c r="I6" s="28">
        <f>SUM(I5:I5)</f>
        <v>167.2256338316038</v>
      </c>
      <c r="J6" s="28"/>
      <c r="K6" s="65"/>
      <c r="L6" s="28"/>
      <c r="M6" s="28"/>
      <c r="N6" s="28"/>
      <c r="O6" s="28"/>
      <c r="P6" s="28"/>
      <c r="Q6" s="28"/>
      <c r="R6" s="66">
        <f>SUM(R5:R5)</f>
        <v>2880000</v>
      </c>
      <c r="S6" s="66"/>
      <c r="T6" s="66"/>
      <c r="U6" s="66">
        <f>SUM(U5:U5)</f>
        <v>0</v>
      </c>
      <c r="V6" s="66">
        <f>SUM(V5:V5)</f>
        <v>2521107.6923076925</v>
      </c>
      <c r="W6">
        <v>751164260</v>
      </c>
      <c r="X6">
        <v>2800000</v>
      </c>
      <c r="Y6" s="4">
        <f>X6+W6+V6</f>
        <v>756485367.69230771</v>
      </c>
    </row>
    <row r="7" spans="2:36" x14ac:dyDescent="0.25">
      <c r="B7" s="75" t="s">
        <v>16</v>
      </c>
      <c r="C7" s="76"/>
      <c r="D7" s="76"/>
      <c r="E7" s="76"/>
      <c r="F7" s="76"/>
      <c r="G7" s="76"/>
      <c r="H7" s="76"/>
      <c r="I7" s="76"/>
      <c r="J7" s="76"/>
      <c r="K7" s="76"/>
      <c r="L7" s="76"/>
      <c r="M7" s="76"/>
      <c r="N7" s="76"/>
      <c r="O7" s="76"/>
      <c r="P7" s="76"/>
      <c r="Q7" s="76"/>
      <c r="R7" s="76"/>
      <c r="S7" s="76"/>
      <c r="T7" s="76"/>
      <c r="U7" s="76"/>
      <c r="V7" s="77"/>
      <c r="X7"/>
      <c r="Y7">
        <v>911700000</v>
      </c>
      <c r="Z7">
        <v>0.85</v>
      </c>
      <c r="AA7" s="5">
        <f>Z7*Y7</f>
        <v>774945000</v>
      </c>
    </row>
    <row r="8" spans="2:36" ht="29.25" customHeight="1" x14ac:dyDescent="0.25">
      <c r="B8" s="78" t="s">
        <v>52</v>
      </c>
      <c r="C8" s="79"/>
      <c r="D8" s="79"/>
      <c r="E8" s="79"/>
      <c r="F8" s="79"/>
      <c r="G8" s="79"/>
      <c r="H8" s="79"/>
      <c r="I8" s="79"/>
      <c r="J8" s="79"/>
      <c r="K8" s="79"/>
      <c r="L8" s="79"/>
      <c r="M8" s="79"/>
      <c r="N8" s="79"/>
      <c r="O8" s="79"/>
      <c r="P8" s="79"/>
      <c r="Q8" s="79"/>
      <c r="R8" s="79"/>
      <c r="S8" s="79"/>
      <c r="T8" s="79"/>
      <c r="U8" s="79"/>
      <c r="V8" s="80"/>
      <c r="X8"/>
      <c r="Y8">
        <v>911700000</v>
      </c>
      <c r="Z8">
        <v>0.75</v>
      </c>
      <c r="AA8" s="5">
        <f>Z8*Y8</f>
        <v>683775000</v>
      </c>
      <c r="AB8" s="5"/>
      <c r="AC8" s="5"/>
      <c r="AD8" s="5"/>
      <c r="AE8" s="5"/>
      <c r="AF8" s="5"/>
      <c r="AG8" s="5"/>
      <c r="AH8" s="5"/>
      <c r="AI8" s="5"/>
      <c r="AJ8" s="5"/>
    </row>
    <row r="9" spans="2:36" x14ac:dyDescent="0.25">
      <c r="B9" s="84" t="s">
        <v>59</v>
      </c>
      <c r="C9" s="85"/>
      <c r="D9" s="85"/>
      <c r="E9" s="85"/>
      <c r="F9" s="85"/>
      <c r="G9" s="85"/>
      <c r="H9" s="85"/>
      <c r="I9" s="85"/>
      <c r="J9" s="85"/>
      <c r="K9" s="85"/>
      <c r="L9" s="85"/>
      <c r="M9" s="85"/>
      <c r="N9" s="85"/>
      <c r="O9" s="85"/>
      <c r="P9" s="85"/>
      <c r="Q9" s="85"/>
      <c r="R9" s="85"/>
      <c r="S9" s="85"/>
      <c r="T9" s="85"/>
      <c r="U9" s="85"/>
      <c r="V9" s="86"/>
      <c r="X9"/>
      <c r="Y9">
        <v>285992600</v>
      </c>
      <c r="Z9">
        <v>0.75</v>
      </c>
      <c r="AA9" s="5">
        <f>Z9*Y9</f>
        <v>214494450</v>
      </c>
      <c r="AB9" s="5"/>
      <c r="AC9" s="5"/>
      <c r="AD9" s="5"/>
      <c r="AE9" s="5"/>
      <c r="AF9" s="5"/>
      <c r="AG9" s="5"/>
      <c r="AH9" s="5"/>
      <c r="AI9" s="5"/>
      <c r="AJ9" s="5"/>
    </row>
    <row r="10" spans="2:36" x14ac:dyDescent="0.25">
      <c r="B10" s="81" t="s">
        <v>49</v>
      </c>
      <c r="C10" s="82"/>
      <c r="D10" s="82"/>
      <c r="E10" s="82"/>
      <c r="F10" s="82"/>
      <c r="G10" s="82"/>
      <c r="H10" s="82"/>
      <c r="I10" s="82"/>
      <c r="J10" s="82"/>
      <c r="K10" s="82"/>
      <c r="L10" s="82"/>
      <c r="M10" s="82"/>
      <c r="N10" s="82"/>
      <c r="O10" s="82"/>
      <c r="P10" s="82"/>
      <c r="Q10" s="82"/>
      <c r="R10" s="82"/>
      <c r="S10" s="82"/>
      <c r="T10" s="82"/>
      <c r="U10" s="82"/>
      <c r="V10" s="83"/>
      <c r="X10"/>
      <c r="AB10" s="5"/>
      <c r="AC10" s="3">
        <v>600</v>
      </c>
      <c r="AD10" s="5">
        <v>450</v>
      </c>
      <c r="AE10" s="55">
        <f>AD10/AC10</f>
        <v>0.75</v>
      </c>
      <c r="AF10" s="5"/>
      <c r="AG10" s="5"/>
      <c r="AH10" s="5"/>
      <c r="AI10" s="5"/>
      <c r="AJ10" s="5"/>
    </row>
    <row r="11" spans="2:36" x14ac:dyDescent="0.25">
      <c r="B11" s="69" t="s">
        <v>24</v>
      </c>
      <c r="C11" s="70"/>
      <c r="D11" s="70"/>
      <c r="E11" s="70"/>
      <c r="F11" s="70"/>
      <c r="G11" s="70"/>
      <c r="H11" s="70"/>
      <c r="I11" s="70"/>
      <c r="J11" s="70"/>
      <c r="K11" s="70"/>
      <c r="L11" s="70"/>
      <c r="M11" s="70"/>
      <c r="N11" s="70"/>
      <c r="O11" s="70"/>
      <c r="P11" s="70"/>
      <c r="Q11" s="70"/>
      <c r="R11" s="70"/>
      <c r="S11" s="70"/>
      <c r="T11" s="70"/>
      <c r="U11" s="70"/>
      <c r="V11" s="71"/>
      <c r="X11"/>
      <c r="AB11" s="5"/>
      <c r="AC11" s="5">
        <v>400</v>
      </c>
      <c r="AD11" s="5">
        <v>300</v>
      </c>
      <c r="AE11" s="55">
        <f t="shared" ref="AE11:AE13" si="0">AD11/AC11</f>
        <v>0.75</v>
      </c>
      <c r="AF11" s="5"/>
      <c r="AG11" s="5"/>
      <c r="AH11" s="5"/>
      <c r="AI11" s="5"/>
      <c r="AJ11" s="5"/>
    </row>
    <row r="12" spans="2:36" x14ac:dyDescent="0.25">
      <c r="B12" s="23"/>
      <c r="C12" s="23"/>
      <c r="D12" s="23"/>
      <c r="E12" s="24"/>
      <c r="F12" s="24"/>
      <c r="G12" s="24"/>
      <c r="H12" s="23"/>
      <c r="I12" s="23"/>
      <c r="J12" s="25"/>
      <c r="K12" s="23"/>
      <c r="L12" s="23"/>
      <c r="M12" s="23"/>
      <c r="N12" s="23"/>
      <c r="O12" s="23"/>
      <c r="P12" s="23"/>
      <c r="Q12" s="23"/>
      <c r="R12" s="23"/>
      <c r="S12" s="23"/>
      <c r="T12" s="23"/>
      <c r="U12" s="23"/>
      <c r="V12" s="23"/>
      <c r="X12"/>
      <c r="Y12">
        <f>172.69*10.7639</f>
        <v>1858.8178909999999</v>
      </c>
      <c r="AB12" s="5"/>
      <c r="AC12" s="5">
        <v>100</v>
      </c>
      <c r="AD12" s="5">
        <v>70</v>
      </c>
      <c r="AE12" s="55">
        <f t="shared" si="0"/>
        <v>0.7</v>
      </c>
      <c r="AF12" s="5"/>
      <c r="AG12" s="5"/>
      <c r="AH12" s="5"/>
      <c r="AI12" s="5"/>
      <c r="AJ12" s="5"/>
    </row>
    <row r="13" spans="2:36" x14ac:dyDescent="0.25">
      <c r="D13" s="3"/>
      <c r="E13"/>
      <c r="F13"/>
      <c r="G13"/>
      <c r="J13"/>
      <c r="X13">
        <f>Z16+4183800</f>
        <v>11531784</v>
      </c>
      <c r="AB13" s="5"/>
      <c r="AC13" s="5">
        <v>400</v>
      </c>
      <c r="AD13" s="5">
        <v>225</v>
      </c>
      <c r="AE13" s="55">
        <f t="shared" si="0"/>
        <v>0.5625</v>
      </c>
      <c r="AF13" s="5"/>
      <c r="AG13" s="5"/>
      <c r="AH13" s="5"/>
      <c r="AI13" s="5"/>
      <c r="AJ13" s="5"/>
    </row>
    <row r="14" spans="2:36" ht="28.5" customHeight="1" x14ac:dyDescent="0.25">
      <c r="D14" s="3"/>
      <c r="E14"/>
      <c r="F14"/>
      <c r="G14"/>
      <c r="J14"/>
      <c r="T14" t="s">
        <v>44</v>
      </c>
      <c r="X14"/>
      <c r="AB14" s="5"/>
      <c r="AC14" s="5"/>
      <c r="AD14" s="5"/>
      <c r="AE14" s="5"/>
      <c r="AF14" s="5"/>
      <c r="AG14" s="5"/>
      <c r="AH14" s="5"/>
      <c r="AI14" s="5"/>
      <c r="AJ14" s="5"/>
    </row>
    <row r="15" spans="2:36" x14ac:dyDescent="0.25">
      <c r="C15" s="3"/>
      <c r="D15" s="3"/>
      <c r="E15">
        <f>4*10^7</f>
        <v>40000000</v>
      </c>
      <c r="F15">
        <v>4500</v>
      </c>
      <c r="G15">
        <f>E15/F15</f>
        <v>8888.8888888888887</v>
      </c>
      <c r="H15" s="56">
        <v>0.49619999999999997</v>
      </c>
      <c r="I15">
        <v>6500</v>
      </c>
      <c r="J15">
        <f>I15*H15</f>
        <v>3225.2999999999997</v>
      </c>
      <c r="R15" t="s">
        <v>45</v>
      </c>
      <c r="X15"/>
      <c r="AB15" s="5"/>
      <c r="AC15" s="5"/>
      <c r="AD15" s="5"/>
      <c r="AE15" s="5"/>
      <c r="AF15" s="5"/>
      <c r="AG15" s="5"/>
      <c r="AH15" s="5"/>
      <c r="AI15" s="5"/>
      <c r="AJ15" s="5"/>
    </row>
    <row r="16" spans="2:36" x14ac:dyDescent="0.25">
      <c r="D16" s="3"/>
      <c r="E16"/>
      <c r="F16"/>
      <c r="G16"/>
      <c r="J16"/>
      <c r="X16"/>
      <c r="Z16">
        <f>4183800+3164184</f>
        <v>7347984</v>
      </c>
      <c r="AB16" s="5"/>
      <c r="AC16" s="5"/>
      <c r="AD16" s="5"/>
      <c r="AE16" s="5"/>
      <c r="AF16" s="5"/>
      <c r="AG16" s="5"/>
      <c r="AH16" s="5"/>
      <c r="AI16" s="5"/>
      <c r="AJ16" s="5"/>
    </row>
    <row r="17" spans="4:40" ht="15.75" customHeight="1" x14ac:dyDescent="0.25">
      <c r="D17" s="3"/>
      <c r="E17"/>
      <c r="F17"/>
      <c r="G17"/>
      <c r="J17">
        <v>0.8</v>
      </c>
      <c r="K17" s="31">
        <f>J17*R6</f>
        <v>2304000</v>
      </c>
      <c r="X17"/>
    </row>
    <row r="18" spans="4:40" ht="15" customHeight="1" x14ac:dyDescent="0.25">
      <c r="D18" s="3"/>
      <c r="E18"/>
      <c r="F18"/>
      <c r="G18"/>
      <c r="J18"/>
      <c r="X18"/>
    </row>
    <row r="19" spans="4:40" x14ac:dyDescent="0.25">
      <c r="D19" s="3"/>
      <c r="E19"/>
      <c r="F19"/>
      <c r="G19"/>
      <c r="J19"/>
      <c r="X19"/>
      <c r="Z19">
        <f>7348000*0.85</f>
        <v>6245800</v>
      </c>
    </row>
    <row r="20" spans="4:40" x14ac:dyDescent="0.25">
      <c r="D20" s="3"/>
      <c r="E20"/>
      <c r="F20"/>
      <c r="G20"/>
      <c r="J20"/>
      <c r="X20"/>
      <c r="Z20">
        <f>7348000*0.75</f>
        <v>5511000</v>
      </c>
    </row>
    <row r="21" spans="4:40" x14ac:dyDescent="0.25">
      <c r="D21" s="3"/>
      <c r="E21"/>
      <c r="F21"/>
      <c r="G21"/>
      <c r="J21"/>
      <c r="X21"/>
    </row>
    <row r="22" spans="4:40" x14ac:dyDescent="0.25">
      <c r="D22" s="3"/>
      <c r="E22"/>
      <c r="F22"/>
      <c r="G22"/>
      <c r="J22"/>
      <c r="X22"/>
    </row>
    <row r="23" spans="4:40" x14ac:dyDescent="0.25">
      <c r="D23" s="3"/>
      <c r="E23"/>
      <c r="F23"/>
      <c r="G23"/>
      <c r="J23"/>
      <c r="X23">
        <f>1285+4010+36602</f>
        <v>41897</v>
      </c>
    </row>
    <row r="24" spans="4:40" x14ac:dyDescent="0.25">
      <c r="N24">
        <v>516</v>
      </c>
      <c r="X24" s="3">
        <v>-40598</v>
      </c>
    </row>
    <row r="25" spans="4:40" x14ac:dyDescent="0.25">
      <c r="L25">
        <f>11000*0.7</f>
        <v>7699.9999999999991</v>
      </c>
      <c r="X25" s="3">
        <f>SUM(X23:X24)</f>
        <v>1299</v>
      </c>
    </row>
    <row r="26" spans="4:40" x14ac:dyDescent="0.25">
      <c r="L26" s="3"/>
      <c r="M26" s="4"/>
      <c r="N26" s="4"/>
      <c r="R26" s="4"/>
      <c r="S26" s="4"/>
    </row>
    <row r="29" spans="4:40" x14ac:dyDescent="0.25">
      <c r="M29" s="4"/>
      <c r="N29" s="4"/>
      <c r="R29" s="4"/>
      <c r="S29" s="4"/>
    </row>
    <row r="32" spans="4:40" x14ac:dyDescent="0.25">
      <c r="X32" s="32" t="s">
        <v>43</v>
      </c>
      <c r="Y32" s="7"/>
      <c r="Z32" s="33" t="s">
        <v>40</v>
      </c>
      <c r="AA32" s="33">
        <v>1858</v>
      </c>
      <c r="AB32" s="7">
        <v>10</v>
      </c>
      <c r="AC32" s="33">
        <v>2013</v>
      </c>
      <c r="AD32" s="7">
        <v>2023</v>
      </c>
      <c r="AE32" s="7">
        <f>AD32-AC32</f>
        <v>10</v>
      </c>
      <c r="AF32" s="7">
        <v>65</v>
      </c>
      <c r="AG32" s="8">
        <v>0.1</v>
      </c>
      <c r="AH32" s="7">
        <f>(1-AG32)/AF32</f>
        <v>1.3846153846153847E-2</v>
      </c>
      <c r="AI32" s="7">
        <v>1400</v>
      </c>
      <c r="AJ32" s="27">
        <f>AI32*AA32</f>
        <v>2601200</v>
      </c>
      <c r="AK32" s="29">
        <f>AH32*AE32</f>
        <v>0.13846153846153847</v>
      </c>
      <c r="AL32" s="7">
        <f>AJ32*AK32</f>
        <v>360166.15384615387</v>
      </c>
      <c r="AM32" s="9"/>
      <c r="AN32" s="26">
        <f>AJ32-AL32</f>
        <v>2241033.846153846</v>
      </c>
    </row>
    <row r="33" spans="13:40" x14ac:dyDescent="0.25">
      <c r="AA33">
        <v>173</v>
      </c>
      <c r="AB33">
        <v>10</v>
      </c>
      <c r="AC33">
        <v>2013</v>
      </c>
      <c r="AD33">
        <v>2023</v>
      </c>
      <c r="AE33">
        <v>10</v>
      </c>
      <c r="AF33">
        <v>65</v>
      </c>
      <c r="AG33" s="30">
        <v>0.1</v>
      </c>
      <c r="AH33" s="7">
        <f>(1-AG33)/AF33</f>
        <v>1.3846153846153847E-2</v>
      </c>
      <c r="AI33">
        <v>14000</v>
      </c>
      <c r="AJ33" s="27">
        <f>AI33*AA33</f>
        <v>2422000</v>
      </c>
      <c r="AK33" s="29">
        <f>AH33*AE33</f>
        <v>0.13846153846153847</v>
      </c>
      <c r="AL33" s="7">
        <f>AJ33*AK33</f>
        <v>335353.84615384619</v>
      </c>
      <c r="AM33" s="9"/>
      <c r="AN33" s="26">
        <f>AJ33-AL33</f>
        <v>2086646.1538461538</v>
      </c>
    </row>
    <row r="34" spans="13:40" x14ac:dyDescent="0.25">
      <c r="M34" s="3"/>
    </row>
    <row r="35" spans="13:40" x14ac:dyDescent="0.25">
      <c r="S35" s="3"/>
    </row>
    <row r="38" spans="13:40" x14ac:dyDescent="0.25">
      <c r="AB38">
        <f>287.82*0.6</f>
        <v>172.69199999999998</v>
      </c>
    </row>
  </sheetData>
  <autoFilter ref="E3:E35"/>
  <mergeCells count="6">
    <mergeCell ref="B11:V11"/>
    <mergeCell ref="B3:V3"/>
    <mergeCell ref="B7:V7"/>
    <mergeCell ref="B8:V8"/>
    <mergeCell ref="B10:V10"/>
    <mergeCell ref="B9:V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9"/>
  <sheetViews>
    <sheetView workbookViewId="0">
      <selection activeCell="A4" sqref="A4:H4"/>
    </sheetView>
  </sheetViews>
  <sheetFormatPr defaultRowHeight="15" x14ac:dyDescent="0.25"/>
  <cols>
    <col min="1" max="1" width="5.85546875" customWidth="1"/>
    <col min="2" max="2" width="11.5703125" bestFit="1" customWidth="1"/>
    <col min="3" max="3" width="12.85546875" bestFit="1" customWidth="1"/>
    <col min="4" max="4" width="10" style="5" bestFit="1" customWidth="1"/>
    <col min="5" max="5" width="11.5703125" style="5" bestFit="1" customWidth="1"/>
    <col min="6" max="6" width="17.7109375" style="5" bestFit="1" customWidth="1"/>
    <col min="7" max="7" width="11.85546875" style="5" bestFit="1" customWidth="1"/>
    <col min="8" max="8" width="15.85546875" style="3" customWidth="1"/>
    <col min="17" max="17" width="15.28515625" bestFit="1" customWidth="1"/>
  </cols>
  <sheetData>
    <row r="3" spans="1:17" ht="15.75" thickBot="1" x14ac:dyDescent="0.3"/>
    <row r="4" spans="1:17" ht="16.5" thickBot="1" x14ac:dyDescent="0.3">
      <c r="A4" s="87" t="s">
        <v>22</v>
      </c>
      <c r="B4" s="88"/>
      <c r="C4" s="88"/>
      <c r="D4" s="88"/>
      <c r="E4" s="88"/>
      <c r="F4" s="88"/>
      <c r="G4" s="88"/>
      <c r="H4" s="89"/>
    </row>
    <row r="5" spans="1:17" ht="60.75" thickBot="1" x14ac:dyDescent="0.3">
      <c r="A5" s="10" t="s">
        <v>0</v>
      </c>
      <c r="B5" s="11" t="s">
        <v>20</v>
      </c>
      <c r="C5" s="11" t="s">
        <v>2</v>
      </c>
      <c r="D5" s="12" t="s">
        <v>17</v>
      </c>
      <c r="E5" s="12" t="s">
        <v>3</v>
      </c>
      <c r="F5" s="12" t="s">
        <v>21</v>
      </c>
      <c r="G5" s="12" t="s">
        <v>19</v>
      </c>
      <c r="H5" s="13" t="s">
        <v>22</v>
      </c>
    </row>
    <row r="6" spans="1:17" ht="50.1" customHeight="1" x14ac:dyDescent="0.25">
      <c r="A6" s="14">
        <v>1</v>
      </c>
      <c r="B6" s="15" t="s">
        <v>57</v>
      </c>
      <c r="C6" s="15" t="s">
        <v>18</v>
      </c>
      <c r="D6" s="16">
        <f>E6/10.764</f>
        <v>167.22408026755855</v>
      </c>
      <c r="E6" s="17">
        <v>1800</v>
      </c>
      <c r="F6" s="18">
        <v>12000</v>
      </c>
      <c r="G6" s="19">
        <v>0.91300000000000003</v>
      </c>
      <c r="H6" s="20">
        <f>G6*F6*D6</f>
        <v>1832107.0234113715</v>
      </c>
      <c r="P6" s="21"/>
      <c r="Q6" s="5"/>
    </row>
    <row r="7" spans="1:17" ht="15.75" thickBot="1" x14ac:dyDescent="0.3">
      <c r="A7" s="90" t="s">
        <v>15</v>
      </c>
      <c r="B7" s="91"/>
      <c r="C7" s="91"/>
      <c r="D7" s="91"/>
      <c r="E7" s="91"/>
      <c r="F7" s="91"/>
      <c r="G7" s="92"/>
      <c r="H7" s="22">
        <f>SUM(H6)</f>
        <v>1832107.0234113715</v>
      </c>
    </row>
    <row r="8" spans="1:17" x14ac:dyDescent="0.25">
      <c r="H8" s="3">
        <f>Calculations!C3</f>
        <v>3173490</v>
      </c>
    </row>
    <row r="9" spans="1:17" x14ac:dyDescent="0.25">
      <c r="H9" s="3">
        <f>H7+H8</f>
        <v>5005597.0234113717</v>
      </c>
    </row>
  </sheetData>
  <mergeCells count="2">
    <mergeCell ref="A4:H4"/>
    <mergeCell ref="A7:G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zoomScaleNormal="100" workbookViewId="0">
      <selection activeCell="L18" sqref="L18"/>
    </sheetView>
  </sheetViews>
  <sheetFormatPr defaultRowHeight="15" x14ac:dyDescent="0.25"/>
  <cols>
    <col min="1" max="1" width="13.42578125" style="34" bestFit="1" customWidth="1"/>
    <col min="2" max="2" width="15.42578125" style="34" bestFit="1" customWidth="1"/>
    <col min="3" max="3" width="12.5703125" style="34" bestFit="1" customWidth="1"/>
    <col min="4" max="4" width="9.140625" style="34"/>
    <col min="5" max="5" width="11.140625" style="34" bestFit="1" customWidth="1"/>
    <col min="6" max="6" width="15.42578125" style="34" bestFit="1" customWidth="1"/>
    <col min="7" max="8" width="12.5703125" style="34" bestFit="1" customWidth="1"/>
    <col min="9" max="9" width="14.5703125" style="34" bestFit="1" customWidth="1"/>
    <col min="10" max="10" width="9.140625" style="34"/>
    <col min="11" max="11" width="10.5703125" style="34" bestFit="1" customWidth="1"/>
    <col min="12" max="16384" width="9.140625" style="34"/>
  </cols>
  <sheetData>
    <row r="1" spans="1:14" ht="15.75" thickBot="1" x14ac:dyDescent="0.3">
      <c r="A1" s="93" t="s">
        <v>37</v>
      </c>
      <c r="B1" s="94"/>
      <c r="C1" s="95"/>
      <c r="E1" s="93" t="s">
        <v>36</v>
      </c>
      <c r="F1" s="94"/>
      <c r="G1" s="95"/>
    </row>
    <row r="2" spans="1:14" x14ac:dyDescent="0.25">
      <c r="A2" s="35" t="s">
        <v>61</v>
      </c>
      <c r="B2" s="36" t="s">
        <v>26</v>
      </c>
      <c r="C2" s="37" t="s">
        <v>27</v>
      </c>
      <c r="E2" s="35" t="s">
        <v>25</v>
      </c>
      <c r="F2" s="36" t="s">
        <v>26</v>
      </c>
      <c r="G2" s="37" t="s">
        <v>27</v>
      </c>
    </row>
    <row r="3" spans="1:14" ht="15.75" thickBot="1" x14ac:dyDescent="0.3">
      <c r="A3" s="39">
        <v>352.61</v>
      </c>
      <c r="B3" s="39">
        <v>9000</v>
      </c>
      <c r="C3" s="40">
        <f>B3*A3</f>
        <v>3173490</v>
      </c>
      <c r="E3" s="39">
        <v>421.71</v>
      </c>
      <c r="F3" s="39">
        <v>28000</v>
      </c>
      <c r="G3" s="45">
        <f>F3*E3</f>
        <v>11807880</v>
      </c>
      <c r="I3" s="34">
        <f>3084/10.7639</f>
        <v>286.51325263148118</v>
      </c>
      <c r="M3" s="34">
        <f>9.5*10.7639</f>
        <v>102.25704999999999</v>
      </c>
      <c r="N3" s="34">
        <f>M3/10.7639</f>
        <v>9.5</v>
      </c>
    </row>
    <row r="4" spans="1:14" x14ac:dyDescent="0.25">
      <c r="C4" s="34">
        <v>0</v>
      </c>
      <c r="E4" s="34" t="s">
        <v>62</v>
      </c>
      <c r="F4" s="34" t="s">
        <v>28</v>
      </c>
      <c r="H4" s="34">
        <f>G3*0.75</f>
        <v>8855910</v>
      </c>
      <c r="M4" s="34">
        <v>998.15</v>
      </c>
      <c r="N4" s="34">
        <f>M4/10.7639</f>
        <v>92.731259116119617</v>
      </c>
    </row>
    <row r="5" spans="1:14" ht="15.75" thickBot="1" x14ac:dyDescent="0.3">
      <c r="M5" s="34">
        <f>SUM(M3:M4)</f>
        <v>1100.40705</v>
      </c>
      <c r="N5" s="34">
        <f>SUM(N3:N4)</f>
        <v>102.23125911611962</v>
      </c>
    </row>
    <row r="6" spans="1:14" x14ac:dyDescent="0.25">
      <c r="A6" s="35" t="s">
        <v>29</v>
      </c>
      <c r="B6" s="41">
        <f>C3</f>
        <v>3173490</v>
      </c>
      <c r="E6" s="48" t="s">
        <v>29</v>
      </c>
      <c r="F6" s="51">
        <f>G3</f>
        <v>11807880</v>
      </c>
      <c r="K6" s="34">
        <f>9000*287.82</f>
        <v>2590380</v>
      </c>
    </row>
    <row r="7" spans="1:14" x14ac:dyDescent="0.25">
      <c r="A7" s="42" t="s">
        <v>30</v>
      </c>
      <c r="B7" s="41">
        <f>Govt.!H7</f>
        <v>1832107.0234113715</v>
      </c>
      <c r="E7" s="49" t="s">
        <v>30</v>
      </c>
      <c r="F7" s="52">
        <f>FMV!V6</f>
        <v>2521107.6923076925</v>
      </c>
      <c r="H7" s="34" t="s">
        <v>41</v>
      </c>
      <c r="K7" s="34">
        <v>2086646</v>
      </c>
    </row>
    <row r="8" spans="1:14" x14ac:dyDescent="0.25">
      <c r="A8" s="42" t="s">
        <v>31</v>
      </c>
      <c r="B8" s="43"/>
      <c r="E8" s="49" t="s">
        <v>31</v>
      </c>
      <c r="F8" s="53">
        <v>325000</v>
      </c>
      <c r="K8" s="34">
        <f>SUM(K6:K7)</f>
        <v>4677026</v>
      </c>
    </row>
    <row r="9" spans="1:14" x14ac:dyDescent="0.25">
      <c r="A9" s="42"/>
      <c r="B9" s="43"/>
      <c r="E9" s="49" t="s">
        <v>51</v>
      </c>
      <c r="F9" s="67"/>
    </row>
    <row r="10" spans="1:14" x14ac:dyDescent="0.25">
      <c r="A10" s="42" t="s">
        <v>32</v>
      </c>
      <c r="B10" s="43">
        <f>SUM(B6:B8)</f>
        <v>5005597.0234113717</v>
      </c>
      <c r="E10" s="49" t="s">
        <v>32</v>
      </c>
      <c r="F10" s="53">
        <f>SUM(F6:F9)</f>
        <v>14653987.692307692</v>
      </c>
    </row>
    <row r="11" spans="1:14" x14ac:dyDescent="0.25">
      <c r="A11" s="42"/>
      <c r="B11" s="43">
        <f>ROUND(B10,-5)</f>
        <v>5000000</v>
      </c>
      <c r="E11" s="49" t="s">
        <v>33</v>
      </c>
      <c r="F11" s="53">
        <f>ROUND(F10,-5)</f>
        <v>14700000</v>
      </c>
      <c r="I11" s="34">
        <v>700000000</v>
      </c>
    </row>
    <row r="12" spans="1:14" x14ac:dyDescent="0.25">
      <c r="A12" s="42"/>
      <c r="B12" s="43">
        <f>0.85*B11</f>
        <v>4250000</v>
      </c>
      <c r="E12" s="49" t="s">
        <v>34</v>
      </c>
      <c r="F12" s="53">
        <f>0.85*F11</f>
        <v>12495000</v>
      </c>
      <c r="I12" s="34">
        <v>48562</v>
      </c>
    </row>
    <row r="13" spans="1:14" ht="15.75" thickBot="1" x14ac:dyDescent="0.3">
      <c r="A13" s="38"/>
      <c r="B13" s="40">
        <f>0.75*B11</f>
        <v>3750000</v>
      </c>
      <c r="E13" s="49" t="s">
        <v>35</v>
      </c>
      <c r="F13" s="53">
        <f>0.75*F11</f>
        <v>11025000</v>
      </c>
      <c r="I13" s="34">
        <v>14414.562830000001</v>
      </c>
    </row>
    <row r="14" spans="1:14" ht="15.75" thickBot="1" x14ac:dyDescent="0.3">
      <c r="E14" s="50" t="s">
        <v>42</v>
      </c>
      <c r="F14" s="54">
        <f>0.75*FMV!R6</f>
        <v>2160000</v>
      </c>
      <c r="H14" s="43">
        <v>967600000</v>
      </c>
    </row>
    <row r="15" spans="1:14" x14ac:dyDescent="0.25">
      <c r="K15" s="34">
        <f>3098*300</f>
        <v>929400</v>
      </c>
    </row>
    <row r="16" spans="1:14" x14ac:dyDescent="0.25">
      <c r="B16" s="34">
        <v>0.8</v>
      </c>
    </row>
    <row r="17" spans="1:12" x14ac:dyDescent="0.25">
      <c r="B17" s="44">
        <f>B16*B7</f>
        <v>1465685.6187290973</v>
      </c>
      <c r="I17" s="34">
        <f>15924*10.7639</f>
        <v>171404.34359999999</v>
      </c>
    </row>
    <row r="18" spans="1:12" x14ac:dyDescent="0.25">
      <c r="B18" s="34" t="s">
        <v>46</v>
      </c>
      <c r="K18" s="34">
        <f>A3*10.7639</f>
        <v>3795.458779</v>
      </c>
      <c r="L18" s="34">
        <f>G3/K18</f>
        <v>3111.0547334441226</v>
      </c>
    </row>
    <row r="19" spans="1:12" x14ac:dyDescent="0.25">
      <c r="B19" s="34">
        <f>287.82*9000</f>
        <v>2590380</v>
      </c>
      <c r="F19" s="34">
        <f>287.82*0.6</f>
        <v>172.69199999999998</v>
      </c>
    </row>
    <row r="20" spans="1:12" x14ac:dyDescent="0.25">
      <c r="B20" s="34">
        <f>2590380+2417660</f>
        <v>5008040</v>
      </c>
    </row>
    <row r="21" spans="1:12" x14ac:dyDescent="0.25">
      <c r="F21" s="34">
        <v>8000</v>
      </c>
      <c r="G21" s="34">
        <f>F21*5%</f>
        <v>400</v>
      </c>
    </row>
    <row r="22" spans="1:12" x14ac:dyDescent="0.25">
      <c r="A22" s="34">
        <f>92.73+9.45</f>
        <v>102.18</v>
      </c>
    </row>
    <row r="23" spans="1:12" x14ac:dyDescent="0.25">
      <c r="E23" s="34">
        <f>(998.13+102.26)/10.7639</f>
        <v>102.22967511775472</v>
      </c>
    </row>
    <row r="26" spans="1:12" x14ac:dyDescent="0.25">
      <c r="C26" s="34">
        <v>62</v>
      </c>
      <c r="D26" s="34">
        <v>5000</v>
      </c>
      <c r="E26" s="34">
        <f>D26*C26</f>
        <v>310000</v>
      </c>
    </row>
  </sheetData>
  <mergeCells count="2">
    <mergeCell ref="E1:G1"/>
    <mergeCell ref="A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1:I14"/>
  <sheetViews>
    <sheetView workbookViewId="0">
      <selection activeCell="P20" sqref="P9:P20"/>
    </sheetView>
  </sheetViews>
  <sheetFormatPr defaultRowHeight="15" x14ac:dyDescent="0.25"/>
  <sheetData>
    <row r="11" spans="6:9" x14ac:dyDescent="0.25">
      <c r="F11">
        <v>23.17</v>
      </c>
      <c r="G11">
        <v>3.28</v>
      </c>
      <c r="H11">
        <f>G11*F11</f>
        <v>75.997600000000006</v>
      </c>
      <c r="I11" t="s">
        <v>53</v>
      </c>
    </row>
    <row r="12" spans="6:9" x14ac:dyDescent="0.25">
      <c r="F12">
        <v>23</v>
      </c>
      <c r="G12">
        <v>3.28</v>
      </c>
      <c r="H12">
        <f t="shared" ref="H12:H14" si="0">G12*F12</f>
        <v>75.44</v>
      </c>
      <c r="I12" t="s">
        <v>54</v>
      </c>
    </row>
    <row r="13" spans="6:9" x14ac:dyDescent="0.25">
      <c r="F13">
        <v>16.27</v>
      </c>
      <c r="G13">
        <v>3.28</v>
      </c>
      <c r="H13">
        <f t="shared" si="0"/>
        <v>53.365599999999993</v>
      </c>
      <c r="I13" t="s">
        <v>55</v>
      </c>
    </row>
    <row r="14" spans="6:9" x14ac:dyDescent="0.25">
      <c r="F14">
        <v>16.350000000000001</v>
      </c>
      <c r="G14">
        <v>3.28</v>
      </c>
      <c r="H14">
        <f t="shared" si="0"/>
        <v>53.628</v>
      </c>
      <c r="I14"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FMV</vt:lpstr>
      <vt:lpstr>Govt.</vt:lpstr>
      <vt:lpstr>Calculations</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Babul</dc:creator>
  <cp:lastModifiedBy>Vishal Singh</cp:lastModifiedBy>
  <dcterms:created xsi:type="dcterms:W3CDTF">2022-11-04T05:05:51Z</dcterms:created>
  <dcterms:modified xsi:type="dcterms:W3CDTF">2023-11-07T11:14:12Z</dcterms:modified>
</cp:coreProperties>
</file>