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Rachit\VIS(2023-24)-PL495-410-624_KARA\RK Working Oct 23\"/>
    </mc:Choice>
  </mc:AlternateContent>
  <bookViews>
    <workbookView minimized="1" xWindow="0" yWindow="0" windowWidth="20490" windowHeight="6855" activeTab="2"/>
  </bookViews>
  <sheets>
    <sheet name="Sheet1" sheetId="1" r:id="rId1"/>
    <sheet name="Sheet2" sheetId="3" state="hidden" r:id="rId2"/>
    <sheet name="BV (2)" sheetId="4" r:id="rId3"/>
    <sheet name="Sheet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J22" i="4" l="1"/>
  <c r="K10" i="4" l="1"/>
  <c r="E8" i="4"/>
  <c r="F8" i="4"/>
  <c r="G8" i="4"/>
  <c r="H8" i="4"/>
  <c r="I8" i="4"/>
  <c r="K8" i="4" s="1"/>
  <c r="D8" i="4"/>
  <c r="O38" i="4"/>
  <c r="M38" i="4"/>
  <c r="C39" i="4"/>
  <c r="L40" i="4" l="1"/>
  <c r="L41" i="4" s="1"/>
  <c r="C34" i="4"/>
  <c r="J13" i="4"/>
  <c r="J14" i="4" s="1"/>
  <c r="H10" i="4"/>
  <c r="G10" i="4"/>
  <c r="F10" i="4"/>
  <c r="E10" i="4"/>
  <c r="D10" i="4"/>
  <c r="J10" i="4" s="1"/>
  <c r="F11" i="4"/>
  <c r="E7" i="4"/>
  <c r="F7" i="4" s="1"/>
  <c r="G7" i="4" s="1"/>
  <c r="H7" i="4" s="1"/>
  <c r="K6" i="4"/>
  <c r="L6" i="4" s="1"/>
  <c r="M6" i="4" s="1"/>
  <c r="N6" i="4" s="1"/>
  <c r="O6" i="4" s="1"/>
  <c r="E17" i="1"/>
  <c r="F17" i="1"/>
  <c r="G17" i="1"/>
  <c r="D17" i="1"/>
  <c r="L39" i="4" l="1"/>
  <c r="Q10" i="4"/>
  <c r="G11" i="4"/>
  <c r="H11" i="4"/>
  <c r="E11" i="4"/>
  <c r="K7" i="4"/>
  <c r="L7" i="4" s="1"/>
  <c r="M7" i="4" s="1"/>
  <c r="N7" i="4" s="1"/>
  <c r="O7" i="4" s="1"/>
  <c r="J15" i="4"/>
  <c r="J16" i="4" s="1"/>
  <c r="E28" i="3"/>
  <c r="F28" i="3"/>
  <c r="G28" i="3"/>
  <c r="H28" i="3"/>
  <c r="D28" i="3"/>
  <c r="F27" i="3"/>
  <c r="G27" i="3" s="1"/>
  <c r="H27" i="3" s="1"/>
  <c r="E27" i="3"/>
  <c r="H25" i="3"/>
  <c r="G26" i="3"/>
  <c r="H24" i="3"/>
  <c r="F26" i="3"/>
  <c r="E25" i="3"/>
  <c r="D6" i="3"/>
  <c r="B22" i="3"/>
  <c r="B21" i="3"/>
  <c r="C11" i="3"/>
  <c r="D11" i="3"/>
  <c r="E11" i="3" s="1"/>
  <c r="B12" i="3"/>
  <c r="B15" i="3" s="1"/>
  <c r="C12" i="3"/>
  <c r="D12" i="3"/>
  <c r="D17" i="3" s="1"/>
  <c r="B13" i="3"/>
  <c r="C15" i="3"/>
  <c r="C17" i="3"/>
  <c r="I16" i="1"/>
  <c r="F16" i="1"/>
  <c r="G16" i="1"/>
  <c r="H16" i="1"/>
  <c r="E16" i="1"/>
  <c r="D16" i="1"/>
  <c r="C16" i="1"/>
  <c r="L10" i="4" l="1"/>
  <c r="M10" i="4" s="1"/>
  <c r="N10" i="4" s="1"/>
  <c r="O10" i="4" s="1"/>
  <c r="J23" i="4"/>
  <c r="J26" i="4" s="1"/>
  <c r="J28" i="4" s="1"/>
  <c r="K22" i="4"/>
  <c r="E12" i="3"/>
  <c r="F11" i="3"/>
  <c r="B17" i="3"/>
  <c r="D15" i="3"/>
  <c r="K23" i="4" l="1"/>
  <c r="L22" i="4"/>
  <c r="L8" i="4"/>
  <c r="K13" i="4"/>
  <c r="E17" i="3"/>
  <c r="E15" i="3"/>
  <c r="G11" i="3"/>
  <c r="F12" i="3"/>
  <c r="K14" i="4" l="1"/>
  <c r="K15" i="4" s="1"/>
  <c r="K16" i="4" s="1"/>
  <c r="K26" i="4" s="1"/>
  <c r="K28" i="4" s="1"/>
  <c r="L11" i="4"/>
  <c r="L13" i="4"/>
  <c r="M8" i="4"/>
  <c r="M22" i="4"/>
  <c r="L23" i="4"/>
  <c r="F15" i="3"/>
  <c r="F17" i="3"/>
  <c r="H11" i="3"/>
  <c r="G12" i="3"/>
  <c r="L14" i="4" l="1"/>
  <c r="L15" i="4" s="1"/>
  <c r="L16" i="4" s="1"/>
  <c r="L26" i="4" s="1"/>
  <c r="L28" i="4" s="1"/>
  <c r="M13" i="4"/>
  <c r="N8" i="4"/>
  <c r="M11" i="4"/>
  <c r="M23" i="4"/>
  <c r="N22" i="4"/>
  <c r="G15" i="3"/>
  <c r="G17" i="3"/>
  <c r="I11" i="3"/>
  <c r="H12" i="3"/>
  <c r="M14" i="4" l="1"/>
  <c r="M15" i="4" s="1"/>
  <c r="M16" i="4" s="1"/>
  <c r="M26" i="4" s="1"/>
  <c r="M28" i="4" s="1"/>
  <c r="O8" i="4"/>
  <c r="N11" i="4"/>
  <c r="N13" i="4"/>
  <c r="N23" i="4"/>
  <c r="O22" i="4"/>
  <c r="O23" i="4" s="1"/>
  <c r="H17" i="3"/>
  <c r="H15" i="3"/>
  <c r="I12" i="3"/>
  <c r="J11" i="3"/>
  <c r="N14" i="4" l="1"/>
  <c r="N15" i="4" s="1"/>
  <c r="N16" i="4" s="1"/>
  <c r="N26" i="4" s="1"/>
  <c r="N28" i="4" s="1"/>
  <c r="O11" i="4"/>
  <c r="O13" i="4"/>
  <c r="K11" i="3"/>
  <c r="K12" i="3" s="1"/>
  <c r="J12" i="3"/>
  <c r="I17" i="3"/>
  <c r="I15" i="3"/>
  <c r="O14" i="4" l="1"/>
  <c r="O15" i="4" s="1"/>
  <c r="O16" i="4" s="1"/>
  <c r="J15" i="3"/>
  <c r="J17" i="3"/>
  <c r="K15" i="3"/>
  <c r="K17" i="3"/>
  <c r="O26" i="4" l="1"/>
  <c r="O25" i="4"/>
  <c r="O27" i="4" s="1"/>
  <c r="O28" i="4" l="1"/>
  <c r="J30" i="4" s="1"/>
  <c r="L38" i="4" l="1"/>
  <c r="J31" i="4"/>
</calcChain>
</file>

<file path=xl/comments1.xml><?xml version="1.0" encoding="utf-8"?>
<comments xmlns="http://schemas.openxmlformats.org/spreadsheetml/2006/main">
  <authors>
    <author>Rachit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Rachit:</t>
        </r>
        <r>
          <rPr>
            <sz val="9"/>
            <color indexed="81"/>
            <rFont val="Tahoma"/>
            <family val="2"/>
          </rPr>
          <t xml:space="preserve">
Growth Rate
`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Rachit:</t>
        </r>
        <r>
          <rPr>
            <sz val="9"/>
            <color indexed="81"/>
            <rFont val="Tahoma"/>
            <family val="2"/>
          </rPr>
          <t xml:space="preserve">
Discount Rate
</t>
        </r>
      </text>
    </comment>
  </commentList>
</comments>
</file>

<file path=xl/sharedStrings.xml><?xml version="1.0" encoding="utf-8"?>
<sst xmlns="http://schemas.openxmlformats.org/spreadsheetml/2006/main" count="105" uniqueCount="76">
  <si>
    <t>Month</t>
  </si>
  <si>
    <t>2017 -18</t>
  </si>
  <si>
    <t>2018-19</t>
  </si>
  <si>
    <t>2019 -20</t>
  </si>
  <si>
    <t>2020 -21</t>
  </si>
  <si>
    <t>2021 -22</t>
  </si>
  <si>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</si>
  <si>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</si>
  <si>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</si>
  <si>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</si>
  <si>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</si>
  <si>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</si>
  <si>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</si>
  <si>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</si>
  <si>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</si>
  <si>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</si>
  <si>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</si>
  <si>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</si>
  <si>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</si>
  <si>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2022-23(Upto Jan,23)</t>
  </si>
  <si>
    <t>Channel</t>
  </si>
  <si>
    <t>Aadhar</t>
  </si>
  <si>
    <t>Amazon/Cloudtail</t>
  </si>
  <si>
    <t>CSD</t>
  </si>
  <si>
    <t>EASY Day</t>
  </si>
  <si>
    <t>FLFL</t>
  </si>
  <si>
    <t>foodhall</t>
  </si>
  <si>
    <t>FRL</t>
  </si>
  <si>
    <t>GT/MT</t>
  </si>
  <si>
    <t>Hypercity</t>
  </si>
  <si>
    <t>Nilgiri</t>
  </si>
  <si>
    <t>Online</t>
  </si>
  <si>
    <t>RRL</t>
  </si>
  <si>
    <t>Wh Smith/Relay</t>
  </si>
  <si>
    <t>Kara brand Sales</t>
  </si>
  <si>
    <t>in Lacs Rs</t>
  </si>
  <si>
    <t>Gross Margin</t>
  </si>
  <si>
    <t>KARA WIPES</t>
  </si>
  <si>
    <t>BRAND VALUATION</t>
  </si>
  <si>
    <t>Particulars</t>
  </si>
  <si>
    <t>Revenue</t>
  </si>
  <si>
    <t>-</t>
  </si>
  <si>
    <t>Gross Margin%</t>
  </si>
  <si>
    <t>Projected</t>
  </si>
  <si>
    <t>Timing Factor 0.3 1.3 2.3 3.3 4.3</t>
  </si>
  <si>
    <t>Sales 231 1,159 1,485 1,965 2,703</t>
  </si>
  <si>
    <t>Net Royalty savings (3%) 6.94 34.76 44.56 58.96 81.10</t>
  </si>
  <si>
    <t>Income Tax (notional) 1.75 8.75 11.21 14.84 20.41</t>
  </si>
  <si>
    <t>After tax Royalty Savings 5.20 26.01 33.34 44.12 60.69</t>
  </si>
  <si>
    <t>Discounting Factor 0.96 0.81 0.68 0.58 0.49</t>
  </si>
  <si>
    <t>Present Value (PV) of CF from Royalty 4.98 21.04 22.76 25.41 29.50</t>
  </si>
  <si>
    <t>Revenue Growth Rate</t>
  </si>
  <si>
    <t>Audited</t>
  </si>
  <si>
    <t>Royalty Savings Rate</t>
  </si>
  <si>
    <t>Net Royalty Savings</t>
  </si>
  <si>
    <t>Tax Rate</t>
  </si>
  <si>
    <t>Income Tax</t>
  </si>
  <si>
    <t>After-tax Royalty Savings</t>
  </si>
  <si>
    <t>Time Period</t>
  </si>
  <si>
    <t>Valuation Date</t>
  </si>
  <si>
    <t>Discount Rate</t>
  </si>
  <si>
    <t>PVF</t>
  </si>
  <si>
    <t>Terminal Value</t>
  </si>
  <si>
    <t>Perpetual Growth Rate</t>
  </si>
  <si>
    <t>PV of CF</t>
  </si>
  <si>
    <t>PV of TV</t>
  </si>
  <si>
    <t>PV of CF+TV</t>
  </si>
  <si>
    <t>Brand Value of KARA Wipes</t>
  </si>
  <si>
    <t>Savings for Remaining Year</t>
  </si>
  <si>
    <t>https://kunaldesai.blog/nifty-returns/</t>
  </si>
  <si>
    <t>Sensitivity Analysis</t>
  </si>
  <si>
    <t>Appropriate Discount Rate</t>
  </si>
  <si>
    <t>Lakhs</t>
  </si>
  <si>
    <t xml:space="preserve">Terminal Growth Rate </t>
  </si>
  <si>
    <t>Risk Premium</t>
  </si>
  <si>
    <t>Expected Market Return (Rm) Nifty Fifty 10-year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</si>
</sst>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0.000%"/>
    <numFmt numFmtId="167" formatCode="0.0000%"/>
    <numFmt numFmtId="168" formatCode="[$-409]d\-mmm\-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6" xfId="0" applyFont="1" applyBorder="1"/>
    <xf numFmtId="0" fontId="4" fillId="3" borderId="0" xfId="0" applyFont="1" applyFill="1"/>
    <xf numFmtId="0" fontId="4" fillId="4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vertical="center"/>
    </xf>
    <xf numFmtId="10" fontId="5" fillId="0" borderId="6" xfId="0" applyNumberFormat="1" applyFont="1" applyBorder="1"/>
    <xf numFmtId="10" fontId="0" fillId="0" borderId="0" xfId="0" applyNumberFormat="1"/>
    <xf numFmtId="2" fontId="0" fillId="0" borderId="0" xfId="0" applyNumberFormat="1"/>
    <xf numFmtId="9" fontId="0" fillId="0" borderId="0" xfId="0" applyNumberFormat="1"/>
    <xf numFmtId="17" fontId="4" fillId="4" borderId="0" xfId="0" applyNumberFormat="1" applyFont="1" applyFill="1" applyAlignment="1">
      <alignment horizontal="center" vertical="center"/>
    </xf>
    <xf numFmtId="167" fontId="0" fillId="0" borderId="0" xfId="2" applyNumberFormat="1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0" fillId="0" borderId="6" xfId="0" applyBorder="1"/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center" vertical="center"/>
    </xf>
    <xf numFmtId="10" fontId="0" fillId="6" borderId="6" xfId="0" applyNumberFormat="1" applyFill="1" applyBorder="1" applyAlignment="1">
      <alignment horizontal="center" vertical="center"/>
    </xf>
    <xf numFmtId="0" fontId="5" fillId="0" borderId="8" xfId="0" applyFont="1" applyBorder="1"/>
    <xf numFmtId="10" fontId="5" fillId="0" borderId="8" xfId="0" applyNumberFormat="1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3" fillId="0" borderId="0" xfId="4" applyAlignment="1">
      <alignment vertical="center"/>
    </xf>
    <xf numFmtId="165" fontId="14" fillId="5" borderId="6" xfId="0" applyNumberFormat="1" applyFont="1" applyFill="1" applyBorder="1" applyAlignment="1">
      <alignment horizontal="center" vertical="center" wrapText="1"/>
    </xf>
    <xf numFmtId="165" fontId="0" fillId="0" borderId="6" xfId="3" applyNumberFormat="1" applyFont="1" applyFill="1" applyBorder="1" applyAlignment="1">
      <alignment horizontal="center" vertical="center"/>
    </xf>
    <xf numFmtId="165" fontId="5" fillId="0" borderId="6" xfId="3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5" fontId="4" fillId="4" borderId="0" xfId="1" applyFont="1" applyFill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165" fontId="5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0" fontId="0" fillId="0" borderId="0" xfId="2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0" fillId="0" borderId="0" xfId="1" applyFont="1" applyAlignment="1">
      <alignment horizontal="right" vertical="center"/>
    </xf>
    <xf numFmtId="10" fontId="11" fillId="0" borderId="6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3" fontId="0" fillId="0" borderId="0" xfId="0" applyNumberFormat="1"/>
    <xf numFmtId="0" fontId="2" fillId="0" borderId="5" xfId="0" applyFont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30A8A-DAF7-4506-B8E2-89C575568AA9}">
  <we:reference id="wa104379220" version="8.0.0.0" store="en-US" storeType="OMEX"/>
  <we:alternateReferences>
    <we:reference id="wa104379220" version="8.0.0.0" store="WA104379220" storeType="OMEX"/>
  </we:alternateReferences>
  <we:properties>
    <we:property name="Office.AutoShowTaskpaneWithDocument" value="true"/>
    <we:property name="lastCryptoCompare" value="0"/>
    <we:property name="lastIexCall" value="1697549385836"/>
    <we:property name="stocks" value="{}"/>
    <we:property name="stocksChange" value="{}"/>
    <we:property name="stocksOrder" value="[]"/>
    <we:property name="stocksSources" value="{}"/>
    <we:property name="updateIntervalIndex" value="0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unaldesai.blog/nifty-retu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16" sqref="H16"/>
    </sheetView>
  </sheetViews>
  <sheetFormatPr defaultRowHeight="15" x14ac:dyDescent="0.25"/>
  <cols>
    <col min="1" max="1" width="15.5703125" bestFit="1" customWidth="1"/>
    <col min="2" max="2" width="17.42578125" customWidth="1"/>
    <col min="3" max="5" width="12.85546875" bestFit="1" customWidth="1"/>
    <col min="6" max="7" width="11.7109375" bestFit="1" customWidth="1"/>
    <col min="8" max="8" width="20.28515625" bestFit="1" customWidth="1"/>
    <col min="9" max="9" width="12.5703125" bestFit="1" customWidth="1"/>
    <col min="12" max="12" width="11.7109375" bestFit="1" customWidth="1"/>
    <col min="13" max="13" width="9.140625" customWidth="1"/>
  </cols>
  <sheetData>
    <row r="1" spans="1:13" x14ac:dyDescent="0.25">
      <c r="A1" t="s">
        <v>34</v>
      </c>
      <c r="C1" t="s">
        <v>35</v>
      </c>
    </row>
    <row r="2" spans="1:13" ht="15.75" thickBot="1" x14ac:dyDescent="0.3"/>
    <row r="3" spans="1:13" ht="15.75" thickBot="1" x14ac:dyDescent="0.3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19</v>
      </c>
      <c r="I3" s="9" t="s">
        <v>6</v>
      </c>
    </row>
    <row r="4" spans="1:13" ht="15.75" thickBot="1" x14ac:dyDescent="0.3">
      <c r="B4" s="16" t="s">
        <v>7</v>
      </c>
      <c r="C4" s="10">
        <v>272</v>
      </c>
      <c r="D4" s="10">
        <v>298</v>
      </c>
      <c r="E4" s="10">
        <v>215</v>
      </c>
      <c r="F4" s="10">
        <v>38</v>
      </c>
      <c r="G4" s="10">
        <v>82</v>
      </c>
      <c r="H4" s="10">
        <v>86</v>
      </c>
      <c r="I4" s="11"/>
      <c r="M4" s="6"/>
    </row>
    <row r="5" spans="1:13" ht="15.75" thickBot="1" x14ac:dyDescent="0.3">
      <c r="B5" s="16" t="s">
        <v>8</v>
      </c>
      <c r="C5" s="10">
        <v>307</v>
      </c>
      <c r="D5" s="10">
        <v>308</v>
      </c>
      <c r="E5" s="10">
        <v>173</v>
      </c>
      <c r="F5" s="10">
        <v>53</v>
      </c>
      <c r="G5" s="10">
        <v>4</v>
      </c>
      <c r="H5" s="10">
        <v>53</v>
      </c>
      <c r="I5" s="11"/>
    </row>
    <row r="6" spans="1:13" ht="15.75" thickBot="1" x14ac:dyDescent="0.3">
      <c r="B6" s="16" t="s">
        <v>9</v>
      </c>
      <c r="C6" s="10">
        <v>242</v>
      </c>
      <c r="D6" s="10">
        <v>256</v>
      </c>
      <c r="E6" s="10">
        <v>194</v>
      </c>
      <c r="F6" s="10">
        <v>59</v>
      </c>
      <c r="G6" s="10">
        <v>143</v>
      </c>
      <c r="H6" s="10">
        <v>33</v>
      </c>
      <c r="I6" s="11"/>
    </row>
    <row r="7" spans="1:13" ht="15.75" thickBot="1" x14ac:dyDescent="0.3">
      <c r="B7" s="16" t="s">
        <v>10</v>
      </c>
      <c r="C7" s="10">
        <v>195</v>
      </c>
      <c r="D7" s="10">
        <v>200</v>
      </c>
      <c r="E7" s="10">
        <v>177</v>
      </c>
      <c r="F7" s="10">
        <v>43</v>
      </c>
      <c r="G7" s="10">
        <v>47</v>
      </c>
      <c r="H7" s="10">
        <v>33</v>
      </c>
      <c r="I7" s="11"/>
    </row>
    <row r="8" spans="1:13" ht="15.75" thickBot="1" x14ac:dyDescent="0.3">
      <c r="B8" s="16" t="s">
        <v>11</v>
      </c>
      <c r="C8" s="10">
        <v>187</v>
      </c>
      <c r="D8" s="10">
        <v>193</v>
      </c>
      <c r="E8" s="10">
        <v>170</v>
      </c>
      <c r="F8" s="10">
        <v>33</v>
      </c>
      <c r="G8" s="10">
        <v>67</v>
      </c>
      <c r="H8" s="10">
        <v>31</v>
      </c>
      <c r="I8" s="11"/>
    </row>
    <row r="9" spans="1:13" ht="15.75" thickBot="1" x14ac:dyDescent="0.3">
      <c r="B9" s="16" t="s">
        <v>12</v>
      </c>
      <c r="C9" s="10">
        <v>228</v>
      </c>
      <c r="D9" s="10">
        <v>185</v>
      </c>
      <c r="E9" s="10">
        <v>167</v>
      </c>
      <c r="F9" s="10">
        <v>31</v>
      </c>
      <c r="G9" s="10">
        <v>42</v>
      </c>
      <c r="H9" s="10">
        <v>40</v>
      </c>
      <c r="I9" s="11"/>
    </row>
    <row r="10" spans="1:13" ht="15.75" thickBot="1" x14ac:dyDescent="0.3">
      <c r="B10" s="16" t="s">
        <v>13</v>
      </c>
      <c r="C10" s="10">
        <v>217</v>
      </c>
      <c r="D10" s="10">
        <v>180</v>
      </c>
      <c r="E10" s="10">
        <v>134</v>
      </c>
      <c r="F10" s="10">
        <v>24</v>
      </c>
      <c r="G10" s="10">
        <v>28</v>
      </c>
      <c r="H10" s="10">
        <v>28</v>
      </c>
      <c r="I10" s="11"/>
    </row>
    <row r="11" spans="1:13" ht="15.75" thickBot="1" x14ac:dyDescent="0.3">
      <c r="B11" s="16" t="s">
        <v>14</v>
      </c>
      <c r="C11" s="10">
        <v>225</v>
      </c>
      <c r="D11" s="10">
        <v>157</v>
      </c>
      <c r="E11" s="10">
        <v>105</v>
      </c>
      <c r="F11" s="10">
        <v>13</v>
      </c>
      <c r="G11" s="10">
        <v>24</v>
      </c>
      <c r="H11" s="10">
        <v>35</v>
      </c>
      <c r="I11" s="11"/>
    </row>
    <row r="12" spans="1:13" ht="15.75" thickBot="1" x14ac:dyDescent="0.3">
      <c r="B12" s="16" t="s">
        <v>15</v>
      </c>
      <c r="C12" s="10">
        <v>200</v>
      </c>
      <c r="D12" s="10">
        <v>181</v>
      </c>
      <c r="E12" s="10">
        <v>132</v>
      </c>
      <c r="F12" s="10">
        <v>17</v>
      </c>
      <c r="G12" s="10">
        <v>166</v>
      </c>
      <c r="H12" s="10">
        <v>27</v>
      </c>
      <c r="I12" s="11"/>
    </row>
    <row r="13" spans="1:13" ht="15.75" thickBot="1" x14ac:dyDescent="0.3">
      <c r="B13" s="16" t="s">
        <v>16</v>
      </c>
      <c r="C13" s="10">
        <v>198</v>
      </c>
      <c r="D13" s="10">
        <v>187</v>
      </c>
      <c r="E13" s="10">
        <v>126</v>
      </c>
      <c r="F13" s="10">
        <v>48</v>
      </c>
      <c r="G13" s="10">
        <v>155</v>
      </c>
      <c r="H13" s="10">
        <v>28</v>
      </c>
      <c r="I13" s="11"/>
    </row>
    <row r="14" spans="1:13" ht="15.75" thickBot="1" x14ac:dyDescent="0.3">
      <c r="B14" s="16" t="s">
        <v>17</v>
      </c>
      <c r="C14" s="10">
        <v>198</v>
      </c>
      <c r="D14" s="10">
        <v>160</v>
      </c>
      <c r="E14" s="10">
        <v>88</v>
      </c>
      <c r="F14" s="10">
        <v>75</v>
      </c>
      <c r="G14" s="10">
        <v>38</v>
      </c>
      <c r="H14" s="10" t="s">
        <v>41</v>
      </c>
      <c r="I14" s="11"/>
    </row>
    <row r="15" spans="1:13" ht="15.75" thickBot="1" x14ac:dyDescent="0.3">
      <c r="B15" s="16" t="s">
        <v>18</v>
      </c>
      <c r="C15" s="10">
        <v>505</v>
      </c>
      <c r="D15" s="10">
        <v>200</v>
      </c>
      <c r="E15" s="10">
        <v>69</v>
      </c>
      <c r="F15" s="10">
        <v>98</v>
      </c>
      <c r="G15" s="10">
        <v>132</v>
      </c>
      <c r="H15" s="10" t="s">
        <v>41</v>
      </c>
      <c r="I15" s="11"/>
    </row>
    <row r="16" spans="1:13" ht="15.75" thickBot="1" x14ac:dyDescent="0.3">
      <c r="B16" s="17" t="s">
        <v>6</v>
      </c>
      <c r="C16" s="13">
        <f>SUM(C4:C15)</f>
        <v>2974</v>
      </c>
      <c r="D16" s="13">
        <f>SUM(D4:D15)</f>
        <v>2505</v>
      </c>
      <c r="E16" s="13">
        <f>SUM(E4:E15)</f>
        <v>1750</v>
      </c>
      <c r="F16" s="13">
        <f t="shared" ref="F16:H16" si="0">SUM(F4:F15)</f>
        <v>532</v>
      </c>
      <c r="G16" s="13">
        <f t="shared" si="0"/>
        <v>928</v>
      </c>
      <c r="H16" s="13">
        <f t="shared" si="0"/>
        <v>394</v>
      </c>
      <c r="I16" s="18">
        <f>SUM(C16:H16)</f>
        <v>9083</v>
      </c>
    </row>
    <row r="17" spans="2:12" x14ac:dyDescent="0.25">
      <c r="B17" s="1"/>
      <c r="C17" s="1"/>
      <c r="D17" s="1">
        <f>D16/C16-1</f>
        <v>-0.15770006724949559</v>
      </c>
      <c r="E17" s="1">
        <f t="shared" ref="E17:G17" si="1">E16/D16-1</f>
        <v>-0.30139720558882233</v>
      </c>
      <c r="F17" s="1">
        <f t="shared" si="1"/>
        <v>-0.69599999999999995</v>
      </c>
      <c r="G17" s="1">
        <f t="shared" si="1"/>
        <v>0.744360902255639</v>
      </c>
      <c r="H17" s="1"/>
      <c r="I17" s="1"/>
      <c r="L17" s="7"/>
    </row>
    <row r="18" spans="2:12" x14ac:dyDescent="0.25">
      <c r="B18" t="s">
        <v>36</v>
      </c>
      <c r="C18" s="19">
        <v>0.496</v>
      </c>
      <c r="D18" s="19">
        <v>0.441</v>
      </c>
      <c r="E18" s="19">
        <v>0.42699999999999999</v>
      </c>
      <c r="F18" s="19">
        <v>0.189</v>
      </c>
      <c r="G18" s="19">
        <v>0.39400000000000002</v>
      </c>
      <c r="H18" s="19">
        <v>0.435</v>
      </c>
      <c r="I18" s="3"/>
    </row>
    <row r="19" spans="2:12" ht="15.75" thickBot="1" x14ac:dyDescent="0.3">
      <c r="B19" s="2"/>
      <c r="C19" s="57"/>
      <c r="D19" s="57"/>
      <c r="E19" s="1"/>
      <c r="F19" s="1"/>
      <c r="G19" s="1"/>
      <c r="H19" s="1"/>
      <c r="I19" s="1"/>
    </row>
    <row r="20" spans="2:12" ht="15.75" thickBot="1" x14ac:dyDescent="0.3">
      <c r="B20" s="8" t="s">
        <v>20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19</v>
      </c>
      <c r="I20" s="9" t="s">
        <v>6</v>
      </c>
    </row>
    <row r="21" spans="2:12" ht="15.75" thickBot="1" x14ac:dyDescent="0.3">
      <c r="B21" s="16" t="s">
        <v>21</v>
      </c>
      <c r="C21" s="10">
        <v>64</v>
      </c>
      <c r="D21" s="10">
        <v>6</v>
      </c>
      <c r="E21" s="10">
        <v>2</v>
      </c>
      <c r="F21" s="10">
        <v>0</v>
      </c>
      <c r="G21" s="10">
        <v>2</v>
      </c>
      <c r="H21" s="10" t="s">
        <v>41</v>
      </c>
      <c r="I21" s="11"/>
    </row>
    <row r="22" spans="2:12" ht="15.75" thickBot="1" x14ac:dyDescent="0.3">
      <c r="B22" s="16" t="s">
        <v>22</v>
      </c>
      <c r="C22" s="10">
        <v>3</v>
      </c>
      <c r="D22" s="10" t="s">
        <v>41</v>
      </c>
      <c r="E22" s="10">
        <v>5</v>
      </c>
      <c r="F22" s="10">
        <v>10</v>
      </c>
      <c r="G22" s="10" t="s">
        <v>41</v>
      </c>
      <c r="H22" s="10" t="s">
        <v>41</v>
      </c>
      <c r="I22" s="11"/>
    </row>
    <row r="23" spans="2:12" ht="15.75" thickBot="1" x14ac:dyDescent="0.3">
      <c r="B23" s="16" t="s">
        <v>23</v>
      </c>
      <c r="C23" s="10">
        <v>9</v>
      </c>
      <c r="D23" s="10">
        <v>37</v>
      </c>
      <c r="E23" s="10">
        <v>49</v>
      </c>
      <c r="F23" s="10">
        <v>16</v>
      </c>
      <c r="G23" s="10">
        <v>55</v>
      </c>
      <c r="H23" s="10">
        <v>58</v>
      </c>
      <c r="I23" s="11"/>
    </row>
    <row r="24" spans="2:12" ht="15.75" thickBot="1" x14ac:dyDescent="0.3">
      <c r="B24" s="16" t="s">
        <v>24</v>
      </c>
      <c r="C24" s="10">
        <v>20</v>
      </c>
      <c r="D24" s="10">
        <v>3</v>
      </c>
      <c r="E24" s="10">
        <v>6</v>
      </c>
      <c r="F24" s="10">
        <v>2</v>
      </c>
      <c r="G24" s="10">
        <v>0</v>
      </c>
      <c r="H24" s="10" t="s">
        <v>41</v>
      </c>
      <c r="I24" s="11"/>
    </row>
    <row r="25" spans="2:12" ht="15.75" thickBot="1" x14ac:dyDescent="0.3">
      <c r="B25" s="16" t="s">
        <v>25</v>
      </c>
      <c r="C25" s="10">
        <v>44</v>
      </c>
      <c r="D25" s="10">
        <v>135</v>
      </c>
      <c r="E25" s="10">
        <v>24</v>
      </c>
      <c r="F25" s="10">
        <v>0</v>
      </c>
      <c r="G25" s="10">
        <v>0</v>
      </c>
      <c r="H25" s="10" t="s">
        <v>41</v>
      </c>
      <c r="I25" s="11"/>
    </row>
    <row r="26" spans="2:12" ht="15.75" thickBot="1" x14ac:dyDescent="0.3">
      <c r="B26" s="16" t="s">
        <v>26</v>
      </c>
      <c r="C26" s="10">
        <v>1</v>
      </c>
      <c r="D26" s="10">
        <v>0</v>
      </c>
      <c r="E26" s="10">
        <v>2</v>
      </c>
      <c r="F26" s="10">
        <v>0</v>
      </c>
      <c r="G26" s="10" t="s">
        <v>41</v>
      </c>
      <c r="H26" s="10" t="s">
        <v>41</v>
      </c>
      <c r="I26" s="11"/>
    </row>
    <row r="27" spans="2:12" ht="15.75" thickBot="1" x14ac:dyDescent="0.3">
      <c r="B27" s="16" t="s">
        <v>27</v>
      </c>
      <c r="C27" s="15">
        <v>1214</v>
      </c>
      <c r="D27" s="10">
        <v>908</v>
      </c>
      <c r="E27" s="10">
        <v>735</v>
      </c>
      <c r="F27" s="10">
        <v>127</v>
      </c>
      <c r="G27" s="10">
        <v>6</v>
      </c>
      <c r="H27" s="10">
        <v>0</v>
      </c>
      <c r="I27" s="11"/>
    </row>
    <row r="28" spans="2:12" ht="15.75" thickBot="1" x14ac:dyDescent="0.3">
      <c r="B28" s="16" t="s">
        <v>28</v>
      </c>
      <c r="C28" s="15">
        <v>1544</v>
      </c>
      <c r="D28" s="15">
        <v>1294</v>
      </c>
      <c r="E28" s="10">
        <v>860</v>
      </c>
      <c r="F28" s="10">
        <v>277</v>
      </c>
      <c r="G28" s="10">
        <v>339</v>
      </c>
      <c r="H28" s="10">
        <v>277</v>
      </c>
      <c r="I28" s="11"/>
    </row>
    <row r="29" spans="2:12" ht="15.75" thickBot="1" x14ac:dyDescent="0.3">
      <c r="B29" s="16" t="s">
        <v>29</v>
      </c>
      <c r="C29" s="10">
        <v>5</v>
      </c>
      <c r="D29" s="10">
        <v>14</v>
      </c>
      <c r="E29" s="10">
        <v>1</v>
      </c>
      <c r="F29" s="10">
        <v>0</v>
      </c>
      <c r="G29" s="10" t="s">
        <v>41</v>
      </c>
      <c r="H29" s="10" t="s">
        <v>41</v>
      </c>
      <c r="I29" s="11"/>
    </row>
    <row r="30" spans="2:12" ht="15.75" thickBot="1" x14ac:dyDescent="0.3">
      <c r="B30" s="16" t="s">
        <v>30</v>
      </c>
      <c r="C30" s="10">
        <v>23</v>
      </c>
      <c r="D30" s="10">
        <v>34</v>
      </c>
      <c r="E30" s="10">
        <v>2</v>
      </c>
      <c r="F30" s="10">
        <v>1</v>
      </c>
      <c r="G30" s="10">
        <v>1</v>
      </c>
      <c r="H30" s="10">
        <v>0</v>
      </c>
      <c r="I30" s="11"/>
    </row>
    <row r="31" spans="2:12" ht="15.75" thickBot="1" x14ac:dyDescent="0.3">
      <c r="B31" s="16" t="s">
        <v>31</v>
      </c>
      <c r="C31" s="10">
        <v>35</v>
      </c>
      <c r="D31" s="10">
        <v>48</v>
      </c>
      <c r="E31" s="10">
        <v>56</v>
      </c>
      <c r="F31" s="10">
        <v>12</v>
      </c>
      <c r="G31" s="10">
        <v>30</v>
      </c>
      <c r="H31" s="10">
        <v>26</v>
      </c>
      <c r="I31" s="11"/>
    </row>
    <row r="32" spans="2:12" ht="15.75" thickBot="1" x14ac:dyDescent="0.3">
      <c r="B32" s="16" t="s">
        <v>32</v>
      </c>
      <c r="C32" s="10" t="s">
        <v>41</v>
      </c>
      <c r="D32" s="10" t="s">
        <v>41</v>
      </c>
      <c r="E32" s="10" t="s">
        <v>41</v>
      </c>
      <c r="F32" s="10">
        <v>85</v>
      </c>
      <c r="G32" s="10">
        <v>492</v>
      </c>
      <c r="H32" s="10">
        <v>30</v>
      </c>
      <c r="I32" s="11"/>
    </row>
    <row r="33" spans="2:9" ht="15.75" thickBot="1" x14ac:dyDescent="0.3">
      <c r="B33" s="16" t="s">
        <v>33</v>
      </c>
      <c r="C33" s="10">
        <v>11</v>
      </c>
      <c r="D33" s="10">
        <v>27</v>
      </c>
      <c r="E33" s="10">
        <v>10</v>
      </c>
      <c r="F33" s="10">
        <v>0</v>
      </c>
      <c r="G33" s="10">
        <v>3</v>
      </c>
      <c r="H33" s="10">
        <v>2</v>
      </c>
      <c r="I33" s="11"/>
    </row>
    <row r="34" spans="2:9" ht="15.75" thickBot="1" x14ac:dyDescent="0.3">
      <c r="B34" s="12" t="s">
        <v>6</v>
      </c>
      <c r="C34" s="13">
        <v>2973</v>
      </c>
      <c r="D34" s="13">
        <v>2505</v>
      </c>
      <c r="E34" s="13">
        <v>1752</v>
      </c>
      <c r="F34" s="14">
        <v>531</v>
      </c>
      <c r="G34" s="14">
        <v>928</v>
      </c>
      <c r="H34" s="14">
        <v>393</v>
      </c>
      <c r="I34" s="13">
        <v>9083</v>
      </c>
    </row>
  </sheetData>
  <mergeCells count="1">
    <mergeCell ref="C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8"/>
  <sheetViews>
    <sheetView workbookViewId="0">
      <selection activeCell="B28" sqref="B28"/>
    </sheetView>
  </sheetViews>
  <sheetFormatPr defaultRowHeight="15" x14ac:dyDescent="0.25"/>
  <cols>
    <col min="2" max="2" width="60" bestFit="1" customWidth="1"/>
  </cols>
  <sheetData>
    <row r="2" spans="2:11" x14ac:dyDescent="0.25">
      <c r="B2" t="s">
        <v>44</v>
      </c>
    </row>
    <row r="3" spans="2:11" x14ac:dyDescent="0.25">
      <c r="B3" t="s">
        <v>45</v>
      </c>
    </row>
    <row r="4" spans="2:11" x14ac:dyDescent="0.25">
      <c r="B4" t="s">
        <v>46</v>
      </c>
    </row>
    <row r="5" spans="2:11" x14ac:dyDescent="0.25">
      <c r="B5" t="s">
        <v>47</v>
      </c>
    </row>
    <row r="6" spans="2:11" x14ac:dyDescent="0.25">
      <c r="B6" t="s">
        <v>48</v>
      </c>
      <c r="D6">
        <f>6.94*25.167%</f>
        <v>1.7465898000000002</v>
      </c>
    </row>
    <row r="7" spans="2:11" x14ac:dyDescent="0.25">
      <c r="B7" t="s">
        <v>49</v>
      </c>
    </row>
    <row r="8" spans="2:11" x14ac:dyDescent="0.25">
      <c r="B8" t="s">
        <v>50</v>
      </c>
    </row>
    <row r="11" spans="2:11" x14ac:dyDescent="0.25">
      <c r="B11" s="22">
        <v>0.09</v>
      </c>
      <c r="C11" s="22">
        <f>B11+1%</f>
        <v>9.9999999999999992E-2</v>
      </c>
      <c r="D11" s="22">
        <f t="shared" ref="D11:K11" si="0">C11+1%</f>
        <v>0.10999999999999999</v>
      </c>
      <c r="E11" s="22">
        <f t="shared" si="0"/>
        <v>0.11999999999999998</v>
      </c>
      <c r="F11" s="22">
        <f t="shared" si="0"/>
        <v>0.12999999999999998</v>
      </c>
      <c r="G11" s="22">
        <f t="shared" si="0"/>
        <v>0.13999999999999999</v>
      </c>
      <c r="H11" s="22">
        <f t="shared" si="0"/>
        <v>0.15</v>
      </c>
      <c r="I11" s="22">
        <f t="shared" si="0"/>
        <v>0.16</v>
      </c>
      <c r="J11" s="22">
        <f t="shared" si="0"/>
        <v>0.17</v>
      </c>
      <c r="K11" s="22">
        <f t="shared" si="0"/>
        <v>0.18000000000000002</v>
      </c>
    </row>
    <row r="12" spans="2:11" x14ac:dyDescent="0.25">
      <c r="B12">
        <f>1/(1+B11)^0.3</f>
        <v>0.97447802640531012</v>
      </c>
      <c r="C12">
        <f t="shared" ref="C12:K12" si="1">1/(1+C11)^0.3</f>
        <v>0.97181185901484812</v>
      </c>
      <c r="D12">
        <f t="shared" si="1"/>
        <v>0.96917701612339202</v>
      </c>
      <c r="E12">
        <f t="shared" si="1"/>
        <v>0.96657285243338742</v>
      </c>
      <c r="F12">
        <f t="shared" si="1"/>
        <v>0.96399874155118281</v>
      </c>
      <c r="G12">
        <f t="shared" si="1"/>
        <v>0.96145407527177396</v>
      </c>
      <c r="H12">
        <f t="shared" si="1"/>
        <v>0.95893826289661488</v>
      </c>
      <c r="I12">
        <f t="shared" si="1"/>
        <v>0.95645073058269148</v>
      </c>
      <c r="J12">
        <f t="shared" si="1"/>
        <v>0.95399092072117164</v>
      </c>
      <c r="K12">
        <f t="shared" si="1"/>
        <v>0.9515582913440479</v>
      </c>
    </row>
    <row r="13" spans="2:11" x14ac:dyDescent="0.25">
      <c r="B13">
        <f>231*3%</f>
        <v>6.93</v>
      </c>
    </row>
    <row r="14" spans="2:11" x14ac:dyDescent="0.25">
      <c r="B14">
        <v>5.2</v>
      </c>
    </row>
    <row r="15" spans="2:11" x14ac:dyDescent="0.25">
      <c r="B15">
        <f>$B$14*B12</f>
        <v>5.0672857373076123</v>
      </c>
      <c r="C15">
        <f t="shared" ref="C15:K15" si="2">$B$14*C12</f>
        <v>5.0534216668772105</v>
      </c>
      <c r="D15">
        <f t="shared" si="2"/>
        <v>5.0397204838416387</v>
      </c>
      <c r="E15">
        <f t="shared" si="2"/>
        <v>5.0261788326536143</v>
      </c>
      <c r="F15">
        <f t="shared" si="2"/>
        <v>5.0127934560661505</v>
      </c>
      <c r="G15">
        <f t="shared" si="2"/>
        <v>4.9995611914132247</v>
      </c>
      <c r="H15">
        <f t="shared" si="2"/>
        <v>4.9864789670623972</v>
      </c>
      <c r="I15">
        <f t="shared" si="2"/>
        <v>4.9735437990299962</v>
      </c>
      <c r="J15">
        <f t="shared" si="2"/>
        <v>4.960752787750093</v>
      </c>
      <c r="K15">
        <f t="shared" si="2"/>
        <v>4.9481031149890491</v>
      </c>
    </row>
    <row r="16" spans="2:11" x14ac:dyDescent="0.25">
      <c r="B16">
        <v>26.01</v>
      </c>
    </row>
    <row r="17" spans="2:11" x14ac:dyDescent="0.25">
      <c r="B17">
        <f>$B$16*B12</f>
        <v>25.346173466802117</v>
      </c>
      <c r="C17">
        <f t="shared" ref="C17:K17" si="3">$B$16*C12</f>
        <v>25.276826452976202</v>
      </c>
      <c r="D17">
        <f t="shared" si="3"/>
        <v>25.208294189369429</v>
      </c>
      <c r="E17">
        <f t="shared" si="3"/>
        <v>25.140559891792407</v>
      </c>
      <c r="F17">
        <f t="shared" si="3"/>
        <v>25.073607267746265</v>
      </c>
      <c r="G17">
        <f t="shared" si="3"/>
        <v>25.007420497818842</v>
      </c>
      <c r="H17">
        <f t="shared" si="3"/>
        <v>24.941984217940956</v>
      </c>
      <c r="I17">
        <f t="shared" si="3"/>
        <v>24.877283502455807</v>
      </c>
      <c r="J17">
        <f t="shared" si="3"/>
        <v>24.813303847957677</v>
      </c>
      <c r="K17">
        <f t="shared" si="3"/>
        <v>24.750031157858686</v>
      </c>
    </row>
    <row r="21" spans="2:11" x14ac:dyDescent="0.25">
      <c r="B21">
        <f>60.69*(1+0.03)/(0.15-0.03)</f>
        <v>520.92250000000001</v>
      </c>
    </row>
    <row r="22" spans="2:11" x14ac:dyDescent="0.25">
      <c r="B22">
        <f>B21*0.49</f>
        <v>255.252025</v>
      </c>
    </row>
    <row r="24" spans="2:11" x14ac:dyDescent="0.25">
      <c r="E24">
        <v>400</v>
      </c>
      <c r="F24">
        <v>60.69</v>
      </c>
      <c r="G24" s="22">
        <v>0.03</v>
      </c>
      <c r="H24">
        <f>F24*1.03</f>
        <v>62.5107</v>
      </c>
    </row>
    <row r="25" spans="2:11" x14ac:dyDescent="0.25">
      <c r="E25">
        <f>E24/1.03</f>
        <v>388.34951456310677</v>
      </c>
      <c r="H25">
        <f>H24/(G26-0.03)</f>
        <v>399.99999999999994</v>
      </c>
    </row>
    <row r="26" spans="2:11" x14ac:dyDescent="0.25">
      <c r="F26">
        <f>F24/E25</f>
        <v>0.15627675000000002</v>
      </c>
      <c r="G26" s="24">
        <f>F26+0.03</f>
        <v>0.18627675000000002</v>
      </c>
    </row>
    <row r="27" spans="2:11" x14ac:dyDescent="0.25">
      <c r="D27">
        <v>0.3</v>
      </c>
      <c r="E27">
        <f>D27+1</f>
        <v>1.3</v>
      </c>
      <c r="F27">
        <f t="shared" ref="F27:H27" si="4">E27+1</f>
        <v>2.2999999999999998</v>
      </c>
      <c r="G27">
        <f t="shared" si="4"/>
        <v>3.3</v>
      </c>
      <c r="H27">
        <f t="shared" si="4"/>
        <v>4.3</v>
      </c>
    </row>
    <row r="28" spans="2:11" x14ac:dyDescent="0.25">
      <c r="D28" s="21">
        <f>1/(1+$G$26)^D27</f>
        <v>0.95004503882474356</v>
      </c>
      <c r="E28" s="21">
        <f t="shared" ref="E28:H28" si="5">1/(1+$G$26)^E27</f>
        <v>0.80086290052025677</v>
      </c>
      <c r="F28" s="21">
        <f t="shared" si="5"/>
        <v>0.67510629414279322</v>
      </c>
      <c r="G28" s="21">
        <f t="shared" si="5"/>
        <v>0.56909679309047678</v>
      </c>
      <c r="H28" s="21">
        <f t="shared" si="5"/>
        <v>0.47973358079425965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showGridLines="0" tabSelected="1" topLeftCell="A25" zoomScaleNormal="100" workbookViewId="0">
      <selection activeCell="M39" sqref="M39:O41"/>
    </sheetView>
  </sheetViews>
  <sheetFormatPr defaultRowHeight="15" x14ac:dyDescent="0.25"/>
  <cols>
    <col min="2" max="2" width="27.7109375" customWidth="1"/>
    <col min="3" max="3" width="13.5703125" customWidth="1"/>
    <col min="4" max="4" width="10.42578125" customWidth="1"/>
    <col min="5" max="8" width="9.140625" customWidth="1"/>
    <col min="9" max="9" width="10.42578125" customWidth="1"/>
    <col min="10" max="15" width="11.28515625" customWidth="1"/>
    <col min="18" max="18" width="20.5703125" bestFit="1" customWidth="1"/>
  </cols>
  <sheetData>
    <row r="2" spans="2:17" x14ac:dyDescent="0.25"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pans="2:17" x14ac:dyDescent="0.25">
      <c r="B4" s="5" t="s">
        <v>38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6" spans="2:17" x14ac:dyDescent="0.25">
      <c r="B6" s="62" t="s">
        <v>39</v>
      </c>
      <c r="C6" s="62"/>
      <c r="D6" s="23" t="s">
        <v>52</v>
      </c>
      <c r="E6" s="23" t="s">
        <v>52</v>
      </c>
      <c r="F6" s="23" t="s">
        <v>52</v>
      </c>
      <c r="G6" s="23" t="s">
        <v>52</v>
      </c>
      <c r="H6" s="23" t="s">
        <v>52</v>
      </c>
      <c r="I6" s="23">
        <v>45017</v>
      </c>
      <c r="J6" s="23" t="s">
        <v>43</v>
      </c>
      <c r="K6" s="23" t="str">
        <f>J6</f>
        <v>Projected</v>
      </c>
      <c r="L6" s="23" t="str">
        <f t="shared" ref="L6:O6" si="0">K6</f>
        <v>Projected</v>
      </c>
      <c r="M6" s="23" t="str">
        <f t="shared" si="0"/>
        <v>Projected</v>
      </c>
      <c r="N6" s="23" t="str">
        <f t="shared" si="0"/>
        <v>Projected</v>
      </c>
      <c r="O6" s="23" t="str">
        <f t="shared" si="0"/>
        <v>Projected</v>
      </c>
    </row>
    <row r="7" spans="2:17" x14ac:dyDescent="0.25">
      <c r="B7" s="62"/>
      <c r="C7" s="62"/>
      <c r="D7" s="23">
        <v>43190</v>
      </c>
      <c r="E7" s="23">
        <f>EDATE(D7,12)</f>
        <v>43555</v>
      </c>
      <c r="F7" s="23">
        <f t="shared" ref="F7:O7" si="1">EDATE(E7,12)</f>
        <v>43921</v>
      </c>
      <c r="G7" s="23">
        <f t="shared" si="1"/>
        <v>44286</v>
      </c>
      <c r="H7" s="23">
        <f t="shared" si="1"/>
        <v>44651</v>
      </c>
      <c r="I7" s="23">
        <v>44957</v>
      </c>
      <c r="J7" s="23">
        <v>45382</v>
      </c>
      <c r="K7" s="23">
        <f>EDATE(J7,12)</f>
        <v>45747</v>
      </c>
      <c r="L7" s="23">
        <f t="shared" si="1"/>
        <v>46112</v>
      </c>
      <c r="M7" s="23">
        <f t="shared" si="1"/>
        <v>46477</v>
      </c>
      <c r="N7" s="23">
        <f t="shared" si="1"/>
        <v>46843</v>
      </c>
      <c r="O7" s="23">
        <f t="shared" si="1"/>
        <v>47208</v>
      </c>
    </row>
    <row r="8" spans="2:17" x14ac:dyDescent="0.25">
      <c r="B8" s="26" t="s">
        <v>40</v>
      </c>
      <c r="C8" s="27"/>
      <c r="D8" s="45">
        <f>Sheet1!C16</f>
        <v>2974</v>
      </c>
      <c r="E8" s="45">
        <f>Sheet1!D16</f>
        <v>2505</v>
      </c>
      <c r="F8" s="45">
        <f>Sheet1!E16</f>
        <v>1750</v>
      </c>
      <c r="G8" s="45">
        <f>Sheet1!F16</f>
        <v>532</v>
      </c>
      <c r="H8" s="45">
        <f>Sheet1!G16</f>
        <v>928</v>
      </c>
      <c r="I8" s="45">
        <f>Sheet1!H16</f>
        <v>394</v>
      </c>
      <c r="J8" s="46">
        <v>0</v>
      </c>
      <c r="K8" s="46">
        <f>I8*(1+$C$32)^2</f>
        <v>438.53184999999996</v>
      </c>
      <c r="L8" s="46">
        <f>K8*(1+$C$32)</f>
        <v>462.65110174999995</v>
      </c>
      <c r="M8" s="46">
        <f>L8*(1+$C$32)</f>
        <v>488.09691234624989</v>
      </c>
      <c r="N8" s="46">
        <f>M8*(1+$C$32)</f>
        <v>514.94224252529364</v>
      </c>
      <c r="O8" s="46">
        <f>N8*(1+$C$32)</f>
        <v>543.26406586418477</v>
      </c>
      <c r="P8" s="47"/>
    </row>
    <row r="9" spans="2:17" x14ac:dyDescent="0.25">
      <c r="B9" s="26"/>
      <c r="C9" s="27"/>
      <c r="D9" s="48"/>
      <c r="E9" s="48"/>
      <c r="F9" s="48"/>
      <c r="G9" s="48"/>
      <c r="H9" s="48"/>
      <c r="I9" s="48"/>
      <c r="J9" s="46"/>
      <c r="K9" s="46"/>
      <c r="L9" s="46"/>
      <c r="M9" s="46"/>
      <c r="N9" s="46"/>
      <c r="O9" s="46"/>
      <c r="P9" s="47"/>
    </row>
    <row r="10" spans="2:17" x14ac:dyDescent="0.25">
      <c r="B10" s="25" t="s">
        <v>42</v>
      </c>
      <c r="D10" s="49">
        <f>Sheet1!C18</f>
        <v>0.496</v>
      </c>
      <c r="E10" s="49">
        <f>Sheet1!D18</f>
        <v>0.441</v>
      </c>
      <c r="F10" s="49">
        <f>Sheet1!E18</f>
        <v>0.42699999999999999</v>
      </c>
      <c r="G10" s="49">
        <f>Sheet1!F18</f>
        <v>0.189</v>
      </c>
      <c r="H10" s="49">
        <f>Sheet1!G18</f>
        <v>0.39400000000000002</v>
      </c>
      <c r="I10" s="49">
        <v>0.435</v>
      </c>
      <c r="J10" s="49">
        <f>AVERAGE(D10:I10)</f>
        <v>0.39700000000000002</v>
      </c>
      <c r="K10" s="49">
        <f>J10</f>
        <v>0.39700000000000002</v>
      </c>
      <c r="L10" s="49">
        <f t="shared" ref="L10:O10" si="2">K10</f>
        <v>0.39700000000000002</v>
      </c>
      <c r="M10" s="49">
        <f t="shared" si="2"/>
        <v>0.39700000000000002</v>
      </c>
      <c r="N10" s="49">
        <f t="shared" si="2"/>
        <v>0.39700000000000002</v>
      </c>
      <c r="O10" s="49">
        <f t="shared" si="2"/>
        <v>0.39700000000000002</v>
      </c>
      <c r="P10" s="47"/>
      <c r="Q10" s="30">
        <f>J10*25%</f>
        <v>9.9250000000000005E-2</v>
      </c>
    </row>
    <row r="11" spans="2:17" x14ac:dyDescent="0.25">
      <c r="B11" s="25" t="s">
        <v>51</v>
      </c>
      <c r="D11" s="47"/>
      <c r="E11" s="50">
        <f>E8/D8-1</f>
        <v>-0.15770006724949559</v>
      </c>
      <c r="F11" s="50">
        <f>F8/E8-1</f>
        <v>-0.30139720558882233</v>
      </c>
      <c r="G11" s="50">
        <f>G8/F8-1</f>
        <v>-0.69599999999999995</v>
      </c>
      <c r="H11" s="50">
        <f>H8/G8-1</f>
        <v>0.744360902255639</v>
      </c>
      <c r="I11" s="47"/>
      <c r="J11" s="50"/>
      <c r="K11" s="50"/>
      <c r="L11" s="50">
        <f>L8/K8-1</f>
        <v>5.4999999999999938E-2</v>
      </c>
      <c r="M11" s="50">
        <f>M8/L8-1</f>
        <v>5.4999999999999938E-2</v>
      </c>
      <c r="N11" s="50">
        <f>N8/M8-1</f>
        <v>5.4999999999999938E-2</v>
      </c>
      <c r="O11" s="50">
        <f>O8/N8-1</f>
        <v>5.4999999999999938E-2</v>
      </c>
      <c r="P11" s="47"/>
    </row>
    <row r="12" spans="2:17" x14ac:dyDescent="0.25">
      <c r="B12" s="25"/>
      <c r="D12" s="47"/>
      <c r="E12" s="47"/>
      <c r="F12" s="47"/>
      <c r="G12" s="47"/>
      <c r="H12" s="47"/>
      <c r="I12" s="47"/>
      <c r="J12" s="47"/>
      <c r="K12" s="51"/>
      <c r="L12" s="51"/>
      <c r="M12" s="51"/>
      <c r="N12" s="51"/>
      <c r="O12" s="51"/>
      <c r="P12" s="47"/>
      <c r="Q12" s="22">
        <v>0.25</v>
      </c>
    </row>
    <row r="13" spans="2:17" x14ac:dyDescent="0.25">
      <c r="B13" s="26" t="s">
        <v>54</v>
      </c>
      <c r="C13" s="27"/>
      <c r="D13" s="48"/>
      <c r="E13" s="48"/>
      <c r="F13" s="48"/>
      <c r="G13" s="48"/>
      <c r="H13" s="48"/>
      <c r="I13" s="48"/>
      <c r="J13" s="52">
        <f t="shared" ref="J13:O13" si="3">J8*$C$33</f>
        <v>0</v>
      </c>
      <c r="K13" s="52">
        <f t="shared" si="3"/>
        <v>21.926592499999998</v>
      </c>
      <c r="L13" s="52">
        <f t="shared" si="3"/>
        <v>23.132555087499998</v>
      </c>
      <c r="M13" s="52">
        <f t="shared" si="3"/>
        <v>24.404845617312496</v>
      </c>
      <c r="N13" s="52">
        <f t="shared" si="3"/>
        <v>25.747112126264682</v>
      </c>
      <c r="O13" s="52">
        <f t="shared" si="3"/>
        <v>27.163203293209239</v>
      </c>
      <c r="P13" s="47"/>
    </row>
    <row r="14" spans="2:17" x14ac:dyDescent="0.25">
      <c r="B14" s="25" t="s">
        <v>56</v>
      </c>
      <c r="D14" s="47"/>
      <c r="E14" s="47"/>
      <c r="F14" s="47"/>
      <c r="G14" s="47"/>
      <c r="H14" s="47"/>
      <c r="I14" s="47"/>
      <c r="J14" s="51">
        <f t="shared" ref="J14" si="4">J13*$C$34</f>
        <v>0</v>
      </c>
      <c r="K14" s="51">
        <f>K13*$C$34</f>
        <v>5.5184848003999996</v>
      </c>
      <c r="L14" s="51">
        <f t="shared" ref="L14:O14" si="5">L13*$C$34</f>
        <v>5.8220014644219997</v>
      </c>
      <c r="M14" s="51">
        <f t="shared" si="5"/>
        <v>6.1422115449652095</v>
      </c>
      <c r="N14" s="51">
        <f t="shared" si="5"/>
        <v>6.4800331799382951</v>
      </c>
      <c r="O14" s="51">
        <f t="shared" si="5"/>
        <v>6.8364350048349021</v>
      </c>
      <c r="P14" s="47"/>
    </row>
    <row r="15" spans="2:17" x14ac:dyDescent="0.25">
      <c r="B15" s="26" t="s">
        <v>57</v>
      </c>
      <c r="C15" s="27"/>
      <c r="D15" s="48"/>
      <c r="E15" s="48"/>
      <c r="F15" s="48"/>
      <c r="G15" s="48"/>
      <c r="H15" s="48"/>
      <c r="I15" s="48"/>
      <c r="J15" s="52">
        <f>J13-J14</f>
        <v>0</v>
      </c>
      <c r="K15" s="52">
        <f>K13-K14</f>
        <v>16.408107699599999</v>
      </c>
      <c r="L15" s="52">
        <f t="shared" ref="L15:O15" si="6">L13-L14</f>
        <v>17.310553623078</v>
      </c>
      <c r="M15" s="52">
        <f t="shared" si="6"/>
        <v>18.262634072347286</v>
      </c>
      <c r="N15" s="52">
        <f t="shared" si="6"/>
        <v>19.267078946326386</v>
      </c>
      <c r="O15" s="52">
        <f t="shared" si="6"/>
        <v>20.326768288374339</v>
      </c>
      <c r="P15" s="47"/>
    </row>
    <row r="16" spans="2:17" x14ac:dyDescent="0.25">
      <c r="B16" s="26" t="s">
        <v>68</v>
      </c>
      <c r="C16" s="27"/>
      <c r="D16" s="48"/>
      <c r="E16" s="48"/>
      <c r="F16" s="48"/>
      <c r="G16" s="48"/>
      <c r="H16" s="48"/>
      <c r="I16" s="48"/>
      <c r="J16" s="46">
        <f>J15*(($J$7-$C$20)/366)</f>
        <v>0</v>
      </c>
      <c r="K16" s="46">
        <f>K15</f>
        <v>16.408107699599999</v>
      </c>
      <c r="L16" s="46">
        <f t="shared" ref="L16:O16" si="7">L15</f>
        <v>17.310553623078</v>
      </c>
      <c r="M16" s="46">
        <f t="shared" si="7"/>
        <v>18.262634072347286</v>
      </c>
      <c r="N16" s="46">
        <f t="shared" si="7"/>
        <v>19.267078946326386</v>
      </c>
      <c r="O16" s="46">
        <f t="shared" si="7"/>
        <v>20.326768288374339</v>
      </c>
      <c r="P16" s="47"/>
    </row>
    <row r="17" spans="2:16" x14ac:dyDescent="0.25">
      <c r="B17" s="26"/>
      <c r="C17" s="27"/>
      <c r="D17" s="48"/>
      <c r="E17" s="48"/>
      <c r="F17" s="48"/>
      <c r="G17" s="48"/>
      <c r="H17" s="48"/>
      <c r="I17" s="48"/>
      <c r="J17" s="52"/>
      <c r="K17" s="52"/>
      <c r="L17" s="52"/>
      <c r="M17" s="52"/>
      <c r="N17" s="52"/>
      <c r="O17" s="52"/>
      <c r="P17" s="47"/>
    </row>
    <row r="18" spans="2:16" x14ac:dyDescent="0.25">
      <c r="B18" s="26" t="s">
        <v>63</v>
      </c>
      <c r="C18" s="41">
        <v>2.5000000000000001E-2</v>
      </c>
      <c r="D18" s="47"/>
      <c r="E18" s="47"/>
      <c r="F18" s="47"/>
      <c r="G18" s="47"/>
      <c r="H18" s="47"/>
      <c r="I18" s="47"/>
      <c r="J18" s="51"/>
      <c r="K18" s="51"/>
      <c r="L18" s="51"/>
      <c r="M18" s="51"/>
      <c r="N18" s="51"/>
      <c r="O18" s="51"/>
      <c r="P18" s="47"/>
    </row>
    <row r="19" spans="2:16" x14ac:dyDescent="0.25">
      <c r="B19" s="26" t="s">
        <v>60</v>
      </c>
      <c r="C19" s="41">
        <f>C39</f>
        <v>0.1678</v>
      </c>
      <c r="D19" s="47"/>
      <c r="E19" s="47"/>
      <c r="F19" s="47"/>
      <c r="G19" s="47"/>
      <c r="H19" s="47"/>
      <c r="I19" s="47"/>
      <c r="J19" s="51"/>
      <c r="K19" s="51"/>
      <c r="L19" s="51"/>
      <c r="M19" s="51"/>
      <c r="N19" s="51"/>
      <c r="O19" s="51"/>
      <c r="P19" s="47"/>
    </row>
    <row r="20" spans="2:16" x14ac:dyDescent="0.25">
      <c r="B20" s="25" t="s">
        <v>59</v>
      </c>
      <c r="C20" s="55">
        <v>45352</v>
      </c>
      <c r="D20" s="55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2:16" x14ac:dyDescent="0.25">
      <c r="B21" s="25"/>
      <c r="C21" s="29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16" x14ac:dyDescent="0.25">
      <c r="B22" s="25" t="s">
        <v>58</v>
      </c>
      <c r="D22" s="47"/>
      <c r="E22" s="47"/>
      <c r="F22" s="47"/>
      <c r="G22" s="47"/>
      <c r="H22" s="47"/>
      <c r="I22" s="47"/>
      <c r="J22" s="53">
        <f>(J7-C20)/366</f>
        <v>8.1967213114754092E-2</v>
      </c>
      <c r="K22" s="51">
        <f>J22+1</f>
        <v>1.0819672131147542</v>
      </c>
      <c r="L22" s="51">
        <f t="shared" ref="L22:O22" si="8">K22+1</f>
        <v>2.081967213114754</v>
      </c>
      <c r="M22" s="51">
        <f t="shared" si="8"/>
        <v>3.081967213114754</v>
      </c>
      <c r="N22" s="51">
        <f t="shared" si="8"/>
        <v>4.081967213114754</v>
      </c>
      <c r="O22" s="51">
        <f t="shared" si="8"/>
        <v>5.081967213114754</v>
      </c>
      <c r="P22" s="47"/>
    </row>
    <row r="23" spans="2:16" x14ac:dyDescent="0.25">
      <c r="B23" s="25" t="s">
        <v>61</v>
      </c>
      <c r="D23" s="47"/>
      <c r="E23" s="47"/>
      <c r="F23" s="47"/>
      <c r="G23" s="47"/>
      <c r="H23" s="47"/>
      <c r="I23" s="47"/>
      <c r="J23" s="51">
        <f t="shared" ref="J23:O23" si="9">(1+$C$19)^-J22</f>
        <v>0.98736560441104504</v>
      </c>
      <c r="K23" s="51">
        <f t="shared" si="9"/>
        <v>0.84549204008481338</v>
      </c>
      <c r="L23" s="51">
        <f t="shared" si="9"/>
        <v>0.72400414461792562</v>
      </c>
      <c r="M23" s="51">
        <f t="shared" si="9"/>
        <v>0.61997272188553321</v>
      </c>
      <c r="N23" s="51">
        <f t="shared" si="9"/>
        <v>0.53088946898915335</v>
      </c>
      <c r="O23" s="51">
        <f t="shared" si="9"/>
        <v>0.45460649853498314</v>
      </c>
      <c r="P23" s="47"/>
    </row>
    <row r="24" spans="2:16" x14ac:dyDescent="0.25">
      <c r="B24" s="25"/>
      <c r="D24" s="47"/>
      <c r="E24" s="47"/>
      <c r="F24" s="47"/>
      <c r="G24" s="47"/>
      <c r="H24" s="47"/>
      <c r="I24" s="47"/>
      <c r="J24" s="51"/>
      <c r="K24" s="51"/>
      <c r="L24" s="51"/>
      <c r="M24" s="51"/>
      <c r="N24" s="51"/>
      <c r="O24" s="51"/>
      <c r="P24" s="47"/>
    </row>
    <row r="25" spans="2:16" x14ac:dyDescent="0.25">
      <c r="B25" s="26" t="s">
        <v>62</v>
      </c>
      <c r="D25" s="47"/>
      <c r="E25" s="47"/>
      <c r="F25" s="47"/>
      <c r="G25" s="47"/>
      <c r="H25" s="47"/>
      <c r="I25" s="47"/>
      <c r="J25" s="48"/>
      <c r="K25" s="48"/>
      <c r="L25" s="48"/>
      <c r="M25" s="48"/>
      <c r="N25" s="48"/>
      <c r="O25" s="52">
        <f>O16*(1+C18)/(C19-C18)</f>
        <v>145.90292363854127</v>
      </c>
      <c r="P25" s="47"/>
    </row>
    <row r="26" spans="2:16" x14ac:dyDescent="0.25">
      <c r="B26" s="26" t="s">
        <v>64</v>
      </c>
      <c r="D26" s="47"/>
      <c r="E26" s="47"/>
      <c r="F26" s="47"/>
      <c r="G26" s="47"/>
      <c r="H26" s="47"/>
      <c r="I26" s="47"/>
      <c r="J26" s="46">
        <f t="shared" ref="J26:O26" si="10">J16*J23</f>
        <v>0</v>
      </c>
      <c r="K26" s="46">
        <f t="shared" si="10"/>
        <v>13.872924452866137</v>
      </c>
      <c r="L26" s="46">
        <f t="shared" si="10"/>
        <v>12.53291256873932</v>
      </c>
      <c r="M26" s="46">
        <f t="shared" si="10"/>
        <v>11.322334954632627</v>
      </c>
      <c r="N26" s="46">
        <f t="shared" si="10"/>
        <v>10.228689310787312</v>
      </c>
      <c r="O26" s="46">
        <f t="shared" si="10"/>
        <v>9.24068095810979</v>
      </c>
      <c r="P26" s="47"/>
    </row>
    <row r="27" spans="2:16" x14ac:dyDescent="0.25">
      <c r="B27" s="26" t="s">
        <v>65</v>
      </c>
      <c r="D27" s="47"/>
      <c r="E27" s="47"/>
      <c r="F27" s="47"/>
      <c r="G27" s="47"/>
      <c r="H27" s="47"/>
      <c r="I27" s="47"/>
      <c r="J27" s="46"/>
      <c r="K27" s="46"/>
      <c r="L27" s="46"/>
      <c r="M27" s="46"/>
      <c r="N27" s="46"/>
      <c r="O27" s="46">
        <f>O25*O23</f>
        <v>66.328417241334265</v>
      </c>
      <c r="P27" s="47"/>
    </row>
    <row r="28" spans="2:16" x14ac:dyDescent="0.25">
      <c r="B28" s="26" t="s">
        <v>66</v>
      </c>
      <c r="D28" s="47"/>
      <c r="E28" s="47"/>
      <c r="F28" s="47"/>
      <c r="G28" s="47"/>
      <c r="H28" s="47"/>
      <c r="I28" s="47"/>
      <c r="J28" s="52">
        <f>J26+J27</f>
        <v>0</v>
      </c>
      <c r="K28" s="52">
        <f t="shared" ref="K28:O28" si="11">K26+K27</f>
        <v>13.872924452866137</v>
      </c>
      <c r="L28" s="52">
        <f t="shared" si="11"/>
        <v>12.53291256873932</v>
      </c>
      <c r="M28" s="52">
        <f t="shared" si="11"/>
        <v>11.322334954632627</v>
      </c>
      <c r="N28" s="52">
        <f t="shared" si="11"/>
        <v>10.228689310787312</v>
      </c>
      <c r="O28" s="52">
        <f t="shared" si="11"/>
        <v>75.569098199444056</v>
      </c>
      <c r="P28" s="47"/>
    </row>
    <row r="30" spans="2:16" x14ac:dyDescent="0.25">
      <c r="B30" s="5" t="s">
        <v>67</v>
      </c>
      <c r="C30" s="5"/>
      <c r="D30" s="5"/>
      <c r="E30" s="5"/>
      <c r="F30" s="5"/>
      <c r="G30" s="5"/>
      <c r="H30" s="5"/>
      <c r="I30" s="5"/>
      <c r="J30" s="42">
        <f>SUM(J28:O28)</f>
        <v>123.52595948646945</v>
      </c>
      <c r="K30" s="5" t="s">
        <v>72</v>
      </c>
      <c r="L30" s="5"/>
      <c r="M30" s="5"/>
      <c r="N30" s="5"/>
      <c r="O30" s="5"/>
    </row>
    <row r="31" spans="2:16" x14ac:dyDescent="0.25">
      <c r="J31" s="56">
        <f>J30/90</f>
        <v>1.3725106609607716</v>
      </c>
    </row>
    <row r="32" spans="2:16" x14ac:dyDescent="0.25">
      <c r="B32" s="28" t="s">
        <v>51</v>
      </c>
      <c r="C32" s="54">
        <v>5.5E-2</v>
      </c>
    </row>
    <row r="33" spans="1:15" x14ac:dyDescent="0.25">
      <c r="B33" s="28" t="s">
        <v>53</v>
      </c>
      <c r="C33" s="43">
        <v>0.05</v>
      </c>
    </row>
    <row r="34" spans="1:15" x14ac:dyDescent="0.25">
      <c r="B34" s="28" t="s">
        <v>55</v>
      </c>
      <c r="C34" s="44">
        <f>22%*(1+0.1)*(1+0.04)</f>
        <v>0.25168000000000001</v>
      </c>
    </row>
    <row r="36" spans="1:15" x14ac:dyDescent="0.25">
      <c r="L36" s="61" t="s">
        <v>70</v>
      </c>
      <c r="M36" s="61"/>
      <c r="N36" s="61"/>
      <c r="O36" s="61"/>
    </row>
    <row r="37" spans="1:15" ht="30.75" customHeight="1" x14ac:dyDescent="0.25">
      <c r="A37" s="37" t="s">
        <v>69</v>
      </c>
      <c r="B37" s="31" t="s">
        <v>75</v>
      </c>
      <c r="C37" s="32">
        <v>0.1278</v>
      </c>
      <c r="L37" s="36" t="s">
        <v>60</v>
      </c>
      <c r="M37" s="58" t="s">
        <v>73</v>
      </c>
      <c r="N37" s="59"/>
      <c r="O37" s="60"/>
    </row>
    <row r="38" spans="1:15" ht="15" customHeight="1" x14ac:dyDescent="0.25">
      <c r="B38" t="s">
        <v>74</v>
      </c>
      <c r="C38" s="32">
        <v>0.04</v>
      </c>
      <c r="L38" s="38">
        <f>J30</f>
        <v>123.52595948646945</v>
      </c>
      <c r="M38" s="33">
        <f>N38-0.5%</f>
        <v>0.02</v>
      </c>
      <c r="N38" s="33">
        <v>2.5000000000000001E-2</v>
      </c>
      <c r="O38" s="33">
        <f>N38+0.5%</f>
        <v>3.0000000000000002E-2</v>
      </c>
    </row>
    <row r="39" spans="1:15" x14ac:dyDescent="0.25">
      <c r="B39" s="34" t="s">
        <v>71</v>
      </c>
      <c r="C39" s="35">
        <f>SUM(C37:C38)</f>
        <v>0.1678</v>
      </c>
      <c r="D39" s="20"/>
      <c r="L39" s="33">
        <f>L40-1%</f>
        <v>0.1578</v>
      </c>
      <c r="M39" s="39">
        <f t="dataTable" ref="M39:O41" dt2D="1" dtr="1" r1="C18" r2="C19"/>
        <v>130.09153933464938</v>
      </c>
      <c r="N39" s="39">
        <v>133.14534223317673</v>
      </c>
      <c r="O39" s="39">
        <v>136.43809684520386</v>
      </c>
    </row>
    <row r="40" spans="1:15" x14ac:dyDescent="0.25">
      <c r="L40" s="33">
        <f>C39</f>
        <v>0.1678</v>
      </c>
      <c r="M40" s="39">
        <v>120.96949473006066</v>
      </c>
      <c r="N40" s="40">
        <v>123.52595948646945</v>
      </c>
      <c r="O40" s="39">
        <v>126.26794418165974</v>
      </c>
    </row>
    <row r="41" spans="1:15" x14ac:dyDescent="0.25">
      <c r="L41" s="33">
        <f>L40+1%</f>
        <v>0.17780000000000001</v>
      </c>
      <c r="M41" s="39">
        <v>113.01185582704224</v>
      </c>
      <c r="N41" s="39">
        <v>115.17306225681831</v>
      </c>
      <c r="O41" s="39">
        <v>117.48049374950212</v>
      </c>
    </row>
  </sheetData>
  <mergeCells count="4">
    <mergeCell ref="M37:O37"/>
    <mergeCell ref="L36:O36"/>
    <mergeCell ref="B6:B7"/>
    <mergeCell ref="C6:C7"/>
  </mergeCells>
  <hyperlinks>
    <hyperlink ref="A3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2"/>
  <sheetViews>
    <sheetView zoomScaleNormal="100" workbookViewId="0">
      <selection activeCell="E32" sqref="E32"/>
    </sheetView>
  </sheetViews>
  <sheetFormatPr defaultRowHeight="15" x14ac:dyDescent="0.25"/>
  <cols>
    <col min="2" max="2" width="23.28515625" style="27" bestFit="1" customWidth="1"/>
    <col min="3" max="3" width="61" customWidth="1"/>
    <col min="4" max="4" width="9.28515625" bestFit="1" customWidth="1"/>
    <col min="5" max="5" width="46.7109375" customWidth="1"/>
    <col min="6" max="6" width="27" customWidth="1"/>
    <col min="7" max="7" width="10.5703125" bestFit="1" customWidth="1"/>
    <col min="8" max="8" width="10.42578125" bestFit="1" customWidth="1"/>
  </cols>
  <sheetData>
    <row r="2" spans="2:2" x14ac:dyDescent="0.25">
      <c r="B2"/>
    </row>
    <row r="3" spans="2:2" x14ac:dyDescent="0.25">
      <c r="B3"/>
    </row>
    <row r="4" spans="2:2" x14ac:dyDescent="0.25">
      <c r="B4"/>
    </row>
    <row r="5" spans="2:2" x14ac:dyDescent="0.25">
      <c r="B5"/>
    </row>
    <row r="6" spans="2:2" x14ac:dyDescent="0.25">
      <c r="B6"/>
    </row>
    <row r="7" spans="2:2" x14ac:dyDescent="0.25">
      <c r="B7"/>
    </row>
    <row r="8" spans="2:2" x14ac:dyDescent="0.25">
      <c r="B8"/>
    </row>
    <row r="9" spans="2:2" x14ac:dyDescent="0.25">
      <c r="B9"/>
    </row>
    <row r="10" spans="2:2" x14ac:dyDescent="0.25">
      <c r="B10"/>
    </row>
    <row r="11" spans="2:2" x14ac:dyDescent="0.25">
      <c r="B11"/>
    </row>
    <row r="12" spans="2:2" x14ac:dyDescent="0.25">
      <c r="B12"/>
    </row>
    <row r="13" spans="2:2" x14ac:dyDescent="0.25">
      <c r="B13"/>
    </row>
    <row r="14" spans="2:2" x14ac:dyDescent="0.25">
      <c r="B14"/>
    </row>
    <row r="15" spans="2:2" x14ac:dyDescent="0.25">
      <c r="B15"/>
    </row>
    <row r="16" spans="2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32" spans="2:2" ht="100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BV (2)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Kumar</dc:creator>
  <cp:lastModifiedBy>Windows User</cp:lastModifiedBy>
  <dcterms:created xsi:type="dcterms:W3CDTF">2023-09-21T05:19:00Z</dcterms:created>
  <dcterms:modified xsi:type="dcterms:W3CDTF">2024-04-05T05:31:04Z</dcterms:modified>
</cp:coreProperties>
</file>