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 drive\Data base\FCL_Models\Valuation_2022\Nilgiris\Shared with Banker\"/>
    </mc:Choice>
  </mc:AlternateContent>
  <xr:revisionPtr revIDLastSave="0" documentId="8_{C3D436CB-8E23-4572-82A3-50DEF18C0ADB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A-2 F" sheetId="12" state="hidden" r:id="rId1"/>
    <sheet name="P&amp;L_New Nilgiris" sheetId="27" r:id="rId2"/>
    <sheet name="Balance sheet" sheetId="9" r:id="rId3"/>
    <sheet name="Cash flow" sheetId="5" r:id="rId4"/>
    <sheet name="GM Buildup" sheetId="6" r:id="rId5"/>
    <sheet name="Sales Buildup" sheetId="35" r:id="rId6"/>
    <sheet name="Bottomup Sales" sheetId="22" r:id="rId7"/>
    <sheet name="City Wise working" sheetId="43" r:id="rId8"/>
    <sheet name="Admin Expenses" sheetId="38" r:id="rId9"/>
    <sheet name="Backup working &gt;&gt;&gt;" sheetId="36" r:id="rId10"/>
    <sheet name="P&amp;L" sheetId="8" state="hidden" r:id="rId11"/>
    <sheet name="Franchise store Details" sheetId="10" state="hidden" r:id="rId12"/>
    <sheet name="Other operating cost - No use" sheetId="3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4" hidden="1">'GM Buildup'!$A$2:$M$55</definedName>
    <definedName name="_xlnm._FilterDatabase" localSheetId="5" hidden="1">'Sales Buildup'!$A$2:$M$23</definedName>
    <definedName name="Code">'[1]basic data'!$A$1:$M$202</definedName>
    <definedName name="data" localSheetId="7">#REF!</definedName>
    <definedName name="data" localSheetId="5">#REF!</definedName>
    <definedName name="data">#REF!</definedName>
    <definedName name="Inflation">[2]Assumptions!$C$2</definedName>
    <definedName name="servicetax">12.36/100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9" l="1"/>
  <c r="L30" i="9"/>
  <c r="K30" i="9"/>
  <c r="J30" i="9"/>
  <c r="H30" i="9"/>
  <c r="I30" i="9"/>
  <c r="J31" i="9" s="1"/>
  <c r="J32" i="9" s="1"/>
  <c r="M7" i="5"/>
  <c r="L7" i="5"/>
  <c r="K7" i="5"/>
  <c r="J7" i="5"/>
  <c r="I7" i="5"/>
  <c r="M32" i="9"/>
  <c r="K31" i="9"/>
  <c r="K32" i="9" s="1"/>
  <c r="L31" i="9"/>
  <c r="L32" i="9" s="1"/>
  <c r="M31" i="9"/>
  <c r="I31" i="9" l="1"/>
  <c r="I32" i="9" s="1"/>
  <c r="N30" i="9" l="1"/>
  <c r="N31" i="9" s="1"/>
  <c r="H48" i="9" l="1"/>
  <c r="H23" i="27" s="1"/>
  <c r="I48" i="9"/>
  <c r="I23" i="27" s="1"/>
  <c r="I15" i="9" s="1"/>
  <c r="J48" i="9"/>
  <c r="J23" i="27" s="1"/>
  <c r="J5" i="5" s="1"/>
  <c r="K48" i="9"/>
  <c r="K23" i="27" s="1"/>
  <c r="K5" i="5" s="1"/>
  <c r="L48" i="9"/>
  <c r="L23" i="27" s="1"/>
  <c r="L5" i="5" s="1"/>
  <c r="M48" i="9"/>
  <c r="M23" i="27" s="1"/>
  <c r="M5" i="5" s="1"/>
  <c r="H12" i="9"/>
  <c r="H8" i="9"/>
  <c r="J15" i="9" l="1"/>
  <c r="K15" i="9"/>
  <c r="L15" i="9" s="1"/>
  <c r="M15" i="9" s="1"/>
  <c r="I5" i="5"/>
  <c r="H4" i="9"/>
  <c r="H22" i="9"/>
  <c r="H21" i="9"/>
  <c r="H20" i="9"/>
  <c r="H19" i="9"/>
  <c r="H11" i="9"/>
  <c r="H7" i="9"/>
  <c r="N4" i="9"/>
  <c r="J15" i="27"/>
  <c r="K15" i="27"/>
  <c r="L15" i="27"/>
  <c r="M15" i="27"/>
  <c r="I15" i="27"/>
  <c r="J10" i="27"/>
  <c r="K10" i="27"/>
  <c r="L10" i="27"/>
  <c r="M10" i="27"/>
  <c r="J11" i="27"/>
  <c r="K11" i="27"/>
  <c r="L11" i="27"/>
  <c r="M11" i="27"/>
  <c r="I11" i="27"/>
  <c r="I10" i="27"/>
  <c r="T10" i="27"/>
  <c r="U10" i="27" s="1"/>
  <c r="V10" i="27" s="1"/>
  <c r="W10" i="27" s="1"/>
  <c r="T11" i="27"/>
  <c r="U11" i="27" s="1"/>
  <c r="V11" i="27" s="1"/>
  <c r="W11" i="27" s="1"/>
  <c r="S11" i="27"/>
  <c r="S10" i="27"/>
  <c r="P10" i="27"/>
  <c r="Q10" i="27"/>
  <c r="R10" i="27"/>
  <c r="P11" i="27"/>
  <c r="Q11" i="27"/>
  <c r="R11" i="27"/>
  <c r="P12" i="27"/>
  <c r="Q12" i="27"/>
  <c r="R12" i="27"/>
  <c r="O12" i="27"/>
  <c r="O11" i="27"/>
  <c r="O10" i="27"/>
  <c r="M7" i="27"/>
  <c r="L7" i="27"/>
  <c r="K7" i="27"/>
  <c r="J7" i="27"/>
  <c r="I7" i="27"/>
  <c r="I57" i="6"/>
  <c r="J57" i="6"/>
  <c r="K57" i="6"/>
  <c r="L57" i="6"/>
  <c r="M57" i="6"/>
  <c r="H57" i="6"/>
  <c r="H7" i="27"/>
  <c r="M112" i="6" l="1"/>
  <c r="L112" i="6"/>
  <c r="K112" i="6"/>
  <c r="J112" i="6"/>
  <c r="I112" i="6"/>
  <c r="H112" i="6"/>
  <c r="G112" i="6"/>
  <c r="F112" i="6"/>
  <c r="E112" i="6"/>
  <c r="V6" i="22"/>
  <c r="V7" i="22" s="1"/>
  <c r="V8" i="22" s="1"/>
  <c r="V9" i="22" s="1"/>
  <c r="V5" i="22"/>
  <c r="AK6" i="22"/>
  <c r="AK7" i="22"/>
  <c r="AK8" i="22"/>
  <c r="AK9" i="22"/>
  <c r="AI6" i="22"/>
  <c r="AI7" i="22" s="1"/>
  <c r="AI8" i="22" s="1"/>
  <c r="AI9" i="22" s="1"/>
  <c r="AI5" i="22"/>
  <c r="AS5" i="22"/>
  <c r="I3" i="27" s="1"/>
  <c r="I86" i="6"/>
  <c r="J86" i="6" s="1"/>
  <c r="K86" i="6" s="1"/>
  <c r="L86" i="6" s="1"/>
  <c r="M86" i="6" s="1"/>
  <c r="K85" i="6"/>
  <c r="L85" i="6" s="1"/>
  <c r="M85" i="6" s="1"/>
  <c r="J85" i="6"/>
  <c r="I85" i="6"/>
  <c r="J83" i="6"/>
  <c r="K83" i="6" s="1"/>
  <c r="L83" i="6" s="1"/>
  <c r="M83" i="6" s="1"/>
  <c r="I83" i="6"/>
  <c r="J14" i="6"/>
  <c r="K14" i="6" s="1"/>
  <c r="L14" i="6" s="1"/>
  <c r="M14" i="6" s="1"/>
  <c r="I14" i="6"/>
  <c r="J13" i="6"/>
  <c r="K13" i="6" s="1"/>
  <c r="L13" i="6" s="1"/>
  <c r="M13" i="6" s="1"/>
  <c r="I13" i="6"/>
  <c r="J12" i="6"/>
  <c r="K12" i="6" s="1"/>
  <c r="L12" i="6" s="1"/>
  <c r="M12" i="6" s="1"/>
  <c r="I12" i="6"/>
  <c r="AS6" i="22" l="1"/>
  <c r="I17" i="9"/>
  <c r="I14" i="27"/>
  <c r="J52" i="6"/>
  <c r="K52" i="6"/>
  <c r="L52" i="6"/>
  <c r="M52" i="6"/>
  <c r="I52" i="6"/>
  <c r="P45" i="6"/>
  <c r="Q45" i="6"/>
  <c r="R45" i="6"/>
  <c r="P46" i="6"/>
  <c r="Q46" i="6"/>
  <c r="R46" i="6"/>
  <c r="P47" i="6"/>
  <c r="Q47" i="6"/>
  <c r="R47" i="6"/>
  <c r="P48" i="6"/>
  <c r="Q48" i="6"/>
  <c r="R48" i="6"/>
  <c r="P49" i="6"/>
  <c r="Q49" i="6"/>
  <c r="R49" i="6"/>
  <c r="O46" i="6"/>
  <c r="O47" i="6"/>
  <c r="O48" i="6"/>
  <c r="O49" i="6"/>
  <c r="O45" i="6"/>
  <c r="P4" i="6"/>
  <c r="Q4" i="6"/>
  <c r="R4" i="6"/>
  <c r="P5" i="6"/>
  <c r="Q5" i="6"/>
  <c r="R5" i="6"/>
  <c r="P6" i="6"/>
  <c r="Q6" i="6"/>
  <c r="R6" i="6"/>
  <c r="P7" i="6"/>
  <c r="Q7" i="6"/>
  <c r="R7" i="6"/>
  <c r="P8" i="6"/>
  <c r="Q8" i="6"/>
  <c r="R8" i="6"/>
  <c r="O5" i="6"/>
  <c r="O6" i="6"/>
  <c r="O7" i="6"/>
  <c r="O8" i="6"/>
  <c r="O4" i="6"/>
  <c r="AS7" i="22" l="1"/>
  <c r="J3" i="27"/>
  <c r="AS8" i="22" l="1"/>
  <c r="K3" i="27"/>
  <c r="AS9" i="22" l="1"/>
  <c r="M3" i="27" s="1"/>
  <c r="L3" i="27"/>
  <c r="Q19" i="9" l="1"/>
  <c r="Q35" i="9"/>
  <c r="Q24" i="9"/>
  <c r="H17" i="27" l="1"/>
  <c r="I17" i="27" s="1"/>
  <c r="J17" i="27" s="1"/>
  <c r="K17" i="27" s="1"/>
  <c r="L17" i="27" s="1"/>
  <c r="M17" i="27" s="1"/>
  <c r="A14" i="38"/>
  <c r="A13" i="38"/>
  <c r="A12" i="38"/>
  <c r="A11" i="38"/>
  <c r="A10" i="38"/>
  <c r="A9" i="38"/>
  <c r="A8" i="38"/>
  <c r="A7" i="38"/>
  <c r="A6" i="38"/>
  <c r="A5" i="38"/>
  <c r="M42" i="6" l="1"/>
  <c r="L42" i="6"/>
  <c r="K42" i="6"/>
  <c r="J42" i="6"/>
  <c r="I42" i="6"/>
  <c r="H42" i="6"/>
  <c r="G42" i="6"/>
  <c r="F42" i="6"/>
  <c r="E42" i="6"/>
  <c r="D42" i="6"/>
  <c r="C42" i="6"/>
  <c r="M41" i="6"/>
  <c r="L41" i="6"/>
  <c r="K41" i="6"/>
  <c r="J41" i="6"/>
  <c r="I41" i="6"/>
  <c r="H41" i="6"/>
  <c r="G41" i="6"/>
  <c r="F41" i="6"/>
  <c r="E41" i="6"/>
  <c r="D41" i="6"/>
  <c r="C41" i="6"/>
  <c r="M40" i="6"/>
  <c r="L40" i="6"/>
  <c r="K40" i="6"/>
  <c r="J40" i="6"/>
  <c r="I40" i="6"/>
  <c r="H40" i="6"/>
  <c r="G40" i="6"/>
  <c r="F40" i="6"/>
  <c r="E40" i="6"/>
  <c r="D40" i="6"/>
  <c r="C40" i="6"/>
  <c r="M39" i="6"/>
  <c r="L39" i="6"/>
  <c r="K39" i="6"/>
  <c r="J39" i="6"/>
  <c r="I39" i="6"/>
  <c r="H39" i="6"/>
  <c r="G39" i="6"/>
  <c r="F39" i="6"/>
  <c r="E39" i="6"/>
  <c r="D39" i="6"/>
  <c r="C39" i="6"/>
  <c r="M38" i="6"/>
  <c r="L38" i="6"/>
  <c r="K38" i="6"/>
  <c r="J38" i="6"/>
  <c r="J37" i="6" s="1"/>
  <c r="I38" i="6"/>
  <c r="H38" i="6"/>
  <c r="G38" i="6"/>
  <c r="F38" i="6"/>
  <c r="E38" i="6"/>
  <c r="D38" i="6"/>
  <c r="C38" i="6"/>
  <c r="M38" i="35"/>
  <c r="M31" i="35"/>
  <c r="L31" i="35"/>
  <c r="K31" i="35"/>
  <c r="J31" i="35"/>
  <c r="I31" i="35"/>
  <c r="H31" i="35"/>
  <c r="G31" i="35"/>
  <c r="F31" i="35"/>
  <c r="E31" i="35"/>
  <c r="D31" i="35"/>
  <c r="C31" i="35"/>
  <c r="H23" i="35"/>
  <c r="G23" i="35"/>
  <c r="F23" i="35"/>
  <c r="E23" i="35"/>
  <c r="D23" i="35"/>
  <c r="C23" i="35"/>
  <c r="H22" i="35"/>
  <c r="G22" i="35"/>
  <c r="F22" i="35"/>
  <c r="E22" i="35"/>
  <c r="D22" i="35"/>
  <c r="C22" i="35"/>
  <c r="H21" i="35"/>
  <c r="G21" i="35"/>
  <c r="F21" i="35"/>
  <c r="E21" i="35"/>
  <c r="D21" i="35"/>
  <c r="C21" i="35"/>
  <c r="H20" i="35"/>
  <c r="G20" i="35"/>
  <c r="F20" i="35"/>
  <c r="E20" i="35"/>
  <c r="D20" i="35"/>
  <c r="C20" i="35"/>
  <c r="H19" i="35"/>
  <c r="G19" i="35"/>
  <c r="F19" i="35"/>
  <c r="E19" i="35"/>
  <c r="D19" i="35"/>
  <c r="C19" i="35"/>
  <c r="M11" i="35"/>
  <c r="L16" i="35"/>
  <c r="K16" i="35"/>
  <c r="J16" i="35"/>
  <c r="I16" i="35"/>
  <c r="I38" i="35" s="1"/>
  <c r="H16" i="35"/>
  <c r="G16" i="35"/>
  <c r="F16" i="35"/>
  <c r="E16" i="35"/>
  <c r="E38" i="35" s="1"/>
  <c r="D16" i="35"/>
  <c r="C16" i="35"/>
  <c r="L15" i="35"/>
  <c r="K15" i="35"/>
  <c r="J15" i="35"/>
  <c r="I15" i="35"/>
  <c r="H15" i="35"/>
  <c r="G15" i="35"/>
  <c r="F15" i="35"/>
  <c r="E15" i="35"/>
  <c r="D15" i="35"/>
  <c r="C15" i="35"/>
  <c r="L14" i="35"/>
  <c r="K14" i="35"/>
  <c r="J14" i="35"/>
  <c r="I14" i="35"/>
  <c r="H14" i="35"/>
  <c r="G14" i="35"/>
  <c r="F14" i="35"/>
  <c r="E14" i="35"/>
  <c r="D14" i="35"/>
  <c r="C14" i="35"/>
  <c r="L13" i="35"/>
  <c r="K13" i="35"/>
  <c r="J13" i="35"/>
  <c r="I13" i="35"/>
  <c r="H13" i="35"/>
  <c r="G13" i="35"/>
  <c r="F13" i="35"/>
  <c r="E13" i="35"/>
  <c r="D13" i="35"/>
  <c r="C13" i="35"/>
  <c r="L12" i="35"/>
  <c r="K12" i="35"/>
  <c r="J12" i="35"/>
  <c r="I12" i="35"/>
  <c r="H12" i="35"/>
  <c r="G12" i="35"/>
  <c r="F12" i="35"/>
  <c r="E12" i="35"/>
  <c r="D12" i="35"/>
  <c r="C12" i="35"/>
  <c r="H8" i="35"/>
  <c r="G8" i="35"/>
  <c r="F8" i="35"/>
  <c r="E8" i="35"/>
  <c r="D8" i="35"/>
  <c r="C8" i="35"/>
  <c r="H7" i="35"/>
  <c r="G7" i="35"/>
  <c r="F7" i="35"/>
  <c r="E7" i="35"/>
  <c r="D7" i="35"/>
  <c r="C7" i="35"/>
  <c r="H6" i="35"/>
  <c r="G6" i="35"/>
  <c r="F6" i="35"/>
  <c r="E6" i="35"/>
  <c r="D6" i="35"/>
  <c r="C6" i="35"/>
  <c r="H5" i="35"/>
  <c r="G5" i="35"/>
  <c r="F5" i="35"/>
  <c r="E5" i="35"/>
  <c r="D5" i="35"/>
  <c r="C5" i="35"/>
  <c r="H4" i="35"/>
  <c r="G4" i="35"/>
  <c r="F4" i="35"/>
  <c r="E4" i="35"/>
  <c r="D4" i="35"/>
  <c r="C4" i="35"/>
  <c r="H69" i="6"/>
  <c r="G69" i="6"/>
  <c r="F69" i="6"/>
  <c r="E69" i="6"/>
  <c r="D69" i="6"/>
  <c r="C69" i="6"/>
  <c r="H68" i="6"/>
  <c r="G68" i="6"/>
  <c r="F68" i="6"/>
  <c r="E68" i="6"/>
  <c r="D68" i="6"/>
  <c r="C68" i="6"/>
  <c r="H67" i="6"/>
  <c r="G67" i="6"/>
  <c r="F67" i="6"/>
  <c r="E67" i="6"/>
  <c r="D67" i="6"/>
  <c r="C67" i="6"/>
  <c r="H66" i="6"/>
  <c r="G66" i="6"/>
  <c r="F66" i="6"/>
  <c r="E66" i="6"/>
  <c r="D66" i="6"/>
  <c r="C66" i="6"/>
  <c r="H65" i="6"/>
  <c r="G65" i="6"/>
  <c r="F65" i="6"/>
  <c r="E65" i="6"/>
  <c r="D65" i="6"/>
  <c r="C65" i="6"/>
  <c r="H62" i="6"/>
  <c r="G62" i="6"/>
  <c r="F62" i="6"/>
  <c r="E62" i="6"/>
  <c r="D55" i="6"/>
  <c r="D62" i="6" s="1"/>
  <c r="C55" i="6"/>
  <c r="C62" i="6" s="1"/>
  <c r="H61" i="6"/>
  <c r="G61" i="6"/>
  <c r="F61" i="6"/>
  <c r="E61" i="6"/>
  <c r="D54" i="6"/>
  <c r="D61" i="6" s="1"/>
  <c r="C54" i="6"/>
  <c r="C61" i="6" s="1"/>
  <c r="H60" i="6"/>
  <c r="G60" i="6"/>
  <c r="F60" i="6"/>
  <c r="E60" i="6"/>
  <c r="D53" i="6"/>
  <c r="D60" i="6" s="1"/>
  <c r="C53" i="6"/>
  <c r="C60" i="6" s="1"/>
  <c r="H59" i="6"/>
  <c r="G59" i="6"/>
  <c r="F59" i="6"/>
  <c r="E59" i="6"/>
  <c r="D52" i="6"/>
  <c r="D59" i="6" s="1"/>
  <c r="C52" i="6"/>
  <c r="C59" i="6" s="1"/>
  <c r="G58" i="6"/>
  <c r="F58" i="6"/>
  <c r="E58" i="6"/>
  <c r="D51" i="6"/>
  <c r="D58" i="6" s="1"/>
  <c r="C51" i="6"/>
  <c r="C58" i="6" s="1"/>
  <c r="H22" i="6"/>
  <c r="G22" i="6"/>
  <c r="F22" i="6"/>
  <c r="E22" i="6"/>
  <c r="D22" i="6"/>
  <c r="C22" i="6"/>
  <c r="H21" i="6"/>
  <c r="G21" i="6"/>
  <c r="F21" i="6"/>
  <c r="E21" i="6"/>
  <c r="D21" i="6"/>
  <c r="C21" i="6"/>
  <c r="H20" i="6"/>
  <c r="G20" i="6"/>
  <c r="F20" i="6"/>
  <c r="E20" i="6"/>
  <c r="D20" i="6"/>
  <c r="C20" i="6"/>
  <c r="H19" i="6"/>
  <c r="G19" i="6"/>
  <c r="F19" i="6"/>
  <c r="E19" i="6"/>
  <c r="D19" i="6"/>
  <c r="C19" i="6"/>
  <c r="G18" i="6"/>
  <c r="F18" i="6"/>
  <c r="E18" i="6"/>
  <c r="D18" i="6"/>
  <c r="C18" i="6"/>
  <c r="H11" i="27"/>
  <c r="G37" i="6" l="1"/>
  <c r="L37" i="6"/>
  <c r="C64" i="6"/>
  <c r="M37" i="6"/>
  <c r="F64" i="6"/>
  <c r="F37" i="6"/>
  <c r="C37" i="6"/>
  <c r="K37" i="6"/>
  <c r="G64" i="6"/>
  <c r="D37" i="6"/>
  <c r="E37" i="6"/>
  <c r="H37" i="6"/>
  <c r="I37" i="6"/>
  <c r="F17" i="6"/>
  <c r="E64" i="6"/>
  <c r="F27" i="35"/>
  <c r="F34" i="35" s="1"/>
  <c r="D29" i="35"/>
  <c r="D36" i="35" s="1"/>
  <c r="H29" i="35"/>
  <c r="H36" i="35" s="1"/>
  <c r="F11" i="35"/>
  <c r="J11" i="35"/>
  <c r="D64" i="6"/>
  <c r="H64" i="6"/>
  <c r="C17" i="6"/>
  <c r="G17" i="6"/>
  <c r="E17" i="6"/>
  <c r="E26" i="35"/>
  <c r="E30" i="35"/>
  <c r="E37" i="35" s="1"/>
  <c r="D17" i="6"/>
  <c r="F26" i="35"/>
  <c r="C27" i="35"/>
  <c r="C34" i="35" s="1"/>
  <c r="G27" i="35"/>
  <c r="G34" i="35" s="1"/>
  <c r="D28" i="35"/>
  <c r="D35" i="35" s="1"/>
  <c r="H28" i="35"/>
  <c r="H35" i="35" s="1"/>
  <c r="E29" i="35"/>
  <c r="E36" i="35" s="1"/>
  <c r="F30" i="35"/>
  <c r="F37" i="35" s="1"/>
  <c r="D27" i="35"/>
  <c r="D34" i="35" s="1"/>
  <c r="H27" i="35"/>
  <c r="H34" i="35" s="1"/>
  <c r="E28" i="35"/>
  <c r="F29" i="35"/>
  <c r="F36" i="35" s="1"/>
  <c r="C26" i="35"/>
  <c r="G26" i="35"/>
  <c r="E35" i="35"/>
  <c r="C30" i="35"/>
  <c r="C37" i="35" s="1"/>
  <c r="G30" i="35"/>
  <c r="G37" i="35" s="1"/>
  <c r="D26" i="35"/>
  <c r="H26" i="35"/>
  <c r="E27" i="35"/>
  <c r="E34" i="35" s="1"/>
  <c r="F28" i="35"/>
  <c r="C29" i="35"/>
  <c r="C36" i="35" s="1"/>
  <c r="G29" i="35"/>
  <c r="G36" i="35" s="1"/>
  <c r="D30" i="35"/>
  <c r="H30" i="35"/>
  <c r="H37" i="35" s="1"/>
  <c r="E11" i="35"/>
  <c r="I11" i="35"/>
  <c r="C28" i="35"/>
  <c r="C35" i="35" s="1"/>
  <c r="G28" i="35"/>
  <c r="G35" i="35" s="1"/>
  <c r="J38" i="35"/>
  <c r="C38" i="35"/>
  <c r="G38" i="35"/>
  <c r="K38" i="35"/>
  <c r="D38" i="35"/>
  <c r="H38" i="35"/>
  <c r="L38" i="35"/>
  <c r="F38" i="35"/>
  <c r="G11" i="35"/>
  <c r="K11" i="35"/>
  <c r="H11" i="35"/>
  <c r="L11" i="35"/>
  <c r="H33" i="35" l="1"/>
  <c r="F33" i="35"/>
  <c r="E33" i="35"/>
  <c r="D25" i="35"/>
  <c r="F25" i="35"/>
  <c r="G25" i="35"/>
  <c r="E25" i="35"/>
  <c r="C25" i="35"/>
  <c r="H25" i="35"/>
  <c r="D37" i="35"/>
  <c r="F35" i="35"/>
  <c r="G33" i="35"/>
  <c r="H5" i="9" l="1"/>
  <c r="L100" i="43"/>
  <c r="S100" i="43" s="1"/>
  <c r="L99" i="43"/>
  <c r="S99" i="43" s="1"/>
  <c r="L98" i="43"/>
  <c r="S98" i="43" s="1"/>
  <c r="L97" i="43"/>
  <c r="S97" i="43" s="1"/>
  <c r="L96" i="43"/>
  <c r="S96" i="43" s="1"/>
  <c r="L95" i="43"/>
  <c r="S95" i="43" s="1"/>
  <c r="L94" i="43"/>
  <c r="S94" i="43" s="1"/>
  <c r="L93" i="43"/>
  <c r="S93" i="43" s="1"/>
  <c r="L92" i="43"/>
  <c r="S92" i="43" s="1"/>
  <c r="L91" i="43"/>
  <c r="S91" i="43" s="1"/>
  <c r="L90" i="43"/>
  <c r="S90" i="43" s="1"/>
  <c r="L89" i="43"/>
  <c r="S89" i="43" s="1"/>
  <c r="L88" i="43"/>
  <c r="S88" i="43" s="1"/>
  <c r="S82" i="43"/>
  <c r="Z82" i="43" s="1"/>
  <c r="AG82" i="43" s="1"/>
  <c r="M82" i="43"/>
  <c r="L82" i="43"/>
  <c r="I82" i="43"/>
  <c r="H82" i="43"/>
  <c r="G82" i="43"/>
  <c r="F82" i="43"/>
  <c r="E82" i="43"/>
  <c r="D82" i="43"/>
  <c r="C82" i="43"/>
  <c r="B82" i="43"/>
  <c r="L81" i="43"/>
  <c r="M81" i="43" s="1"/>
  <c r="I81" i="43"/>
  <c r="H81" i="43"/>
  <c r="G81" i="43"/>
  <c r="F81" i="43"/>
  <c r="E81" i="43"/>
  <c r="D81" i="43"/>
  <c r="C81" i="43"/>
  <c r="L80" i="43"/>
  <c r="S80" i="43" s="1"/>
  <c r="Z80" i="43" s="1"/>
  <c r="AG80" i="43" s="1"/>
  <c r="I80" i="43"/>
  <c r="H80" i="43"/>
  <c r="G80" i="43"/>
  <c r="F80" i="43"/>
  <c r="E80" i="43"/>
  <c r="D80" i="43"/>
  <c r="C80" i="43"/>
  <c r="B80" i="43"/>
  <c r="S79" i="43"/>
  <c r="Z79" i="43" s="1"/>
  <c r="AG79" i="43" s="1"/>
  <c r="M79" i="43"/>
  <c r="L79" i="43"/>
  <c r="I79" i="43"/>
  <c r="H79" i="43"/>
  <c r="G79" i="43"/>
  <c r="F79" i="43"/>
  <c r="E79" i="43"/>
  <c r="D79" i="43"/>
  <c r="C79" i="43"/>
  <c r="B79" i="43"/>
  <c r="S78" i="43"/>
  <c r="Z78" i="43" s="1"/>
  <c r="AG78" i="43" s="1"/>
  <c r="L78" i="43"/>
  <c r="M78" i="43" s="1"/>
  <c r="I78" i="43"/>
  <c r="H78" i="43"/>
  <c r="G78" i="43"/>
  <c r="F78" i="43"/>
  <c r="E78" i="43"/>
  <c r="D78" i="43"/>
  <c r="C78" i="43"/>
  <c r="B78" i="43"/>
  <c r="L77" i="43"/>
  <c r="M77" i="43" s="1"/>
  <c r="I77" i="43"/>
  <c r="H77" i="43"/>
  <c r="G77" i="43"/>
  <c r="F77" i="43"/>
  <c r="E77" i="43"/>
  <c r="D77" i="43"/>
  <c r="C77" i="43"/>
  <c r="L76" i="43"/>
  <c r="I76" i="43"/>
  <c r="H76" i="43"/>
  <c r="G76" i="43"/>
  <c r="F76" i="43"/>
  <c r="E76" i="43"/>
  <c r="D76" i="43"/>
  <c r="C76" i="43"/>
  <c r="B76" i="43"/>
  <c r="L75" i="43"/>
  <c r="I75" i="43"/>
  <c r="H75" i="43"/>
  <c r="G75" i="43"/>
  <c r="F75" i="43"/>
  <c r="E75" i="43"/>
  <c r="D75" i="43"/>
  <c r="C75" i="43"/>
  <c r="B75" i="43"/>
  <c r="L74" i="43"/>
  <c r="I74" i="43"/>
  <c r="H74" i="43"/>
  <c r="G74" i="43"/>
  <c r="F74" i="43"/>
  <c r="E74" i="43"/>
  <c r="D74" i="43"/>
  <c r="C74" i="43"/>
  <c r="B74" i="43"/>
  <c r="L73" i="43"/>
  <c r="I73" i="43"/>
  <c r="H73" i="43"/>
  <c r="G73" i="43"/>
  <c r="F73" i="43"/>
  <c r="E73" i="43"/>
  <c r="D73" i="43"/>
  <c r="C73" i="43"/>
  <c r="B73" i="43"/>
  <c r="L72" i="43"/>
  <c r="I72" i="43"/>
  <c r="H72" i="43"/>
  <c r="G72" i="43"/>
  <c r="F72" i="43"/>
  <c r="D72" i="43"/>
  <c r="C72" i="43"/>
  <c r="B72" i="43"/>
  <c r="L71" i="43"/>
  <c r="I71" i="43"/>
  <c r="H71" i="43"/>
  <c r="G71" i="43"/>
  <c r="F71" i="43"/>
  <c r="E71" i="43"/>
  <c r="D71" i="43"/>
  <c r="C71" i="43"/>
  <c r="B71" i="43"/>
  <c r="L70" i="43"/>
  <c r="I70" i="43"/>
  <c r="H70" i="43"/>
  <c r="G70" i="43"/>
  <c r="F70" i="43"/>
  <c r="F83" i="43" s="1"/>
  <c r="E70" i="43"/>
  <c r="D70" i="43"/>
  <c r="C70" i="43"/>
  <c r="B70" i="43"/>
  <c r="I65" i="43"/>
  <c r="H65" i="43"/>
  <c r="G65" i="43"/>
  <c r="F65" i="43"/>
  <c r="D65" i="43"/>
  <c r="C65" i="43"/>
  <c r="E54" i="43"/>
  <c r="X48" i="43"/>
  <c r="W48" i="43"/>
  <c r="V48" i="43"/>
  <c r="T48" i="43"/>
  <c r="S48" i="43"/>
  <c r="R48" i="43"/>
  <c r="P48" i="43"/>
  <c r="O48" i="43"/>
  <c r="G48" i="43"/>
  <c r="F48" i="43"/>
  <c r="E48" i="43"/>
  <c r="D48" i="43"/>
  <c r="C48" i="43"/>
  <c r="AD47" i="43"/>
  <c r="AC47" i="43"/>
  <c r="AB47" i="43"/>
  <c r="AA47" i="43"/>
  <c r="Z47" i="43"/>
  <c r="AD46" i="43"/>
  <c r="AC46" i="43"/>
  <c r="AB46" i="43"/>
  <c r="AA46" i="43"/>
  <c r="Z46" i="43"/>
  <c r="AD45" i="43"/>
  <c r="AC45" i="43"/>
  <c r="AB45" i="43"/>
  <c r="AA45" i="43"/>
  <c r="Z45" i="43"/>
  <c r="AD44" i="43"/>
  <c r="AC44" i="43"/>
  <c r="AB44" i="43"/>
  <c r="AA44" i="43"/>
  <c r="Z44" i="43"/>
  <c r="AD43" i="43"/>
  <c r="AC43" i="43"/>
  <c r="AB43" i="43"/>
  <c r="AA43" i="43"/>
  <c r="Z43" i="43"/>
  <c r="AD42" i="43"/>
  <c r="AB42" i="43"/>
  <c r="AA42" i="43"/>
  <c r="Z42" i="43"/>
  <c r="R42" i="43"/>
  <c r="AC42" i="43" s="1"/>
  <c r="L42" i="43"/>
  <c r="AD41" i="43"/>
  <c r="AC41" i="43"/>
  <c r="AB41" i="43"/>
  <c r="AA41" i="43"/>
  <c r="Z41" i="43"/>
  <c r="AD40" i="43"/>
  <c r="AC40" i="43"/>
  <c r="AB40" i="43"/>
  <c r="AA40" i="43"/>
  <c r="Z40" i="43"/>
  <c r="AD39" i="43"/>
  <c r="AC39" i="43"/>
  <c r="AB39" i="43"/>
  <c r="AA39" i="43"/>
  <c r="Z39" i="43"/>
  <c r="AD38" i="43"/>
  <c r="AC38" i="43"/>
  <c r="AB38" i="43"/>
  <c r="AA38" i="43"/>
  <c r="Z38" i="43"/>
  <c r="AD37" i="43"/>
  <c r="AC37" i="43"/>
  <c r="N37" i="43"/>
  <c r="M37" i="43"/>
  <c r="L37" i="43"/>
  <c r="K37" i="43"/>
  <c r="J37" i="43"/>
  <c r="I37" i="43"/>
  <c r="H37" i="43"/>
  <c r="Z37" i="43" s="1"/>
  <c r="AD36" i="43"/>
  <c r="AC36" i="43"/>
  <c r="AB36" i="43"/>
  <c r="AA36" i="43"/>
  <c r="Z36" i="43"/>
  <c r="Z35" i="43"/>
  <c r="U35" i="43"/>
  <c r="U48" i="43" s="1"/>
  <c r="AD48" i="43" s="1"/>
  <c r="R35" i="43"/>
  <c r="Q35" i="43"/>
  <c r="N35" i="43"/>
  <c r="N48" i="43" s="1"/>
  <c r="M35" i="43"/>
  <c r="M48" i="43" s="1"/>
  <c r="L35" i="43"/>
  <c r="K35" i="43"/>
  <c r="K48" i="43" s="1"/>
  <c r="J35" i="43"/>
  <c r="J48" i="43" s="1"/>
  <c r="I35" i="43"/>
  <c r="I48" i="43" s="1"/>
  <c r="H35" i="43"/>
  <c r="L28" i="43"/>
  <c r="K28" i="43"/>
  <c r="J28" i="43"/>
  <c r="I28" i="43"/>
  <c r="K27" i="43"/>
  <c r="L27" i="43" s="1"/>
  <c r="J27" i="43"/>
  <c r="I27" i="43"/>
  <c r="L26" i="43"/>
  <c r="K26" i="43"/>
  <c r="J26" i="43"/>
  <c r="I26" i="43"/>
  <c r="K25" i="43"/>
  <c r="L25" i="43" s="1"/>
  <c r="J25" i="43"/>
  <c r="I25" i="43"/>
  <c r="L24" i="43"/>
  <c r="K24" i="43"/>
  <c r="J24" i="43"/>
  <c r="I24" i="43"/>
  <c r="K23" i="43"/>
  <c r="L23" i="43" s="1"/>
  <c r="J23" i="43"/>
  <c r="I23" i="43"/>
  <c r="L22" i="43"/>
  <c r="K22" i="43"/>
  <c r="J22" i="43"/>
  <c r="I22" i="43"/>
  <c r="K21" i="43"/>
  <c r="L21" i="43" s="1"/>
  <c r="J21" i="43"/>
  <c r="I21" i="43"/>
  <c r="L20" i="43"/>
  <c r="K20" i="43"/>
  <c r="J20" i="43"/>
  <c r="I20" i="43"/>
  <c r="K19" i="43"/>
  <c r="L19" i="43" s="1"/>
  <c r="J19" i="43"/>
  <c r="I19" i="43"/>
  <c r="L18" i="43"/>
  <c r="K18" i="43"/>
  <c r="J18" i="43"/>
  <c r="I18" i="43"/>
  <c r="K17" i="43"/>
  <c r="L17" i="43" s="1"/>
  <c r="J17" i="43"/>
  <c r="I17" i="43"/>
  <c r="L16" i="43"/>
  <c r="K16" i="43"/>
  <c r="J16" i="43"/>
  <c r="I16" i="43"/>
  <c r="E10" i="43"/>
  <c r="F10" i="43" s="1"/>
  <c r="G10" i="43" s="1"/>
  <c r="H10" i="43" s="1"/>
  <c r="I10" i="43" s="1"/>
  <c r="Z97" i="43" l="1"/>
  <c r="S115" i="43"/>
  <c r="L48" i="43"/>
  <c r="AA48" i="43" s="1"/>
  <c r="I83" i="43"/>
  <c r="S77" i="43"/>
  <c r="Z77" i="43" s="1"/>
  <c r="AG77" i="43" s="1"/>
  <c r="M80" i="43"/>
  <c r="N80" i="43" s="1"/>
  <c r="Z90" i="43"/>
  <c r="Z98" i="43"/>
  <c r="S116" i="43"/>
  <c r="H83" i="43"/>
  <c r="Z89" i="43"/>
  <c r="S107" i="43"/>
  <c r="AB48" i="43"/>
  <c r="Z91" i="43"/>
  <c r="Z99" i="43"/>
  <c r="S117" i="43"/>
  <c r="Z96" i="43"/>
  <c r="S114" i="43"/>
  <c r="AB37" i="43"/>
  <c r="S81" i="43"/>
  <c r="Z81" i="43" s="1"/>
  <c r="AG81" i="43" s="1"/>
  <c r="Z92" i="43"/>
  <c r="Z100" i="43"/>
  <c r="S118" i="43"/>
  <c r="D83" i="43"/>
  <c r="Z93" i="43"/>
  <c r="S111" i="43"/>
  <c r="Z95" i="43"/>
  <c r="AD35" i="43"/>
  <c r="H48" i="43"/>
  <c r="Z94" i="43"/>
  <c r="S112" i="43"/>
  <c r="S70" i="43"/>
  <c r="S106" i="43" s="1"/>
  <c r="M70" i="43"/>
  <c r="Q48" i="43"/>
  <c r="AC48" i="43" s="1"/>
  <c r="AC35" i="43"/>
  <c r="AA35" i="43"/>
  <c r="AA37" i="43"/>
  <c r="E72" i="43"/>
  <c r="S72" i="43" s="1"/>
  <c r="E65" i="43"/>
  <c r="S71" i="43"/>
  <c r="Z71" i="43" s="1"/>
  <c r="AG71" i="43" s="1"/>
  <c r="M71" i="43"/>
  <c r="M72" i="43"/>
  <c r="S76" i="43"/>
  <c r="Z76" i="43" s="1"/>
  <c r="AG76" i="43" s="1"/>
  <c r="M76" i="43"/>
  <c r="T81" i="43"/>
  <c r="AA81" i="43" s="1"/>
  <c r="AH81" i="43" s="1"/>
  <c r="N81" i="43"/>
  <c r="T82" i="43"/>
  <c r="AA82" i="43" s="1"/>
  <c r="AH82" i="43" s="1"/>
  <c r="N82" i="43"/>
  <c r="S73" i="43"/>
  <c r="Z73" i="43" s="1"/>
  <c r="AG73" i="43" s="1"/>
  <c r="M73" i="43"/>
  <c r="T77" i="43"/>
  <c r="AA77" i="43" s="1"/>
  <c r="AH77" i="43" s="1"/>
  <c r="N77" i="43"/>
  <c r="T79" i="43"/>
  <c r="AA79" i="43" s="1"/>
  <c r="AH79" i="43" s="1"/>
  <c r="N79" i="43"/>
  <c r="S75" i="43"/>
  <c r="Z75" i="43" s="1"/>
  <c r="AG75" i="43" s="1"/>
  <c r="M75" i="43"/>
  <c r="T78" i="43"/>
  <c r="AA78" i="43" s="1"/>
  <c r="AH78" i="43" s="1"/>
  <c r="N78" i="43"/>
  <c r="Z48" i="43"/>
  <c r="S74" i="43"/>
  <c r="Z74" i="43" s="1"/>
  <c r="AG74" i="43" s="1"/>
  <c r="M74" i="43"/>
  <c r="AB35" i="43"/>
  <c r="C83" i="43"/>
  <c r="G83" i="43"/>
  <c r="Z88" i="43"/>
  <c r="S101" i="43"/>
  <c r="M88" i="43"/>
  <c r="M89" i="43"/>
  <c r="M90" i="43"/>
  <c r="M91" i="43"/>
  <c r="M92" i="43"/>
  <c r="M93" i="43"/>
  <c r="M94" i="43"/>
  <c r="M95" i="43"/>
  <c r="M96" i="43"/>
  <c r="M97" i="43"/>
  <c r="M98" i="43"/>
  <c r="M99" i="43"/>
  <c r="M100" i="43"/>
  <c r="Z72" i="43" l="1"/>
  <c r="AG72" i="43" s="1"/>
  <c r="S108" i="43"/>
  <c r="AG96" i="43"/>
  <c r="AG114" i="43" s="1"/>
  <c r="Z114" i="43"/>
  <c r="AG94" i="43"/>
  <c r="AG112" i="43" s="1"/>
  <c r="Z112" i="43"/>
  <c r="AG100" i="43"/>
  <c r="AG118" i="43" s="1"/>
  <c r="Z118" i="43"/>
  <c r="AG99" i="43"/>
  <c r="AG117" i="43" s="1"/>
  <c r="Z117" i="43"/>
  <c r="AG89" i="43"/>
  <c r="AG107" i="43" s="1"/>
  <c r="Z107" i="43"/>
  <c r="E83" i="43"/>
  <c r="T80" i="43"/>
  <c r="AA80" i="43" s="1"/>
  <c r="AH80" i="43" s="1"/>
  <c r="S110" i="43"/>
  <c r="S119" i="43" s="1"/>
  <c r="S109" i="43"/>
  <c r="AG98" i="43"/>
  <c r="AG116" i="43" s="1"/>
  <c r="Z116" i="43"/>
  <c r="AG97" i="43"/>
  <c r="AG115" i="43" s="1"/>
  <c r="Z115" i="43"/>
  <c r="AG93" i="43"/>
  <c r="AG111" i="43" s="1"/>
  <c r="Z111" i="43"/>
  <c r="S113" i="43"/>
  <c r="AG92" i="43"/>
  <c r="AG110" i="43" s="1"/>
  <c r="Z110" i="43"/>
  <c r="AG91" i="43"/>
  <c r="AG109" i="43" s="1"/>
  <c r="Z109" i="43"/>
  <c r="AG95" i="43"/>
  <c r="AG113" i="43" s="1"/>
  <c r="Z113" i="43"/>
  <c r="AG90" i="43"/>
  <c r="AG108" i="43" s="1"/>
  <c r="Z108" i="43"/>
  <c r="T100" i="43"/>
  <c r="N100" i="43"/>
  <c r="U79" i="43"/>
  <c r="AB79" i="43" s="1"/>
  <c r="AI79" i="43" s="1"/>
  <c r="O79" i="43"/>
  <c r="T73" i="43"/>
  <c r="AA73" i="43" s="1"/>
  <c r="AH73" i="43" s="1"/>
  <c r="N73" i="43"/>
  <c r="U81" i="43"/>
  <c r="AB81" i="43" s="1"/>
  <c r="AI81" i="43" s="1"/>
  <c r="O81" i="43"/>
  <c r="T99" i="43"/>
  <c r="N99" i="43"/>
  <c r="T95" i="43"/>
  <c r="N95" i="43"/>
  <c r="T91" i="43"/>
  <c r="N91" i="43"/>
  <c r="T96" i="43"/>
  <c r="N96" i="43"/>
  <c r="T98" i="43"/>
  <c r="N98" i="43"/>
  <c r="T94" i="43"/>
  <c r="N94" i="43"/>
  <c r="T90" i="43"/>
  <c r="N90" i="43"/>
  <c r="Z101" i="43"/>
  <c r="AG88" i="43"/>
  <c r="U80" i="43"/>
  <c r="AB80" i="43" s="1"/>
  <c r="AI80" i="43" s="1"/>
  <c r="O80" i="43"/>
  <c r="T75" i="43"/>
  <c r="AA75" i="43" s="1"/>
  <c r="AH75" i="43" s="1"/>
  <c r="N75" i="43"/>
  <c r="U77" i="43"/>
  <c r="AB77" i="43" s="1"/>
  <c r="AI77" i="43" s="1"/>
  <c r="O77" i="43"/>
  <c r="U82" i="43"/>
  <c r="AB82" i="43" s="1"/>
  <c r="AI82" i="43" s="1"/>
  <c r="O82" i="43"/>
  <c r="T76" i="43"/>
  <c r="AA76" i="43" s="1"/>
  <c r="AH76" i="43" s="1"/>
  <c r="N76" i="43"/>
  <c r="T71" i="43"/>
  <c r="AA71" i="43" s="1"/>
  <c r="AH71" i="43" s="1"/>
  <c r="N71" i="43"/>
  <c r="T70" i="43"/>
  <c r="N70" i="43"/>
  <c r="T92" i="43"/>
  <c r="N92" i="43"/>
  <c r="T88" i="43"/>
  <c r="T106" i="43" s="1"/>
  <c r="N88" i="43"/>
  <c r="U78" i="43"/>
  <c r="AB78" i="43" s="1"/>
  <c r="AI78" i="43" s="1"/>
  <c r="O78" i="43"/>
  <c r="T72" i="43"/>
  <c r="AA72" i="43" s="1"/>
  <c r="AH72" i="43" s="1"/>
  <c r="N72" i="43"/>
  <c r="T97" i="43"/>
  <c r="N97" i="43"/>
  <c r="T93" i="43"/>
  <c r="N93" i="43"/>
  <c r="T89" i="43"/>
  <c r="N89" i="43"/>
  <c r="T74" i="43"/>
  <c r="AA74" i="43" s="1"/>
  <c r="AH74" i="43" s="1"/>
  <c r="N74" i="43"/>
  <c r="S83" i="43"/>
  <c r="Z70" i="43"/>
  <c r="Z106" i="43" s="1"/>
  <c r="AA97" i="43" l="1"/>
  <c r="T115" i="43"/>
  <c r="AA96" i="43"/>
  <c r="T114" i="43"/>
  <c r="AA91" i="43"/>
  <c r="T109" i="43"/>
  <c r="AG101" i="43"/>
  <c r="AG106" i="43"/>
  <c r="AG119" i="43" s="1"/>
  <c r="AA92" i="43"/>
  <c r="T110" i="43"/>
  <c r="AA90" i="43"/>
  <c r="T108" i="43"/>
  <c r="Z119" i="43"/>
  <c r="AA89" i="43"/>
  <c r="T107" i="43"/>
  <c r="AA94" i="43"/>
  <c r="T112" i="43"/>
  <c r="AA95" i="43"/>
  <c r="T113" i="43"/>
  <c r="AA93" i="43"/>
  <c r="T111" i="43"/>
  <c r="AA98" i="43"/>
  <c r="T116" i="43"/>
  <c r="AA99" i="43"/>
  <c r="T117" i="43"/>
  <c r="AA100" i="43"/>
  <c r="T118" i="43"/>
  <c r="Z83" i="43"/>
  <c r="AG70" i="43"/>
  <c r="AG83" i="43" s="1"/>
  <c r="U97" i="43"/>
  <c r="O97" i="43"/>
  <c r="U92" i="43"/>
  <c r="O92" i="43"/>
  <c r="U96" i="43"/>
  <c r="O96" i="43"/>
  <c r="P81" i="43"/>
  <c r="W81" i="43" s="1"/>
  <c r="AD81" i="43" s="1"/>
  <c r="AK81" i="43" s="1"/>
  <c r="V81" i="43"/>
  <c r="AC81" i="43" s="1"/>
  <c r="AJ81" i="43" s="1"/>
  <c r="U89" i="43"/>
  <c r="O89" i="43"/>
  <c r="V78" i="43"/>
  <c r="AC78" i="43" s="1"/>
  <c r="AJ78" i="43" s="1"/>
  <c r="P78" i="43"/>
  <c r="W78" i="43" s="1"/>
  <c r="AD78" i="43" s="1"/>
  <c r="AK78" i="43" s="1"/>
  <c r="U71" i="43"/>
  <c r="AB71" i="43" s="1"/>
  <c r="AI71" i="43" s="1"/>
  <c r="O71" i="43"/>
  <c r="V82" i="43"/>
  <c r="AC82" i="43" s="1"/>
  <c r="AJ82" i="43" s="1"/>
  <c r="P82" i="43"/>
  <c r="W82" i="43" s="1"/>
  <c r="AD82" i="43" s="1"/>
  <c r="AK82" i="43" s="1"/>
  <c r="U75" i="43"/>
  <c r="AB75" i="43" s="1"/>
  <c r="AI75" i="43" s="1"/>
  <c r="O75" i="43"/>
  <c r="U94" i="43"/>
  <c r="O94" i="43"/>
  <c r="U95" i="43"/>
  <c r="O95" i="43"/>
  <c r="V79" i="43"/>
  <c r="AC79" i="43" s="1"/>
  <c r="AJ79" i="43" s="1"/>
  <c r="P79" i="43"/>
  <c r="W79" i="43" s="1"/>
  <c r="AD79" i="43" s="1"/>
  <c r="AK79" i="43" s="1"/>
  <c r="U74" i="43"/>
  <c r="AB74" i="43" s="1"/>
  <c r="AI74" i="43" s="1"/>
  <c r="O74" i="43"/>
  <c r="U93" i="43"/>
  <c r="O93" i="43"/>
  <c r="U72" i="43"/>
  <c r="AB72" i="43" s="1"/>
  <c r="AI72" i="43" s="1"/>
  <c r="O72" i="43"/>
  <c r="U88" i="43"/>
  <c r="U106" i="43" s="1"/>
  <c r="O88" i="43"/>
  <c r="U70" i="43"/>
  <c r="O70" i="43"/>
  <c r="U76" i="43"/>
  <c r="AB76" i="43" s="1"/>
  <c r="AI76" i="43" s="1"/>
  <c r="O76" i="43"/>
  <c r="V77" i="43"/>
  <c r="AC77" i="43" s="1"/>
  <c r="AJ77" i="43" s="1"/>
  <c r="P77" i="43"/>
  <c r="W77" i="43" s="1"/>
  <c r="AD77" i="43" s="1"/>
  <c r="AK77" i="43" s="1"/>
  <c r="V80" i="43"/>
  <c r="AC80" i="43" s="1"/>
  <c r="AJ80" i="43" s="1"/>
  <c r="P80" i="43"/>
  <c r="W80" i="43" s="1"/>
  <c r="AD80" i="43" s="1"/>
  <c r="AK80" i="43" s="1"/>
  <c r="U90" i="43"/>
  <c r="O90" i="43"/>
  <c r="U98" i="43"/>
  <c r="O98" i="43"/>
  <c r="U91" i="43"/>
  <c r="O91" i="43"/>
  <c r="U99" i="43"/>
  <c r="O99" i="43"/>
  <c r="U73" i="43"/>
  <c r="AB73" i="43" s="1"/>
  <c r="AI73" i="43" s="1"/>
  <c r="O73" i="43"/>
  <c r="O100" i="43"/>
  <c r="U100" i="43"/>
  <c r="T101" i="43"/>
  <c r="AA88" i="43"/>
  <c r="AA106" i="43" s="1"/>
  <c r="T83" i="43"/>
  <c r="AA70" i="43"/>
  <c r="AH97" i="43" l="1"/>
  <c r="AH115" i="43" s="1"/>
  <c r="AA115" i="43"/>
  <c r="AB98" i="43"/>
  <c r="U116" i="43"/>
  <c r="AB93" i="43"/>
  <c r="U111" i="43"/>
  <c r="AH99" i="43"/>
  <c r="AH117" i="43" s="1"/>
  <c r="AA117" i="43"/>
  <c r="AH94" i="43"/>
  <c r="AH112" i="43" s="1"/>
  <c r="AA112" i="43"/>
  <c r="T119" i="43"/>
  <c r="AB100" i="43"/>
  <c r="U118" i="43"/>
  <c r="AB94" i="43"/>
  <c r="U112" i="43"/>
  <c r="AB92" i="43"/>
  <c r="U110" i="43"/>
  <c r="AB90" i="43"/>
  <c r="U108" i="43"/>
  <c r="AB89" i="43"/>
  <c r="U107" i="43"/>
  <c r="AB97" i="43"/>
  <c r="U115" i="43"/>
  <c r="AH98" i="43"/>
  <c r="AH116" i="43" s="1"/>
  <c r="AA116" i="43"/>
  <c r="AH89" i="43"/>
  <c r="AH107" i="43" s="1"/>
  <c r="AA107" i="43"/>
  <c r="AA119" i="43" s="1"/>
  <c r="AH91" i="43"/>
  <c r="AH109" i="43" s="1"/>
  <c r="AA109" i="43"/>
  <c r="AH92" i="43"/>
  <c r="AH110" i="43" s="1"/>
  <c r="AA110" i="43"/>
  <c r="AB99" i="43"/>
  <c r="U117" i="43"/>
  <c r="AH93" i="43"/>
  <c r="AH111" i="43" s="1"/>
  <c r="AA111" i="43"/>
  <c r="AH90" i="43"/>
  <c r="AH108" i="43" s="1"/>
  <c r="AA108" i="43"/>
  <c r="AH96" i="43"/>
  <c r="AH114" i="43" s="1"/>
  <c r="AA114" i="43"/>
  <c r="AB91" i="43"/>
  <c r="U109" i="43"/>
  <c r="U119" i="43" s="1"/>
  <c r="AB95" i="43"/>
  <c r="U113" i="43"/>
  <c r="AB96" i="43"/>
  <c r="U114" i="43"/>
  <c r="AH100" i="43"/>
  <c r="AH118" i="43" s="1"/>
  <c r="AA118" i="43"/>
  <c r="AH95" i="43"/>
  <c r="AH113" i="43" s="1"/>
  <c r="AA113" i="43"/>
  <c r="V72" i="43"/>
  <c r="AC72" i="43" s="1"/>
  <c r="AJ72" i="43" s="1"/>
  <c r="P72" i="43"/>
  <c r="W72" i="43" s="1"/>
  <c r="AD72" i="43" s="1"/>
  <c r="AK72" i="43" s="1"/>
  <c r="V95" i="43"/>
  <c r="P95" i="43"/>
  <c r="W95" i="43" s="1"/>
  <c r="V71" i="43"/>
  <c r="AC71" i="43" s="1"/>
  <c r="AJ71" i="43" s="1"/>
  <c r="P71" i="43"/>
  <c r="W71" i="43" s="1"/>
  <c r="AD71" i="43" s="1"/>
  <c r="AK71" i="43" s="1"/>
  <c r="V89" i="43"/>
  <c r="P89" i="43"/>
  <c r="W89" i="43" s="1"/>
  <c r="V97" i="43"/>
  <c r="P97" i="43"/>
  <c r="W97" i="43" s="1"/>
  <c r="U83" i="43"/>
  <c r="AB70" i="43"/>
  <c r="AA101" i="43"/>
  <c r="AH88" i="43"/>
  <c r="V91" i="43"/>
  <c r="P91" i="43"/>
  <c r="W91" i="43" s="1"/>
  <c r="V70" i="43"/>
  <c r="P70" i="43"/>
  <c r="W70" i="43" s="1"/>
  <c r="V74" i="43"/>
  <c r="AC74" i="43" s="1"/>
  <c r="AJ74" i="43" s="1"/>
  <c r="P74" i="43"/>
  <c r="W74" i="43" s="1"/>
  <c r="AD74" i="43" s="1"/>
  <c r="AK74" i="43" s="1"/>
  <c r="V96" i="43"/>
  <c r="P96" i="43"/>
  <c r="W96" i="43" s="1"/>
  <c r="AA83" i="43"/>
  <c r="AH70" i="43"/>
  <c r="AH83" i="43" s="1"/>
  <c r="V99" i="43"/>
  <c r="P99" i="43"/>
  <c r="W99" i="43" s="1"/>
  <c r="V98" i="43"/>
  <c r="P98" i="43"/>
  <c r="W98" i="43" s="1"/>
  <c r="V76" i="43"/>
  <c r="AC76" i="43" s="1"/>
  <c r="AJ76" i="43" s="1"/>
  <c r="P76" i="43"/>
  <c r="W76" i="43" s="1"/>
  <c r="AD76" i="43" s="1"/>
  <c r="AK76" i="43" s="1"/>
  <c r="V88" i="43"/>
  <c r="P88" i="43"/>
  <c r="W88" i="43" s="1"/>
  <c r="W106" i="43" s="1"/>
  <c r="V93" i="43"/>
  <c r="P93" i="43"/>
  <c r="W93" i="43" s="1"/>
  <c r="V94" i="43"/>
  <c r="P94" i="43"/>
  <c r="W94" i="43" s="1"/>
  <c r="V92" i="43"/>
  <c r="P92" i="43"/>
  <c r="W92" i="43" s="1"/>
  <c r="P73" i="43"/>
  <c r="W73" i="43" s="1"/>
  <c r="AD73" i="43" s="1"/>
  <c r="AK73" i="43" s="1"/>
  <c r="V73" i="43"/>
  <c r="AC73" i="43" s="1"/>
  <c r="AJ73" i="43" s="1"/>
  <c r="V90" i="43"/>
  <c r="P90" i="43"/>
  <c r="W90" i="43" s="1"/>
  <c r="V75" i="43"/>
  <c r="AC75" i="43" s="1"/>
  <c r="AJ75" i="43" s="1"/>
  <c r="P75" i="43"/>
  <c r="W75" i="43" s="1"/>
  <c r="AD75" i="43" s="1"/>
  <c r="AK75" i="43" s="1"/>
  <c r="V100" i="43"/>
  <c r="P100" i="43"/>
  <c r="W100" i="43" s="1"/>
  <c r="U101" i="43"/>
  <c r="AB88" i="43"/>
  <c r="AB106" i="43" s="1"/>
  <c r="AD92" i="43" l="1"/>
  <c r="W110" i="43"/>
  <c r="AH101" i="43"/>
  <c r="AH106" i="43"/>
  <c r="AH119" i="43" s="1"/>
  <c r="AI99" i="43"/>
  <c r="AI117" i="43" s="1"/>
  <c r="AB117" i="43"/>
  <c r="AD94" i="43"/>
  <c r="W112" i="43"/>
  <c r="AD95" i="43"/>
  <c r="W113" i="43"/>
  <c r="AC100" i="43"/>
  <c r="V118" i="43"/>
  <c r="AC94" i="43"/>
  <c r="V112" i="43"/>
  <c r="AC98" i="43"/>
  <c r="V116" i="43"/>
  <c r="AC95" i="43"/>
  <c r="V113" i="43"/>
  <c r="AI96" i="43"/>
  <c r="AI114" i="43" s="1"/>
  <c r="AB114" i="43"/>
  <c r="AI97" i="43"/>
  <c r="AI115" i="43" s="1"/>
  <c r="AB115" i="43"/>
  <c r="AI94" i="43"/>
  <c r="AI112" i="43" s="1"/>
  <c r="AB112" i="43"/>
  <c r="AD98" i="43"/>
  <c r="W116" i="43"/>
  <c r="AD90" i="43"/>
  <c r="W108" i="43"/>
  <c r="AD93" i="43"/>
  <c r="W111" i="43"/>
  <c r="AD99" i="43"/>
  <c r="W117" i="43"/>
  <c r="AD97" i="43"/>
  <c r="W115" i="43"/>
  <c r="AI93" i="43"/>
  <c r="AI111" i="43" s="1"/>
  <c r="AB111" i="43"/>
  <c r="AD100" i="43"/>
  <c r="W118" i="43"/>
  <c r="AD96" i="43"/>
  <c r="W114" i="43"/>
  <c r="AC92" i="43"/>
  <c r="V110" i="43"/>
  <c r="AC96" i="43"/>
  <c r="V114" i="43"/>
  <c r="AI92" i="43"/>
  <c r="AI110" i="43" s="1"/>
  <c r="AB110" i="43"/>
  <c r="AC90" i="43"/>
  <c r="V108" i="43"/>
  <c r="AC93" i="43"/>
  <c r="V111" i="43"/>
  <c r="AC99" i="43"/>
  <c r="V117" i="43"/>
  <c r="AC97" i="43"/>
  <c r="V115" i="43"/>
  <c r="AI95" i="43"/>
  <c r="AI113" i="43" s="1"/>
  <c r="AB113" i="43"/>
  <c r="AI89" i="43"/>
  <c r="AI107" i="43" s="1"/>
  <c r="AB107" i="43"/>
  <c r="AI100" i="43"/>
  <c r="AI118" i="43" s="1"/>
  <c r="AB118" i="43"/>
  <c r="AD91" i="43"/>
  <c r="W109" i="43"/>
  <c r="AD89" i="43"/>
  <c r="W107" i="43"/>
  <c r="W119" i="43" s="1"/>
  <c r="AI98" i="43"/>
  <c r="AI116" i="43" s="1"/>
  <c r="AB116" i="43"/>
  <c r="V106" i="43"/>
  <c r="AC91" i="43"/>
  <c r="V109" i="43"/>
  <c r="AC89" i="43"/>
  <c r="V107" i="43"/>
  <c r="AI91" i="43"/>
  <c r="AI109" i="43" s="1"/>
  <c r="AB109" i="43"/>
  <c r="AI90" i="43"/>
  <c r="AI108" i="43" s="1"/>
  <c r="AB108" i="43"/>
  <c r="AB83" i="43"/>
  <c r="AI70" i="43"/>
  <c r="AI83" i="43" s="1"/>
  <c r="AC88" i="43"/>
  <c r="V101" i="43"/>
  <c r="AI88" i="43"/>
  <c r="AB101" i="43"/>
  <c r="AD88" i="43"/>
  <c r="AD106" i="43" s="1"/>
  <c r="W101" i="43"/>
  <c r="W83" i="43"/>
  <c r="AD70" i="43"/>
  <c r="V83" i="43"/>
  <c r="AC70" i="43"/>
  <c r="AK97" i="43" l="1"/>
  <c r="AK115" i="43" s="1"/>
  <c r="AD115" i="43"/>
  <c r="AK95" i="43"/>
  <c r="AK113" i="43" s="1"/>
  <c r="AD113" i="43"/>
  <c r="AC106" i="43"/>
  <c r="AJ89" i="43"/>
  <c r="AJ107" i="43" s="1"/>
  <c r="AC107" i="43"/>
  <c r="AJ90" i="43"/>
  <c r="AJ108" i="43" s="1"/>
  <c r="AC108" i="43"/>
  <c r="AK96" i="43"/>
  <c r="AK114" i="43" s="1"/>
  <c r="AD114" i="43"/>
  <c r="AK99" i="43"/>
  <c r="AK117" i="43" s="1"/>
  <c r="AD117" i="43"/>
  <c r="AJ98" i="43"/>
  <c r="AJ116" i="43" s="1"/>
  <c r="AC116" i="43"/>
  <c r="AK94" i="43"/>
  <c r="AK112" i="43" s="1"/>
  <c r="AD112" i="43"/>
  <c r="AJ95" i="43"/>
  <c r="AJ113" i="43" s="1"/>
  <c r="AC113" i="43"/>
  <c r="AI101" i="43"/>
  <c r="AI106" i="43"/>
  <c r="AI119" i="43" s="1"/>
  <c r="AJ92" i="43"/>
  <c r="AJ110" i="43" s="1"/>
  <c r="AC110" i="43"/>
  <c r="AK92" i="43"/>
  <c r="AK110" i="43" s="1"/>
  <c r="AD110" i="43"/>
  <c r="AK89" i="43"/>
  <c r="AK107" i="43" s="1"/>
  <c r="AD107" i="43"/>
  <c r="AK91" i="43"/>
  <c r="AK109" i="43" s="1"/>
  <c r="AD109" i="43"/>
  <c r="AJ91" i="43"/>
  <c r="AJ109" i="43" s="1"/>
  <c r="AC109" i="43"/>
  <c r="AJ97" i="43"/>
  <c r="AJ115" i="43" s="1"/>
  <c r="AC115" i="43"/>
  <c r="AK100" i="43"/>
  <c r="AK118" i="43" s="1"/>
  <c r="AD118" i="43"/>
  <c r="AK93" i="43"/>
  <c r="AK111" i="43" s="1"/>
  <c r="AD111" i="43"/>
  <c r="AJ94" i="43"/>
  <c r="AJ112" i="43" s="1"/>
  <c r="AC112" i="43"/>
  <c r="AJ93" i="43"/>
  <c r="AJ111" i="43" s="1"/>
  <c r="AC111" i="43"/>
  <c r="AK98" i="43"/>
  <c r="AK116" i="43" s="1"/>
  <c r="AD116" i="43"/>
  <c r="V119" i="43"/>
  <c r="AD119" i="43"/>
  <c r="AJ99" i="43"/>
  <c r="AJ117" i="43" s="1"/>
  <c r="AC117" i="43"/>
  <c r="AJ96" i="43"/>
  <c r="AJ114" i="43" s="1"/>
  <c r="AC114" i="43"/>
  <c r="AK90" i="43"/>
  <c r="AK108" i="43" s="1"/>
  <c r="AD108" i="43"/>
  <c r="AJ100" i="43"/>
  <c r="AJ118" i="43" s="1"/>
  <c r="AC118" i="43"/>
  <c r="AB119" i="43"/>
  <c r="AD101" i="43"/>
  <c r="AK88" i="43"/>
  <c r="AJ88" i="43"/>
  <c r="AC101" i="43"/>
  <c r="AC83" i="43"/>
  <c r="AJ70" i="43"/>
  <c r="AJ83" i="43" s="1"/>
  <c r="AD83" i="43"/>
  <c r="AK70" i="43"/>
  <c r="AK83" i="43" s="1"/>
  <c r="AK101" i="43" l="1"/>
  <c r="AK106" i="43"/>
  <c r="AK119" i="43" s="1"/>
  <c r="AC119" i="43"/>
  <c r="AJ101" i="43"/>
  <c r="AJ106" i="43"/>
  <c r="AJ119" i="43" s="1"/>
  <c r="G1" i="27"/>
  <c r="F1" i="27"/>
  <c r="E1" i="27"/>
  <c r="C1" i="27"/>
  <c r="D1" i="27"/>
  <c r="E81" i="6" l="1"/>
  <c r="F81" i="6" s="1"/>
  <c r="J14" i="38" l="1"/>
  <c r="N14" i="38" s="1"/>
  <c r="R14" i="38" s="1"/>
  <c r="V14" i="38" s="1"/>
  <c r="I14" i="38"/>
  <c r="M14" i="38" s="1"/>
  <c r="Q14" i="38" s="1"/>
  <c r="U14" i="38" s="1"/>
  <c r="H14" i="38"/>
  <c r="L14" i="38" s="1"/>
  <c r="P14" i="38" s="1"/>
  <c r="T14" i="38" s="1"/>
  <c r="G14" i="38"/>
  <c r="K14" i="38" s="1"/>
  <c r="O14" i="38" s="1"/>
  <c r="S14" i="38" s="1"/>
  <c r="J12" i="38"/>
  <c r="N12" i="38" s="1"/>
  <c r="R12" i="38" s="1"/>
  <c r="V12" i="38" s="1"/>
  <c r="I12" i="38"/>
  <c r="M12" i="38" s="1"/>
  <c r="Q12" i="38" s="1"/>
  <c r="U12" i="38" s="1"/>
  <c r="H12" i="38"/>
  <c r="L12" i="38" s="1"/>
  <c r="P12" i="38" s="1"/>
  <c r="T12" i="38" s="1"/>
  <c r="G12" i="38"/>
  <c r="K12" i="38" s="1"/>
  <c r="O12" i="38" s="1"/>
  <c r="S12" i="38" s="1"/>
  <c r="J11" i="38"/>
  <c r="N11" i="38" s="1"/>
  <c r="R11" i="38" s="1"/>
  <c r="V11" i="38" s="1"/>
  <c r="I11" i="38"/>
  <c r="M11" i="38" s="1"/>
  <c r="Q11" i="38" s="1"/>
  <c r="U11" i="38" s="1"/>
  <c r="H11" i="38"/>
  <c r="L11" i="38" s="1"/>
  <c r="P11" i="38" s="1"/>
  <c r="T11" i="38" s="1"/>
  <c r="G11" i="38"/>
  <c r="K11" i="38" s="1"/>
  <c r="O11" i="38" s="1"/>
  <c r="S11" i="38" s="1"/>
  <c r="J10" i="38"/>
  <c r="N10" i="38" s="1"/>
  <c r="R10" i="38" s="1"/>
  <c r="V10" i="38" s="1"/>
  <c r="I10" i="38"/>
  <c r="M10" i="38" s="1"/>
  <c r="Q10" i="38" s="1"/>
  <c r="U10" i="38" s="1"/>
  <c r="H10" i="38"/>
  <c r="L10" i="38" s="1"/>
  <c r="P10" i="38" s="1"/>
  <c r="T10" i="38" s="1"/>
  <c r="G10" i="38"/>
  <c r="K10" i="38" s="1"/>
  <c r="O10" i="38" s="1"/>
  <c r="S10" i="38" s="1"/>
  <c r="J9" i="38"/>
  <c r="N9" i="38" s="1"/>
  <c r="R9" i="38" s="1"/>
  <c r="V9" i="38" s="1"/>
  <c r="I9" i="38"/>
  <c r="M9" i="38" s="1"/>
  <c r="Q9" i="38" s="1"/>
  <c r="U9" i="38" s="1"/>
  <c r="H9" i="38"/>
  <c r="L9" i="38" s="1"/>
  <c r="P9" i="38" s="1"/>
  <c r="T9" i="38" s="1"/>
  <c r="G9" i="38"/>
  <c r="K9" i="38" s="1"/>
  <c r="O9" i="38" s="1"/>
  <c r="S9" i="38" s="1"/>
  <c r="J8" i="38"/>
  <c r="N8" i="38" s="1"/>
  <c r="R8" i="38" s="1"/>
  <c r="V8" i="38" s="1"/>
  <c r="I8" i="38"/>
  <c r="M8" i="38" s="1"/>
  <c r="Q8" i="38" s="1"/>
  <c r="U8" i="38" s="1"/>
  <c r="H8" i="38"/>
  <c r="L8" i="38" s="1"/>
  <c r="P8" i="38" s="1"/>
  <c r="T8" i="38" s="1"/>
  <c r="G8" i="38"/>
  <c r="K8" i="38" s="1"/>
  <c r="O8" i="38" s="1"/>
  <c r="S8" i="38" s="1"/>
  <c r="J7" i="38"/>
  <c r="N7" i="38" s="1"/>
  <c r="R7" i="38" s="1"/>
  <c r="V7" i="38" s="1"/>
  <c r="I7" i="38"/>
  <c r="M7" i="38" s="1"/>
  <c r="Q7" i="38" s="1"/>
  <c r="U7" i="38" s="1"/>
  <c r="H7" i="38"/>
  <c r="L7" i="38" s="1"/>
  <c r="P7" i="38" s="1"/>
  <c r="T7" i="38" s="1"/>
  <c r="G7" i="38"/>
  <c r="K7" i="38" s="1"/>
  <c r="O7" i="38" s="1"/>
  <c r="S7" i="38" s="1"/>
  <c r="J6" i="38"/>
  <c r="N6" i="38" s="1"/>
  <c r="R6" i="38" s="1"/>
  <c r="V6" i="38" s="1"/>
  <c r="I6" i="38"/>
  <c r="M6" i="38" s="1"/>
  <c r="Q6" i="38" s="1"/>
  <c r="U6" i="38" s="1"/>
  <c r="H6" i="38"/>
  <c r="L6" i="38" s="1"/>
  <c r="P6" i="38" s="1"/>
  <c r="T6" i="38" s="1"/>
  <c r="G6" i="38"/>
  <c r="K6" i="38" s="1"/>
  <c r="O6" i="38" s="1"/>
  <c r="S6" i="38" s="1"/>
  <c r="J5" i="38"/>
  <c r="N5" i="38" s="1"/>
  <c r="R5" i="38" s="1"/>
  <c r="V5" i="38" s="1"/>
  <c r="I5" i="38"/>
  <c r="M5" i="38" s="1"/>
  <c r="Q5" i="38" s="1"/>
  <c r="U5" i="38" s="1"/>
  <c r="H5" i="38"/>
  <c r="L5" i="38" s="1"/>
  <c r="P5" i="38" s="1"/>
  <c r="T5" i="38" s="1"/>
  <c r="G5" i="38"/>
  <c r="K5" i="38" s="1"/>
  <c r="O5" i="38" s="1"/>
  <c r="S5" i="38" s="1"/>
  <c r="J47" i="35" l="1"/>
  <c r="H21" i="27"/>
  <c r="T5" i="22" l="1"/>
  <c r="T4" i="22"/>
  <c r="W15" i="22"/>
  <c r="W16" i="22" s="1"/>
  <c r="X15" i="22"/>
  <c r="X18" i="22" s="1"/>
  <c r="X16" i="22" l="1"/>
  <c r="X19" i="22"/>
  <c r="W19" i="22"/>
  <c r="AB15" i="22"/>
  <c r="AB19" i="22" s="1"/>
  <c r="AA15" i="22"/>
  <c r="AA18" i="22" s="1"/>
  <c r="Z15" i="22"/>
  <c r="Z18" i="22" s="1"/>
  <c r="Y15" i="22"/>
  <c r="Y16" i="22" s="1"/>
  <c r="H79" i="35"/>
  <c r="M78" i="35"/>
  <c r="L78" i="35"/>
  <c r="K78" i="35"/>
  <c r="J78" i="35"/>
  <c r="I78" i="35"/>
  <c r="M77" i="35"/>
  <c r="L77" i="35"/>
  <c r="K77" i="35"/>
  <c r="J77" i="35"/>
  <c r="I77" i="35"/>
  <c r="O63" i="35"/>
  <c r="O60" i="35"/>
  <c r="O59" i="35"/>
  <c r="J58" i="35"/>
  <c r="N57" i="35"/>
  <c r="M57" i="35"/>
  <c r="L57" i="35"/>
  <c r="K57" i="35"/>
  <c r="J57" i="35"/>
  <c r="N56" i="35"/>
  <c r="M56" i="35"/>
  <c r="L56" i="35"/>
  <c r="K56" i="35"/>
  <c r="J56" i="35"/>
  <c r="E56" i="35"/>
  <c r="N55" i="35"/>
  <c r="M55" i="35"/>
  <c r="L55" i="35"/>
  <c r="K55" i="35"/>
  <c r="J55" i="35"/>
  <c r="D55" i="35"/>
  <c r="D54" i="35"/>
  <c r="E54" i="35" s="1"/>
  <c r="T50" i="35"/>
  <c r="S50" i="35"/>
  <c r="R50" i="35"/>
  <c r="P50" i="35"/>
  <c r="J48" i="35"/>
  <c r="F48" i="35"/>
  <c r="E48" i="35"/>
  <c r="B48" i="35"/>
  <c r="A48" i="35"/>
  <c r="I47" i="35"/>
  <c r="C47" i="35"/>
  <c r="O47" i="35" s="1"/>
  <c r="Q47" i="35" s="1"/>
  <c r="I46" i="35"/>
  <c r="C46" i="35"/>
  <c r="O46" i="35" s="1"/>
  <c r="Q46" i="35" s="1"/>
  <c r="I45" i="35"/>
  <c r="C45" i="35"/>
  <c r="O45" i="35" s="1"/>
  <c r="Q45" i="35" s="1"/>
  <c r="D44" i="35"/>
  <c r="D48" i="35" s="1"/>
  <c r="C44" i="35"/>
  <c r="N42" i="35"/>
  <c r="M42" i="35"/>
  <c r="L42" i="35"/>
  <c r="K42" i="35"/>
  <c r="G18" i="35"/>
  <c r="G32" i="35" s="1"/>
  <c r="F18" i="35"/>
  <c r="F32" i="35" s="1"/>
  <c r="E18" i="35"/>
  <c r="E32" i="35" s="1"/>
  <c r="D18" i="35"/>
  <c r="D32" i="35" s="1"/>
  <c r="C18" i="35"/>
  <c r="C32" i="35" s="1"/>
  <c r="D11" i="35"/>
  <c r="D33" i="35" s="1"/>
  <c r="C11" i="35"/>
  <c r="C33" i="35" s="1"/>
  <c r="G3" i="35"/>
  <c r="F3" i="35"/>
  <c r="E3" i="35"/>
  <c r="D3" i="35"/>
  <c r="C3" i="35"/>
  <c r="H3" i="35" l="1"/>
  <c r="H4" i="27" s="1"/>
  <c r="O56" i="35"/>
  <c r="O57" i="35"/>
  <c r="O58" i="35"/>
  <c r="T6" i="22"/>
  <c r="I44" i="35"/>
  <c r="C48" i="35"/>
  <c r="O61" i="35"/>
  <c r="I61" i="35" s="1"/>
  <c r="D57" i="35"/>
  <c r="E57" i="35" s="1"/>
  <c r="AA16" i="22"/>
  <c r="Z16" i="22"/>
  <c r="AB18" i="22"/>
  <c r="AB16" i="22"/>
  <c r="Y19" i="22"/>
  <c r="Z19" i="22"/>
  <c r="Y18" i="22"/>
  <c r="AA19" i="22"/>
  <c r="O44" i="35"/>
  <c r="H18" i="35" s="1"/>
  <c r="H32" i="35" s="1"/>
  <c r="E55" i="35"/>
  <c r="T7" i="22" l="1"/>
  <c r="O55" i="35"/>
  <c r="O62" i="35" s="1"/>
  <c r="O64" i="35" s="1"/>
  <c r="I48" i="35"/>
  <c r="I50" i="35" s="1"/>
  <c r="O48" i="35"/>
  <c r="Q44" i="35"/>
  <c r="J42" i="35"/>
  <c r="O65" i="35" l="1"/>
  <c r="I62" i="35"/>
  <c r="T9" i="22"/>
  <c r="T8" i="22"/>
  <c r="O50" i="35"/>
  <c r="Q48" i="35"/>
  <c r="Q50" i="35" s="1"/>
  <c r="I27" i="8" l="1"/>
  <c r="M115" i="6" l="1"/>
  <c r="L115" i="6"/>
  <c r="K115" i="6"/>
  <c r="J115" i="6"/>
  <c r="I115" i="6"/>
  <c r="K47" i="35" l="1"/>
  <c r="L47" i="35" l="1"/>
  <c r="K58" i="35"/>
  <c r="K48" i="35"/>
  <c r="N47" i="35"/>
  <c r="M47" i="35"/>
  <c r="L58" i="35" l="1"/>
  <c r="L48" i="35"/>
  <c r="N58" i="35"/>
  <c r="N48" i="35"/>
  <c r="M48" i="35"/>
  <c r="M58" i="35"/>
  <c r="J17" i="9" l="1"/>
  <c r="K17" i="9" s="1"/>
  <c r="L17" i="9" s="1"/>
  <c r="M17" i="9" s="1"/>
  <c r="AG9" i="22" l="1"/>
  <c r="AH9" i="22" s="1"/>
  <c r="AG8" i="22"/>
  <c r="AH8" i="22" s="1"/>
  <c r="AG7" i="22"/>
  <c r="AH7" i="22" s="1"/>
  <c r="AG6" i="22"/>
  <c r="AH6" i="22" s="1"/>
  <c r="AG5" i="22"/>
  <c r="AH5" i="22" s="1"/>
  <c r="AM4" i="22"/>
  <c r="AI4" i="22"/>
  <c r="AL4" i="22" s="1"/>
  <c r="AD9" i="22"/>
  <c r="AK5" i="22"/>
  <c r="AD4" i="22"/>
  <c r="Y4" i="22"/>
  <c r="AA4" i="22" s="1"/>
  <c r="AC4" i="22" s="1"/>
  <c r="AN4" i="22" l="1"/>
  <c r="AP4" i="22" s="1"/>
  <c r="AQ4" i="22" s="1"/>
  <c r="AR4" i="22" s="1"/>
  <c r="AD5" i="22"/>
  <c r="Y5" i="22"/>
  <c r="AA5" i="22" s="1"/>
  <c r="AC5" i="22" s="1"/>
  <c r="I113" i="6" l="1"/>
  <c r="I114" i="6" s="1"/>
  <c r="Y6" i="22"/>
  <c r="AA6" i="22" s="1"/>
  <c r="AC6" i="22" s="1"/>
  <c r="I74" i="35"/>
  <c r="I75" i="35" s="1"/>
  <c r="I79" i="35" s="1"/>
  <c r="J60" i="35" s="1"/>
  <c r="J74" i="35"/>
  <c r="J75" i="35" s="1"/>
  <c r="J79" i="35" s="1"/>
  <c r="K60" i="35" s="1"/>
  <c r="J113" i="6"/>
  <c r="J114" i="6" s="1"/>
  <c r="AL5" i="22"/>
  <c r="AN5" i="22" s="1"/>
  <c r="AP5" i="22" s="1"/>
  <c r="AD6" i="22"/>
  <c r="Y7" i="22" l="1"/>
  <c r="AA7" i="22" s="1"/>
  <c r="AC7" i="22" s="1"/>
  <c r="AQ5" i="22"/>
  <c r="AR5" i="22" s="1"/>
  <c r="AH14" i="22"/>
  <c r="K74" i="35"/>
  <c r="K75" i="35" s="1"/>
  <c r="K79" i="35" s="1"/>
  <c r="L60" i="35" s="1"/>
  <c r="K113" i="6"/>
  <c r="K114" i="6" s="1"/>
  <c r="AD7" i="22"/>
  <c r="AL6" i="22"/>
  <c r="AN6" i="22" s="1"/>
  <c r="AP6" i="22" s="1"/>
  <c r="Q5" i="22" l="1"/>
  <c r="R5" i="22" s="1"/>
  <c r="I3" i="6"/>
  <c r="AQ6" i="22"/>
  <c r="AR6" i="22" s="1"/>
  <c r="AH15" i="22"/>
  <c r="Y9" i="22"/>
  <c r="AA9" i="22" s="1"/>
  <c r="AC9" i="22" s="1"/>
  <c r="AD8" i="22"/>
  <c r="Y8" i="22"/>
  <c r="AA8" i="22" s="1"/>
  <c r="AC8" i="22" s="1"/>
  <c r="AL7" i="22"/>
  <c r="AN7" i="22" s="1"/>
  <c r="AP7" i="22" s="1"/>
  <c r="Q6" i="22" l="1"/>
  <c r="R6" i="22" s="1"/>
  <c r="J3" i="6"/>
  <c r="I4" i="6"/>
  <c r="I8" i="6"/>
  <c r="I5" i="6"/>
  <c r="I6" i="6"/>
  <c r="I7" i="6"/>
  <c r="AQ7" i="22"/>
  <c r="AR7" i="22" s="1"/>
  <c r="AH16" i="22"/>
  <c r="L74" i="35"/>
  <c r="L75" i="35" s="1"/>
  <c r="L79" i="35" s="1"/>
  <c r="M60" i="35" s="1"/>
  <c r="L113" i="6"/>
  <c r="L114" i="6" s="1"/>
  <c r="AL8" i="22"/>
  <c r="AN8" i="22" s="1"/>
  <c r="AP8" i="22" s="1"/>
  <c r="Q7" i="22" l="1"/>
  <c r="R7" i="22" s="1"/>
  <c r="K3" i="6"/>
  <c r="I5" i="35"/>
  <c r="N5" i="35" s="1"/>
  <c r="I19" i="6"/>
  <c r="I7" i="35"/>
  <c r="N7" i="35" s="1"/>
  <c r="I21" i="6"/>
  <c r="I20" i="6"/>
  <c r="I6" i="35"/>
  <c r="N6" i="35" s="1"/>
  <c r="I8" i="35"/>
  <c r="N8" i="35" s="1"/>
  <c r="I22" i="6"/>
  <c r="J4" i="6"/>
  <c r="J5" i="6"/>
  <c r="J8" i="6"/>
  <c r="J7" i="6"/>
  <c r="J6" i="6"/>
  <c r="AQ8" i="22"/>
  <c r="AR8" i="22" s="1"/>
  <c r="AH17" i="22"/>
  <c r="AL9" i="22"/>
  <c r="AN9" i="22" s="1"/>
  <c r="AP9" i="22" s="1"/>
  <c r="M74" i="35"/>
  <c r="M75" i="35" s="1"/>
  <c r="M79" i="35" s="1"/>
  <c r="N60" i="35" s="1"/>
  <c r="M113" i="6"/>
  <c r="M114" i="6" s="1"/>
  <c r="J5" i="35" l="1"/>
  <c r="O5" i="35" s="1"/>
  <c r="J19" i="6"/>
  <c r="J4" i="35"/>
  <c r="J18" i="6"/>
  <c r="J7" i="35"/>
  <c r="O7" i="35" s="1"/>
  <c r="J21" i="6"/>
  <c r="J8" i="35"/>
  <c r="J22" i="6"/>
  <c r="Q8" i="22"/>
  <c r="R8" i="22" s="1"/>
  <c r="L3" i="6"/>
  <c r="K6" i="6"/>
  <c r="K5" i="6"/>
  <c r="K7" i="6"/>
  <c r="K8" i="6"/>
  <c r="K4" i="6"/>
  <c r="J20" i="6"/>
  <c r="J6" i="35"/>
  <c r="O6" i="35" s="1"/>
  <c r="AQ9" i="22"/>
  <c r="AR9" i="22" s="1"/>
  <c r="AH18" i="22"/>
  <c r="J17" i="6" l="1"/>
  <c r="K59" i="35" s="1"/>
  <c r="Q9" i="22"/>
  <c r="R9" i="22" s="1"/>
  <c r="M3" i="6"/>
  <c r="K5" i="35"/>
  <c r="P5" i="35" s="1"/>
  <c r="K19" i="6"/>
  <c r="L4" i="6"/>
  <c r="L8" i="6"/>
  <c r="L5" i="6"/>
  <c r="L7" i="6"/>
  <c r="L6" i="6"/>
  <c r="K4" i="35"/>
  <c r="K18" i="6"/>
  <c r="K22" i="6"/>
  <c r="K8" i="35"/>
  <c r="K21" i="6"/>
  <c r="K7" i="35"/>
  <c r="P7" i="35" s="1"/>
  <c r="K62" i="35"/>
  <c r="K61" i="35"/>
  <c r="K6" i="35"/>
  <c r="P6" i="35" s="1"/>
  <c r="K20" i="6"/>
  <c r="J3" i="35"/>
  <c r="K49" i="35" s="1"/>
  <c r="K50" i="35" s="1"/>
  <c r="I94" i="6"/>
  <c r="I95" i="6"/>
  <c r="I96" i="6"/>
  <c r="I97" i="6"/>
  <c r="G7" i="8"/>
  <c r="F7" i="8"/>
  <c r="E7" i="8"/>
  <c r="E9" i="8" s="1"/>
  <c r="D7" i="8"/>
  <c r="C7" i="8"/>
  <c r="H7" i="8"/>
  <c r="H117" i="6"/>
  <c r="M117" i="6"/>
  <c r="L117" i="6"/>
  <c r="K117" i="6"/>
  <c r="J117" i="6"/>
  <c r="J99" i="6" s="1"/>
  <c r="I117" i="6"/>
  <c r="H58" i="6"/>
  <c r="L7" i="35" l="1"/>
  <c r="Q7" i="35" s="1"/>
  <c r="L21" i="6"/>
  <c r="L18" i="6"/>
  <c r="L4" i="35"/>
  <c r="L19" i="6"/>
  <c r="L5" i="35"/>
  <c r="Q5" i="35" s="1"/>
  <c r="K17" i="6"/>
  <c r="L59" i="35" s="1"/>
  <c r="L22" i="6"/>
  <c r="L8" i="35"/>
  <c r="P4" i="35"/>
  <c r="K3" i="35"/>
  <c r="M5" i="6"/>
  <c r="M7" i="6"/>
  <c r="M4" i="6"/>
  <c r="M6" i="6"/>
  <c r="M8" i="6"/>
  <c r="L6" i="35"/>
  <c r="Q6" i="35" s="1"/>
  <c r="L20" i="6"/>
  <c r="H5" i="27"/>
  <c r="K6" i="8"/>
  <c r="K99" i="6"/>
  <c r="L5" i="27"/>
  <c r="L99" i="6"/>
  <c r="L6" i="8"/>
  <c r="I6" i="8"/>
  <c r="I5" i="27"/>
  <c r="I99" i="6"/>
  <c r="M6" i="8"/>
  <c r="M5" i="27"/>
  <c r="M99" i="6"/>
  <c r="K5" i="27"/>
  <c r="J6" i="8"/>
  <c r="J5" i="27"/>
  <c r="M6" i="35" l="1"/>
  <c r="M20" i="6"/>
  <c r="M21" i="6"/>
  <c r="M7" i="35"/>
  <c r="Q4" i="35"/>
  <c r="L3" i="35"/>
  <c r="L61" i="35"/>
  <c r="L62" i="35"/>
  <c r="L49" i="35"/>
  <c r="L50" i="35" s="1"/>
  <c r="P3" i="35"/>
  <c r="L17" i="6"/>
  <c r="M59" i="35" s="1"/>
  <c r="M4" i="35"/>
  <c r="M18" i="6"/>
  <c r="M19" i="6"/>
  <c r="M5" i="35"/>
  <c r="M8" i="35"/>
  <c r="M22" i="6"/>
  <c r="H6" i="27"/>
  <c r="H41" i="27"/>
  <c r="M50" i="27"/>
  <c r="L50" i="27"/>
  <c r="K50" i="27"/>
  <c r="J50" i="27"/>
  <c r="I50" i="27"/>
  <c r="G36" i="27"/>
  <c r="G29" i="27"/>
  <c r="F29" i="27"/>
  <c r="E29" i="27"/>
  <c r="D29" i="27"/>
  <c r="C29" i="27"/>
  <c r="G23" i="27"/>
  <c r="F23" i="27"/>
  <c r="E23" i="27"/>
  <c r="G21" i="27"/>
  <c r="F21" i="27"/>
  <c r="E21" i="27"/>
  <c r="G20" i="27"/>
  <c r="F20" i="27"/>
  <c r="E20" i="27"/>
  <c r="H12" i="27"/>
  <c r="G8" i="27"/>
  <c r="F8" i="27"/>
  <c r="E8" i="27"/>
  <c r="D8" i="27"/>
  <c r="C8" i="27"/>
  <c r="A16" i="8"/>
  <c r="A26" i="8"/>
  <c r="H27" i="9" l="1"/>
  <c r="K27" i="9" s="1"/>
  <c r="L27" i="9" s="1"/>
  <c r="M27" i="9" s="1"/>
  <c r="M17" i="6"/>
  <c r="N59" i="35" s="1"/>
  <c r="S4" i="35"/>
  <c r="M3" i="35"/>
  <c r="R4" i="35"/>
  <c r="S7" i="35"/>
  <c r="R7" i="35"/>
  <c r="M61" i="35"/>
  <c r="M62" i="35"/>
  <c r="R5" i="35"/>
  <c r="S5" i="35"/>
  <c r="M49" i="35"/>
  <c r="M50" i="35" s="1"/>
  <c r="Q3" i="35"/>
  <c r="R6" i="35"/>
  <c r="S6" i="35"/>
  <c r="H42" i="27"/>
  <c r="I51" i="27"/>
  <c r="H13" i="27"/>
  <c r="J52" i="27"/>
  <c r="J51" i="27"/>
  <c r="I52" i="27"/>
  <c r="N49" i="35" l="1"/>
  <c r="N50" i="35" s="1"/>
  <c r="R3" i="35"/>
  <c r="S3" i="35"/>
  <c r="N61" i="35"/>
  <c r="N62" i="35"/>
  <c r="H54" i="27"/>
  <c r="H55" i="27" s="1"/>
  <c r="K52" i="27"/>
  <c r="K51" i="27"/>
  <c r="L52" i="27" l="1"/>
  <c r="L51" i="27"/>
  <c r="M51" i="27" l="1"/>
  <c r="M52" i="27"/>
  <c r="I42" i="9" l="1"/>
  <c r="J42" i="9" s="1"/>
  <c r="K42" i="9" s="1"/>
  <c r="L42" i="9" s="1"/>
  <c r="M42" i="9" s="1"/>
  <c r="I41" i="9"/>
  <c r="J41" i="9"/>
  <c r="K41" i="9"/>
  <c r="L41" i="9"/>
  <c r="M41" i="9"/>
  <c r="H41" i="9"/>
  <c r="J27" i="8" l="1"/>
  <c r="K27" i="8" s="1"/>
  <c r="L27" i="8" s="1"/>
  <c r="M27" i="8" s="1"/>
  <c r="N27" i="8" s="1"/>
  <c r="O27" i="8" s="1"/>
  <c r="D83" i="6" l="1"/>
  <c r="M81" i="6"/>
  <c r="L81" i="6"/>
  <c r="K81" i="6"/>
  <c r="J81" i="6"/>
  <c r="E95" i="6"/>
  <c r="D93" i="6"/>
  <c r="E93" i="6" s="1"/>
  <c r="D94" i="6" l="1"/>
  <c r="E94" i="6" s="1"/>
  <c r="D96" i="6" l="1"/>
  <c r="E96" i="6" s="1"/>
  <c r="H18" i="22" l="1"/>
  <c r="C19" i="22"/>
  <c r="C22" i="22" s="1"/>
  <c r="S89" i="6"/>
  <c r="R89" i="6"/>
  <c r="Q89" i="6"/>
  <c r="O89" i="6"/>
  <c r="N99" i="6"/>
  <c r="N102" i="6"/>
  <c r="N98" i="6"/>
  <c r="Q8" i="8"/>
  <c r="R8" i="8" s="1"/>
  <c r="M97" i="6"/>
  <c r="L97" i="6"/>
  <c r="K97" i="6"/>
  <c r="J97" i="6"/>
  <c r="M96" i="6"/>
  <c r="L96" i="6"/>
  <c r="K96" i="6"/>
  <c r="J96" i="6"/>
  <c r="M95" i="6"/>
  <c r="L95" i="6"/>
  <c r="K95" i="6"/>
  <c r="J95" i="6"/>
  <c r="M94" i="6"/>
  <c r="L94" i="6"/>
  <c r="K94" i="6"/>
  <c r="J94" i="6"/>
  <c r="H86" i="6"/>
  <c r="N97" i="6" s="1"/>
  <c r="H85" i="6"/>
  <c r="N96" i="6" s="1"/>
  <c r="H84" i="6"/>
  <c r="N95" i="6" s="1"/>
  <c r="H83" i="6"/>
  <c r="N94" i="6" s="1"/>
  <c r="E87" i="6"/>
  <c r="B87" i="6"/>
  <c r="A87" i="6"/>
  <c r="D87" i="6"/>
  <c r="C86" i="6"/>
  <c r="C85" i="6"/>
  <c r="C84" i="6"/>
  <c r="C83" i="6"/>
  <c r="M87" i="6"/>
  <c r="M44" i="6" s="1"/>
  <c r="L87" i="6"/>
  <c r="L44" i="6" s="1"/>
  <c r="K87" i="6"/>
  <c r="K44" i="6" s="1"/>
  <c r="J87" i="6"/>
  <c r="J44" i="6" s="1"/>
  <c r="I87" i="6"/>
  <c r="I44" i="6" s="1"/>
  <c r="I47" i="6" l="1"/>
  <c r="I48" i="6"/>
  <c r="I46" i="6"/>
  <c r="I49" i="6"/>
  <c r="M45" i="6"/>
  <c r="M49" i="6"/>
  <c r="M48" i="6"/>
  <c r="M46" i="6"/>
  <c r="M47" i="6"/>
  <c r="J45" i="6"/>
  <c r="J48" i="6"/>
  <c r="J47" i="6"/>
  <c r="J46" i="6"/>
  <c r="J49" i="6"/>
  <c r="L46" i="6"/>
  <c r="L49" i="6"/>
  <c r="L47" i="6"/>
  <c r="L48" i="6"/>
  <c r="L45" i="6"/>
  <c r="K45" i="6"/>
  <c r="K49" i="6"/>
  <c r="K46" i="6"/>
  <c r="K47" i="6"/>
  <c r="K48" i="6"/>
  <c r="N100" i="6"/>
  <c r="H100" i="6" s="1"/>
  <c r="N84" i="6"/>
  <c r="N83" i="6"/>
  <c r="P83" i="6" s="1"/>
  <c r="N85" i="6"/>
  <c r="P85" i="6" s="1"/>
  <c r="N86" i="6"/>
  <c r="P86" i="6" s="1"/>
  <c r="N101" i="6"/>
  <c r="C87" i="6"/>
  <c r="H87" i="6"/>
  <c r="H89" i="6" s="1"/>
  <c r="I21" i="35" l="1"/>
  <c r="I28" i="35" s="1"/>
  <c r="I67" i="6"/>
  <c r="I60" i="6"/>
  <c r="I62" i="6"/>
  <c r="I23" i="35"/>
  <c r="I30" i="35" s="1"/>
  <c r="I37" i="35" s="1"/>
  <c r="I69" i="6"/>
  <c r="I22" i="35"/>
  <c r="I29" i="35" s="1"/>
  <c r="I61" i="6"/>
  <c r="I68" i="6"/>
  <c r="I20" i="35"/>
  <c r="I66" i="6"/>
  <c r="I59" i="6"/>
  <c r="K65" i="6"/>
  <c r="K19" i="35"/>
  <c r="K58" i="6"/>
  <c r="L19" i="35"/>
  <c r="L65" i="6"/>
  <c r="L58" i="6"/>
  <c r="L61" i="6"/>
  <c r="L22" i="35"/>
  <c r="L29" i="35" s="1"/>
  <c r="L68" i="6"/>
  <c r="M67" i="6"/>
  <c r="M21" i="35"/>
  <c r="M60" i="6"/>
  <c r="L62" i="6"/>
  <c r="L69" i="6"/>
  <c r="L23" i="35"/>
  <c r="L30" i="35" s="1"/>
  <c r="L37" i="35" s="1"/>
  <c r="M61" i="6"/>
  <c r="M68" i="6"/>
  <c r="M22" i="35"/>
  <c r="L67" i="6"/>
  <c r="L21" i="35"/>
  <c r="L28" i="35" s="1"/>
  <c r="L60" i="6"/>
  <c r="K59" i="6"/>
  <c r="K66" i="6"/>
  <c r="K20" i="35"/>
  <c r="J62" i="6"/>
  <c r="J69" i="6"/>
  <c r="J23" i="35"/>
  <c r="J30" i="35" s="1"/>
  <c r="J37" i="35" s="1"/>
  <c r="M62" i="6"/>
  <c r="M69" i="6"/>
  <c r="M23" i="35"/>
  <c r="J60" i="6"/>
  <c r="J67" i="6"/>
  <c r="J21" i="35"/>
  <c r="J28" i="35" s="1"/>
  <c r="J68" i="6"/>
  <c r="J22" i="35"/>
  <c r="J29" i="35" s="1"/>
  <c r="J61" i="6"/>
  <c r="J65" i="6"/>
  <c r="J19" i="35"/>
  <c r="J58" i="6"/>
  <c r="K22" i="35"/>
  <c r="K29" i="35" s="1"/>
  <c r="K68" i="6"/>
  <c r="K61" i="6"/>
  <c r="M59" i="6"/>
  <c r="M66" i="6"/>
  <c r="M20" i="35"/>
  <c r="K60" i="6"/>
  <c r="K67" i="6"/>
  <c r="K21" i="35"/>
  <c r="K28" i="35" s="1"/>
  <c r="L59" i="6"/>
  <c r="L66" i="6"/>
  <c r="L20" i="35"/>
  <c r="K62" i="6"/>
  <c r="K69" i="6"/>
  <c r="K23" i="35"/>
  <c r="K30" i="35" s="1"/>
  <c r="K37" i="35" s="1"/>
  <c r="J20" i="35"/>
  <c r="J59" i="6"/>
  <c r="J66" i="6"/>
  <c r="M58" i="6"/>
  <c r="M19" i="35"/>
  <c r="M65" i="6"/>
  <c r="P84" i="6"/>
  <c r="I81" i="6"/>
  <c r="N87" i="6"/>
  <c r="P87" i="6" s="1"/>
  <c r="P89" i="6" s="1"/>
  <c r="H101" i="6"/>
  <c r="N103" i="6"/>
  <c r="N104" i="6" s="1"/>
  <c r="I36" i="35" l="1"/>
  <c r="N29" i="35"/>
  <c r="N20" i="35"/>
  <c r="I27" i="35"/>
  <c r="I35" i="35"/>
  <c r="N28" i="35"/>
  <c r="K64" i="6"/>
  <c r="J64" i="6"/>
  <c r="L64" i="6"/>
  <c r="M64" i="6"/>
  <c r="J26" i="35"/>
  <c r="J33" i="35" s="1"/>
  <c r="J18" i="35"/>
  <c r="J27" i="35"/>
  <c r="J34" i="35" s="1"/>
  <c r="O20" i="35"/>
  <c r="K27" i="35"/>
  <c r="P20" i="35"/>
  <c r="M30" i="35"/>
  <c r="M37" i="35" s="1"/>
  <c r="S23" i="35"/>
  <c r="L35" i="35"/>
  <c r="Q28" i="35"/>
  <c r="L26" i="35"/>
  <c r="L33" i="35" s="1"/>
  <c r="L18" i="35"/>
  <c r="L36" i="35"/>
  <c r="Q29" i="35"/>
  <c r="M26" i="35"/>
  <c r="S19" i="35"/>
  <c r="M18" i="35"/>
  <c r="Q20" i="35"/>
  <c r="L27" i="35"/>
  <c r="J36" i="35"/>
  <c r="O29" i="35"/>
  <c r="M28" i="35"/>
  <c r="S21" i="35"/>
  <c r="K36" i="35"/>
  <c r="P29" i="35"/>
  <c r="S20" i="35"/>
  <c r="R20" i="35"/>
  <c r="M27" i="35"/>
  <c r="M34" i="35" s="1"/>
  <c r="M29" i="35"/>
  <c r="S22" i="35"/>
  <c r="K26" i="35"/>
  <c r="K33" i="35" s="1"/>
  <c r="K18" i="35"/>
  <c r="K35" i="35"/>
  <c r="P28" i="35"/>
  <c r="J35" i="35"/>
  <c r="O28" i="35"/>
  <c r="N89" i="6"/>
  <c r="D18" i="22"/>
  <c r="E18" i="22" s="1"/>
  <c r="D17" i="22"/>
  <c r="E17" i="22" s="1"/>
  <c r="D16" i="22"/>
  <c r="E16" i="22" s="1"/>
  <c r="D15" i="22"/>
  <c r="E15" i="22" s="1"/>
  <c r="D14" i="22"/>
  <c r="E14" i="22" s="1"/>
  <c r="J13" i="22"/>
  <c r="F13" i="22"/>
  <c r="I13" i="22" s="1"/>
  <c r="E5" i="22"/>
  <c r="C5" i="22"/>
  <c r="K4" i="22"/>
  <c r="F4" i="22"/>
  <c r="H4" i="22" s="1"/>
  <c r="J4" i="22" s="1"/>
  <c r="I34" i="35" l="1"/>
  <c r="N27" i="35"/>
  <c r="J25" i="35"/>
  <c r="J32" i="35" s="1"/>
  <c r="O27" i="35"/>
  <c r="K34" i="35"/>
  <c r="P27" i="35"/>
  <c r="M36" i="35"/>
  <c r="R29" i="35"/>
  <c r="S29" i="35"/>
  <c r="L34" i="35"/>
  <c r="Q27" i="35"/>
  <c r="R27" i="35"/>
  <c r="S27" i="35"/>
  <c r="P18" i="35"/>
  <c r="L25" i="35"/>
  <c r="Q26" i="35"/>
  <c r="R18" i="35"/>
  <c r="S18" i="35"/>
  <c r="Q18" i="35"/>
  <c r="K25" i="35"/>
  <c r="P26" i="35"/>
  <c r="M35" i="35"/>
  <c r="S28" i="35"/>
  <c r="R28" i="35"/>
  <c r="M33" i="35"/>
  <c r="M25" i="35"/>
  <c r="M32" i="35" s="1"/>
  <c r="R26" i="35"/>
  <c r="S26" i="35"/>
  <c r="K13" i="22"/>
  <c r="M13" i="22" s="1"/>
  <c r="N13" i="22" s="1"/>
  <c r="L4" i="22" s="1"/>
  <c r="E6" i="22"/>
  <c r="E7" i="22" s="1"/>
  <c r="H14" i="22"/>
  <c r="K5" i="22"/>
  <c r="F5" i="22"/>
  <c r="H5" i="22" s="1"/>
  <c r="J5" i="22" s="1"/>
  <c r="F14" i="22"/>
  <c r="C6" i="22"/>
  <c r="P25" i="35" l="1"/>
  <c r="Q25" i="35"/>
  <c r="K32" i="35"/>
  <c r="S25" i="35"/>
  <c r="R25" i="35"/>
  <c r="L32" i="35"/>
  <c r="H15" i="22"/>
  <c r="H16" i="22"/>
  <c r="E8" i="22"/>
  <c r="C7" i="22"/>
  <c r="F6" i="22"/>
  <c r="H6" i="22" s="1"/>
  <c r="J6" i="22" s="1"/>
  <c r="I14" i="22"/>
  <c r="K14" i="22" s="1"/>
  <c r="F15" i="22"/>
  <c r="K6" i="22"/>
  <c r="H17" i="22" l="1"/>
  <c r="M14" i="22"/>
  <c r="N14" i="22" s="1"/>
  <c r="L5" i="22" s="1"/>
  <c r="N5" i="22" s="1"/>
  <c r="F16" i="22"/>
  <c r="I15" i="22"/>
  <c r="K15" i="22" s="1"/>
  <c r="K7" i="22"/>
  <c r="F7" i="22"/>
  <c r="H7" i="22" s="1"/>
  <c r="J7" i="22" s="1"/>
  <c r="C8" i="22"/>
  <c r="M15" i="22" l="1"/>
  <c r="N15" i="22" s="1"/>
  <c r="L6" i="22" s="1"/>
  <c r="N6" i="22" s="1"/>
  <c r="F8" i="22"/>
  <c r="H8" i="22" s="1"/>
  <c r="J8" i="22" s="1"/>
  <c r="C9" i="22"/>
  <c r="F9" i="22" s="1"/>
  <c r="K8" i="22"/>
  <c r="I16" i="22"/>
  <c r="K16" i="22" s="1"/>
  <c r="F17" i="22"/>
  <c r="M16" i="22" l="1"/>
  <c r="N16" i="22" s="1"/>
  <c r="L7" i="22" s="1"/>
  <c r="N7" i="22" s="1"/>
  <c r="H9" i="22"/>
  <c r="J9" i="22" s="1"/>
  <c r="I17" i="22"/>
  <c r="K17" i="22" s="1"/>
  <c r="F18" i="22"/>
  <c r="I18" i="22" s="1"/>
  <c r="K18" i="22" s="1"/>
  <c r="K9" i="22"/>
  <c r="M18" i="22" l="1"/>
  <c r="N18" i="22" s="1"/>
  <c r="L9" i="22" s="1"/>
  <c r="N9" i="22" s="1"/>
  <c r="M17" i="22"/>
  <c r="N17" i="22" s="1"/>
  <c r="L8" i="22" s="1"/>
  <c r="N8" i="22" s="1"/>
  <c r="H33" i="8" l="1"/>
  <c r="I33" i="8" s="1"/>
  <c r="J33" i="8" s="1"/>
  <c r="K33" i="8" s="1"/>
  <c r="L33" i="8" s="1"/>
  <c r="M33" i="8" s="1"/>
  <c r="N33" i="8" s="1"/>
  <c r="O33" i="8" s="1"/>
  <c r="J32" i="8"/>
  <c r="K32" i="8" s="1"/>
  <c r="L32" i="8" s="1"/>
  <c r="M32" i="8" s="1"/>
  <c r="N32" i="8" s="1"/>
  <c r="O32" i="8" s="1"/>
  <c r="J26" i="8"/>
  <c r="K26" i="8" s="1"/>
  <c r="L26" i="8" s="1"/>
  <c r="M26" i="8" s="1"/>
  <c r="N26" i="8" s="1"/>
  <c r="O26" i="8" s="1"/>
  <c r="H36" i="10" l="1"/>
  <c r="H37" i="10" s="1"/>
  <c r="H38" i="10" s="1"/>
  <c r="H39" i="10" s="1"/>
  <c r="H40" i="10" s="1"/>
  <c r="H41" i="10" s="1"/>
  <c r="F41" i="10"/>
  <c r="F40" i="10"/>
  <c r="F39" i="10"/>
  <c r="F38" i="10"/>
  <c r="F37" i="10"/>
  <c r="G37" i="10" s="1"/>
  <c r="H27" i="10"/>
  <c r="E28" i="10"/>
  <c r="U3" i="8"/>
  <c r="T3" i="8"/>
  <c r="S3" i="8"/>
  <c r="R3" i="8"/>
  <c r="Q3" i="8"/>
  <c r="G38" i="10" l="1"/>
  <c r="G39" i="10" s="1"/>
  <c r="G40" i="10" s="1"/>
  <c r="G41" i="10" s="1"/>
  <c r="H28" i="10"/>
  <c r="K36" i="10"/>
  <c r="K37" i="10"/>
  <c r="T22" i="10" l="1"/>
  <c r="S22" i="10"/>
  <c r="R22" i="10"/>
  <c r="Q22" i="10"/>
  <c r="T21" i="10"/>
  <c r="S21" i="10"/>
  <c r="R21" i="10"/>
  <c r="Q21" i="10"/>
  <c r="T20" i="10"/>
  <c r="S20" i="10"/>
  <c r="R20" i="10"/>
  <c r="Q20" i="10"/>
  <c r="N20" i="10"/>
  <c r="M20" i="10"/>
  <c r="L20" i="10"/>
  <c r="K20" i="10"/>
  <c r="N22" i="10"/>
  <c r="M22" i="10"/>
  <c r="L22" i="10"/>
  <c r="N21" i="10"/>
  <c r="M21" i="10"/>
  <c r="L21" i="10"/>
  <c r="K21" i="10"/>
  <c r="K22" i="10"/>
  <c r="I5" i="9" l="1"/>
  <c r="J5" i="9" s="1"/>
  <c r="K5" i="9" s="1"/>
  <c r="L5" i="9" s="1"/>
  <c r="M5" i="9" s="1"/>
  <c r="G37" i="9" l="1"/>
  <c r="H49" i="8" l="1"/>
  <c r="I14" i="9" l="1"/>
  <c r="J14" i="9" s="1"/>
  <c r="K14" i="9" s="1"/>
  <c r="L14" i="9" s="1"/>
  <c r="M14" i="9" s="1"/>
  <c r="I13" i="9"/>
  <c r="J13" i="9" s="1"/>
  <c r="K13" i="9" s="1"/>
  <c r="L13" i="9" s="1"/>
  <c r="M13" i="9" s="1"/>
  <c r="L11" i="10" l="1"/>
  <c r="M11" i="10"/>
  <c r="N11" i="10"/>
  <c r="K11" i="10"/>
  <c r="L5" i="10"/>
  <c r="M5" i="10"/>
  <c r="N5" i="10"/>
  <c r="K5" i="10"/>
  <c r="AB6" i="10"/>
  <c r="AB7" i="10"/>
  <c r="AB8" i="10"/>
  <c r="AB9" i="10"/>
  <c r="AB10" i="10"/>
  <c r="O6" i="10"/>
  <c r="AA6" i="10" s="1"/>
  <c r="O7" i="10"/>
  <c r="AA7" i="10" s="1"/>
  <c r="O8" i="10"/>
  <c r="AA8" i="10" s="1"/>
  <c r="O9" i="10"/>
  <c r="AA9" i="10" s="1"/>
  <c r="O10" i="10"/>
  <c r="O4" i="10"/>
  <c r="AA4" i="10" s="1"/>
  <c r="AB4" i="10"/>
  <c r="V6" i="10"/>
  <c r="V7" i="10"/>
  <c r="V8" i="10"/>
  <c r="V9" i="10"/>
  <c r="V10" i="10"/>
  <c r="V4" i="10"/>
  <c r="W13" i="10"/>
  <c r="X13" i="10"/>
  <c r="Y13" i="10"/>
  <c r="W14" i="10"/>
  <c r="X14" i="10"/>
  <c r="Y14" i="10"/>
  <c r="W15" i="10"/>
  <c r="X15" i="10"/>
  <c r="Y15" i="10"/>
  <c r="W16" i="10"/>
  <c r="X16" i="10"/>
  <c r="Y16" i="10"/>
  <c r="W6" i="10"/>
  <c r="X6" i="10"/>
  <c r="Y6" i="10"/>
  <c r="Z6" i="10"/>
  <c r="W7" i="10"/>
  <c r="X7" i="10"/>
  <c r="Y7" i="10"/>
  <c r="Z7" i="10"/>
  <c r="W8" i="10"/>
  <c r="X8" i="10"/>
  <c r="Y8" i="10"/>
  <c r="Z8" i="10"/>
  <c r="W9" i="10"/>
  <c r="X9" i="10"/>
  <c r="Y9" i="10"/>
  <c r="Z9" i="10"/>
  <c r="W10" i="10"/>
  <c r="X10" i="10"/>
  <c r="Y10" i="10"/>
  <c r="Z10" i="10"/>
  <c r="W12" i="10"/>
  <c r="X12" i="10"/>
  <c r="Y12" i="10"/>
  <c r="X4" i="10"/>
  <c r="Y4" i="10"/>
  <c r="Z4" i="10"/>
  <c r="W4" i="10"/>
  <c r="AA10" i="10" l="1"/>
  <c r="I27" i="10" s="1"/>
  <c r="O11" i="10"/>
  <c r="O5" i="10"/>
  <c r="I28" i="10" l="1"/>
  <c r="L36" i="10"/>
  <c r="M36" i="10" s="1"/>
  <c r="O36" i="10" s="1"/>
  <c r="P36" i="10" s="1"/>
  <c r="J27" i="10"/>
  <c r="L27" i="10" s="1"/>
  <c r="I59" i="8"/>
  <c r="J59" i="8"/>
  <c r="K59" i="8"/>
  <c r="L59" i="8"/>
  <c r="M59" i="8"/>
  <c r="H59" i="8"/>
  <c r="H60" i="8" s="1"/>
  <c r="I41" i="27" l="1"/>
  <c r="I43" i="27" s="1"/>
  <c r="I48" i="27"/>
  <c r="J14" i="27"/>
  <c r="M61" i="8"/>
  <c r="I61" i="8"/>
  <c r="J61" i="8"/>
  <c r="L61" i="8"/>
  <c r="K61" i="8"/>
  <c r="L37" i="10"/>
  <c r="M37" i="10" s="1"/>
  <c r="O37" i="10" s="1"/>
  <c r="P37" i="10" s="1"/>
  <c r="I29" i="10"/>
  <c r="J28" i="10"/>
  <c r="Q32" i="8"/>
  <c r="J65" i="8"/>
  <c r="K65" i="8"/>
  <c r="L65" i="8"/>
  <c r="M65" i="8"/>
  <c r="J66" i="8"/>
  <c r="K66" i="8"/>
  <c r="L66" i="8"/>
  <c r="M66" i="8"/>
  <c r="J67" i="8"/>
  <c r="K67" i="8"/>
  <c r="L67" i="8"/>
  <c r="M67" i="8"/>
  <c r="J68" i="8"/>
  <c r="K68" i="8"/>
  <c r="L68" i="8"/>
  <c r="M68" i="8"/>
  <c r="J69" i="8"/>
  <c r="K69" i="8"/>
  <c r="L69" i="8"/>
  <c r="M69" i="8"/>
  <c r="J70" i="8"/>
  <c r="K70" i="8"/>
  <c r="L70" i="8"/>
  <c r="M70" i="8"/>
  <c r="I70" i="8"/>
  <c r="I69" i="8"/>
  <c r="I67" i="8"/>
  <c r="I68" i="8"/>
  <c r="I66" i="8"/>
  <c r="I65" i="8"/>
  <c r="J41" i="27" l="1"/>
  <c r="J43" i="27" s="1"/>
  <c r="J48" i="27"/>
  <c r="K14" i="27"/>
  <c r="L38" i="10"/>
  <c r="I30" i="10"/>
  <c r="K41" i="27" l="1"/>
  <c r="K43" i="27" s="1"/>
  <c r="L14" i="27"/>
  <c r="K48" i="27"/>
  <c r="L39" i="10"/>
  <c r="I31" i="10"/>
  <c r="L41" i="27" l="1"/>
  <c r="L43" i="27" s="1"/>
  <c r="L48" i="27"/>
  <c r="M14" i="27"/>
  <c r="L40" i="10"/>
  <c r="I32" i="10"/>
  <c r="M41" i="27" l="1"/>
  <c r="M43" i="27" s="1"/>
  <c r="M48" i="27"/>
  <c r="L41" i="10"/>
  <c r="L28" i="10"/>
  <c r="E29" i="10"/>
  <c r="T16" i="10"/>
  <c r="T15" i="10"/>
  <c r="T14" i="10"/>
  <c r="T13" i="10"/>
  <c r="T12" i="10"/>
  <c r="N16" i="10"/>
  <c r="O16" i="10" s="1"/>
  <c r="N15" i="10"/>
  <c r="O15" i="10" s="1"/>
  <c r="N14" i="10"/>
  <c r="O14" i="10" s="1"/>
  <c r="N13" i="10"/>
  <c r="O13" i="10" s="1"/>
  <c r="N12" i="10"/>
  <c r="O12" i="10" s="1"/>
  <c r="F16" i="10"/>
  <c r="F15" i="10"/>
  <c r="F14" i="10"/>
  <c r="F13" i="10"/>
  <c r="P12" i="10" l="1"/>
  <c r="G12" i="10" s="1"/>
  <c r="H12" i="10" s="1"/>
  <c r="H29" i="10"/>
  <c r="J29" i="10" s="1"/>
  <c r="L29" i="10" s="1"/>
  <c r="K38" i="10"/>
  <c r="M38" i="10" s="1"/>
  <c r="O38" i="10" s="1"/>
  <c r="P38" i="10" s="1"/>
  <c r="E30" i="10"/>
  <c r="Z13" i="10"/>
  <c r="Z14" i="10"/>
  <c r="U12" i="10"/>
  <c r="Z12" i="10"/>
  <c r="Z15" i="10"/>
  <c r="Z16" i="10"/>
  <c r="H13" i="10"/>
  <c r="K39" i="10" l="1"/>
  <c r="M39" i="10" s="1"/>
  <c r="O39" i="10" s="1"/>
  <c r="P39" i="10" s="1"/>
  <c r="H30" i="10"/>
  <c r="J30" i="10" s="1"/>
  <c r="L30" i="10" s="1"/>
  <c r="E31" i="10"/>
  <c r="V12" i="10"/>
  <c r="AB12" i="10"/>
  <c r="AA12" i="10"/>
  <c r="I12" i="10"/>
  <c r="F12" i="10" s="1"/>
  <c r="E10" i="10"/>
  <c r="D10" i="10" s="1"/>
  <c r="E9" i="10"/>
  <c r="D9" i="10" s="1"/>
  <c r="E8" i="10"/>
  <c r="D8" i="10" s="1"/>
  <c r="E7" i="10"/>
  <c r="D7" i="10" s="1"/>
  <c r="E6" i="10"/>
  <c r="D6" i="10" s="1"/>
  <c r="E4" i="10"/>
  <c r="D4" i="10" s="1"/>
  <c r="C16" i="10"/>
  <c r="C15" i="10"/>
  <c r="C14" i="10"/>
  <c r="C13" i="10"/>
  <c r="C12" i="10"/>
  <c r="K40" i="10" l="1"/>
  <c r="M40" i="10" s="1"/>
  <c r="O40" i="10" s="1"/>
  <c r="P40" i="10" s="1"/>
  <c r="H31" i="10"/>
  <c r="J31" i="10" s="1"/>
  <c r="E32" i="10"/>
  <c r="L31" i="10"/>
  <c r="M73" i="6"/>
  <c r="L73" i="6"/>
  <c r="K73" i="6"/>
  <c r="J73" i="6"/>
  <c r="H44" i="6"/>
  <c r="G44" i="6"/>
  <c r="G73" i="6" s="1"/>
  <c r="F44" i="6"/>
  <c r="F73" i="6" s="1"/>
  <c r="E44" i="6"/>
  <c r="E73" i="6" s="1"/>
  <c r="D44" i="6"/>
  <c r="D73" i="6" s="1"/>
  <c r="C44" i="6"/>
  <c r="C73" i="6" s="1"/>
  <c r="M24" i="6"/>
  <c r="M72" i="6" s="1"/>
  <c r="L24" i="6"/>
  <c r="L72" i="6" s="1"/>
  <c r="K24" i="6"/>
  <c r="K72" i="6" s="1"/>
  <c r="J24" i="6"/>
  <c r="J72" i="6" s="1"/>
  <c r="I24" i="6"/>
  <c r="I72" i="6" s="1"/>
  <c r="H24" i="6"/>
  <c r="H72" i="6" s="1"/>
  <c r="G24" i="6"/>
  <c r="G72" i="6" s="1"/>
  <c r="F24" i="6"/>
  <c r="F72" i="6" s="1"/>
  <c r="E24" i="6"/>
  <c r="E72" i="6" s="1"/>
  <c r="D24" i="6"/>
  <c r="D72" i="6" s="1"/>
  <c r="C24" i="6"/>
  <c r="C72" i="6" s="1"/>
  <c r="M71" i="6"/>
  <c r="L71" i="6"/>
  <c r="K71" i="6"/>
  <c r="J71" i="6"/>
  <c r="H3" i="6"/>
  <c r="H71" i="6" s="1"/>
  <c r="G3" i="6"/>
  <c r="G71" i="6" s="1"/>
  <c r="F3" i="6"/>
  <c r="F71" i="6" s="1"/>
  <c r="E3" i="6"/>
  <c r="E71" i="6" s="1"/>
  <c r="D3" i="6"/>
  <c r="D71" i="6" s="1"/>
  <c r="C3" i="6"/>
  <c r="C71" i="6" s="1"/>
  <c r="G47" i="8"/>
  <c r="F47" i="8"/>
  <c r="E47" i="8"/>
  <c r="D47" i="8"/>
  <c r="C47" i="8"/>
  <c r="J74" i="6" l="1"/>
  <c r="F74" i="6"/>
  <c r="C74" i="6"/>
  <c r="K74" i="6"/>
  <c r="D74" i="6"/>
  <c r="L74" i="6"/>
  <c r="G74" i="6"/>
  <c r="E74" i="6"/>
  <c r="M74" i="6"/>
  <c r="F87" i="6"/>
  <c r="H73" i="6"/>
  <c r="H74" i="6" s="1"/>
  <c r="M88" i="6"/>
  <c r="M89" i="6" s="1"/>
  <c r="M4" i="27"/>
  <c r="J88" i="6"/>
  <c r="J89" i="6" s="1"/>
  <c r="J4" i="27"/>
  <c r="L88" i="6"/>
  <c r="L89" i="6" s="1"/>
  <c r="L4" i="27"/>
  <c r="K88" i="6"/>
  <c r="K89" i="6" s="1"/>
  <c r="K4" i="27"/>
  <c r="K41" i="10"/>
  <c r="M41" i="10" s="1"/>
  <c r="O41" i="10" s="1"/>
  <c r="P41" i="10" s="1"/>
  <c r="H32" i="10"/>
  <c r="J32" i="10" s="1"/>
  <c r="L32" i="10" s="1"/>
  <c r="H16" i="10"/>
  <c r="H15" i="10"/>
  <c r="H14" i="10"/>
  <c r="U16" i="10"/>
  <c r="U15" i="10"/>
  <c r="U14" i="10"/>
  <c r="U13" i="10"/>
  <c r="P16" i="10"/>
  <c r="P15" i="10"/>
  <c r="P14" i="10"/>
  <c r="P13" i="10"/>
  <c r="L49" i="27" l="1"/>
  <c r="M49" i="27"/>
  <c r="K49" i="27"/>
  <c r="K5" i="8"/>
  <c r="K6" i="27"/>
  <c r="L5" i="8"/>
  <c r="L6" i="27"/>
  <c r="M5" i="8"/>
  <c r="M6" i="27"/>
  <c r="J5" i="8"/>
  <c r="J6" i="27"/>
  <c r="V14" i="10"/>
  <c r="AA14" i="10"/>
  <c r="AB14" i="10"/>
  <c r="V16" i="10"/>
  <c r="AB16" i="10"/>
  <c r="AA16" i="10"/>
  <c r="V13" i="10"/>
  <c r="AA13" i="10"/>
  <c r="AB13" i="10"/>
  <c r="V15" i="10"/>
  <c r="AA15" i="10"/>
  <c r="AB15" i="10"/>
  <c r="I13" i="10"/>
  <c r="I14" i="10"/>
  <c r="I15" i="10"/>
  <c r="I16" i="10"/>
  <c r="C53" i="12"/>
  <c r="B53" i="12"/>
  <c r="A51" i="12"/>
  <c r="A47" i="12"/>
  <c r="C34" i="12"/>
  <c r="D34" i="12" s="1"/>
  <c r="E34" i="12" s="1"/>
  <c r="F34" i="12" s="1"/>
  <c r="G34" i="12" s="1"/>
  <c r="H34" i="12" s="1"/>
  <c r="I34" i="12" s="1"/>
  <c r="J34" i="12" s="1"/>
  <c r="K34" i="12" s="1"/>
  <c r="L34" i="12" s="1"/>
  <c r="M34" i="12" s="1"/>
  <c r="N34" i="12" s="1"/>
  <c r="O34" i="12" s="1"/>
  <c r="P34" i="12" s="1"/>
  <c r="Q34" i="12" s="1"/>
  <c r="R34" i="12" s="1"/>
  <c r="S34" i="12" s="1"/>
  <c r="T34" i="12" s="1"/>
  <c r="U34" i="12" s="1"/>
  <c r="V34" i="12" s="1"/>
  <c r="W34" i="12" s="1"/>
  <c r="B34" i="12"/>
  <c r="A34" i="12"/>
  <c r="A52" i="12" s="1"/>
  <c r="C33" i="12"/>
  <c r="D33" i="12" s="1"/>
  <c r="E33" i="12" s="1"/>
  <c r="F33" i="12" s="1"/>
  <c r="G33" i="12" s="1"/>
  <c r="H33" i="12" s="1"/>
  <c r="I33" i="12" s="1"/>
  <c r="J33" i="12" s="1"/>
  <c r="K33" i="12" s="1"/>
  <c r="L33" i="12" s="1"/>
  <c r="M33" i="12" s="1"/>
  <c r="N33" i="12" s="1"/>
  <c r="O33" i="12" s="1"/>
  <c r="P33" i="12" s="1"/>
  <c r="Q33" i="12" s="1"/>
  <c r="R33" i="12" s="1"/>
  <c r="S33" i="12" s="1"/>
  <c r="T33" i="12" s="1"/>
  <c r="U33" i="12" s="1"/>
  <c r="V33" i="12" s="1"/>
  <c r="W33" i="12" s="1"/>
  <c r="B33" i="12"/>
  <c r="C32" i="12"/>
  <c r="D32" i="12" s="1"/>
  <c r="E32" i="12" s="1"/>
  <c r="F32" i="12" s="1"/>
  <c r="G32" i="12" s="1"/>
  <c r="H32" i="12" s="1"/>
  <c r="I32" i="12" s="1"/>
  <c r="J32" i="12" s="1"/>
  <c r="K32" i="12" s="1"/>
  <c r="L32" i="12" s="1"/>
  <c r="M32" i="12" s="1"/>
  <c r="N32" i="12" s="1"/>
  <c r="O32" i="12" s="1"/>
  <c r="P32" i="12" s="1"/>
  <c r="Q32" i="12" s="1"/>
  <c r="R32" i="12" s="1"/>
  <c r="S32" i="12" s="1"/>
  <c r="T32" i="12" s="1"/>
  <c r="U32" i="12" s="1"/>
  <c r="V32" i="12" s="1"/>
  <c r="W32" i="12" s="1"/>
  <c r="B32" i="12"/>
  <c r="A32" i="12"/>
  <c r="A50" i="12" s="1"/>
  <c r="C31" i="12"/>
  <c r="D31" i="12" s="1"/>
  <c r="E31" i="12" s="1"/>
  <c r="F31" i="12" s="1"/>
  <c r="G31" i="12" s="1"/>
  <c r="H31" i="12" s="1"/>
  <c r="I31" i="12" s="1"/>
  <c r="J31" i="12" s="1"/>
  <c r="K31" i="12" s="1"/>
  <c r="L31" i="12" s="1"/>
  <c r="M31" i="12" s="1"/>
  <c r="N31" i="12" s="1"/>
  <c r="O31" i="12" s="1"/>
  <c r="P31" i="12" s="1"/>
  <c r="Q31" i="12" s="1"/>
  <c r="R31" i="12" s="1"/>
  <c r="S31" i="12" s="1"/>
  <c r="T31" i="12" s="1"/>
  <c r="U31" i="12" s="1"/>
  <c r="V31" i="12" s="1"/>
  <c r="W31" i="12" s="1"/>
  <c r="B31" i="12"/>
  <c r="A31" i="12"/>
  <c r="A49" i="12" s="1"/>
  <c r="C30" i="12"/>
  <c r="D30" i="12" s="1"/>
  <c r="E30" i="12" s="1"/>
  <c r="F30" i="12" s="1"/>
  <c r="G30" i="12" s="1"/>
  <c r="H30" i="12" s="1"/>
  <c r="I30" i="12" s="1"/>
  <c r="J30" i="12" s="1"/>
  <c r="K30" i="12" s="1"/>
  <c r="L30" i="12" s="1"/>
  <c r="M30" i="12" s="1"/>
  <c r="N30" i="12" s="1"/>
  <c r="O30" i="12" s="1"/>
  <c r="P30" i="12" s="1"/>
  <c r="Q30" i="12" s="1"/>
  <c r="R30" i="12" s="1"/>
  <c r="S30" i="12" s="1"/>
  <c r="T30" i="12" s="1"/>
  <c r="U30" i="12" s="1"/>
  <c r="V30" i="12" s="1"/>
  <c r="W30" i="12" s="1"/>
  <c r="B30" i="12"/>
  <c r="A30" i="12"/>
  <c r="A48" i="12" s="1"/>
  <c r="C29" i="12"/>
  <c r="D29" i="12" s="1"/>
  <c r="E29" i="12" s="1"/>
  <c r="F29" i="12" s="1"/>
  <c r="G29" i="12" s="1"/>
  <c r="H29" i="12" s="1"/>
  <c r="I29" i="12" s="1"/>
  <c r="J29" i="12" s="1"/>
  <c r="B29" i="12"/>
  <c r="C28" i="12"/>
  <c r="D28" i="12" s="1"/>
  <c r="E28" i="12" s="1"/>
  <c r="F28" i="12" s="1"/>
  <c r="G28" i="12" s="1"/>
  <c r="H28" i="12" s="1"/>
  <c r="I28" i="12" s="1"/>
  <c r="J28" i="12" s="1"/>
  <c r="K28" i="12" s="1"/>
  <c r="L28" i="12" s="1"/>
  <c r="M28" i="12" s="1"/>
  <c r="N28" i="12" s="1"/>
  <c r="O28" i="12" s="1"/>
  <c r="P28" i="12" s="1"/>
  <c r="Q28" i="12" s="1"/>
  <c r="R28" i="12" s="1"/>
  <c r="S28" i="12" s="1"/>
  <c r="T28" i="12" s="1"/>
  <c r="U28" i="12" s="1"/>
  <c r="V28" i="12" s="1"/>
  <c r="W28" i="12" s="1"/>
  <c r="B28" i="12"/>
  <c r="A28" i="12"/>
  <c r="A46" i="12" s="1"/>
  <c r="C27" i="12"/>
  <c r="D27" i="12" s="1"/>
  <c r="E27" i="12" s="1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Q27" i="12" s="1"/>
  <c r="R27" i="12" s="1"/>
  <c r="S27" i="12" s="1"/>
  <c r="T27" i="12" s="1"/>
  <c r="U27" i="12" s="1"/>
  <c r="V27" i="12" s="1"/>
  <c r="W27" i="12" s="1"/>
  <c r="B27" i="12"/>
  <c r="A27" i="12"/>
  <c r="A45" i="12" s="1"/>
  <c r="C26" i="12"/>
  <c r="D26" i="12" s="1"/>
  <c r="E26" i="12" s="1"/>
  <c r="F26" i="12" s="1"/>
  <c r="G26" i="12" s="1"/>
  <c r="H26" i="12" s="1"/>
  <c r="I26" i="12" s="1"/>
  <c r="J26" i="12" s="1"/>
  <c r="K26" i="12" s="1"/>
  <c r="L26" i="12" s="1"/>
  <c r="M26" i="12" s="1"/>
  <c r="N26" i="12" s="1"/>
  <c r="O26" i="12" s="1"/>
  <c r="P26" i="12" s="1"/>
  <c r="Q26" i="12" s="1"/>
  <c r="R26" i="12" s="1"/>
  <c r="S26" i="12" s="1"/>
  <c r="T26" i="12" s="1"/>
  <c r="U26" i="12" s="1"/>
  <c r="V26" i="12" s="1"/>
  <c r="W26" i="12" s="1"/>
  <c r="B26" i="12"/>
  <c r="A26" i="12"/>
  <c r="A44" i="12" s="1"/>
  <c r="C25" i="12"/>
  <c r="D25" i="12" s="1"/>
  <c r="E25" i="12" s="1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Q25" i="12" s="1"/>
  <c r="R25" i="12" s="1"/>
  <c r="S25" i="12" s="1"/>
  <c r="T25" i="12" s="1"/>
  <c r="U25" i="12" s="1"/>
  <c r="V25" i="12" s="1"/>
  <c r="W25" i="12" s="1"/>
  <c r="B25" i="12"/>
  <c r="A25" i="12"/>
  <c r="A43" i="12" s="1"/>
  <c r="C24" i="12"/>
  <c r="D24" i="12" s="1"/>
  <c r="E24" i="12" s="1"/>
  <c r="F24" i="12" s="1"/>
  <c r="B24" i="12"/>
  <c r="A24" i="12"/>
  <c r="A42" i="12" s="1"/>
  <c r="C23" i="12"/>
  <c r="D23" i="12" s="1"/>
  <c r="E23" i="12" s="1"/>
  <c r="F23" i="12" s="1"/>
  <c r="G23" i="12" s="1"/>
  <c r="H23" i="12" s="1"/>
  <c r="I23" i="12" s="1"/>
  <c r="J23" i="12" s="1"/>
  <c r="K23" i="12" s="1"/>
  <c r="L23" i="12" s="1"/>
  <c r="M23" i="12" s="1"/>
  <c r="N23" i="12" s="1"/>
  <c r="O23" i="12" s="1"/>
  <c r="P23" i="12" s="1"/>
  <c r="Q23" i="12" s="1"/>
  <c r="R23" i="12" s="1"/>
  <c r="S23" i="12" s="1"/>
  <c r="T23" i="12" s="1"/>
  <c r="U23" i="12" s="1"/>
  <c r="V23" i="12" s="1"/>
  <c r="W23" i="12" s="1"/>
  <c r="B23" i="12"/>
  <c r="A23" i="12"/>
  <c r="A41" i="12" s="1"/>
  <c r="C22" i="12"/>
  <c r="B22" i="12"/>
  <c r="A22" i="12"/>
  <c r="A40" i="12" s="1"/>
  <c r="W17" i="12"/>
  <c r="V17" i="12"/>
  <c r="U17" i="12"/>
  <c r="S17" i="12"/>
  <c r="R17" i="12"/>
  <c r="O17" i="12"/>
  <c r="N17" i="12"/>
  <c r="F17" i="12"/>
  <c r="E17" i="12"/>
  <c r="D17" i="12"/>
  <c r="C17" i="12"/>
  <c r="B17" i="12"/>
  <c r="AB16" i="12"/>
  <c r="AA16" i="12"/>
  <c r="Z16" i="12"/>
  <c r="Y16" i="12"/>
  <c r="AB15" i="12"/>
  <c r="AA15" i="12"/>
  <c r="Z15" i="12"/>
  <c r="Y15" i="12"/>
  <c r="AB14" i="12"/>
  <c r="AA14" i="12"/>
  <c r="Z14" i="12"/>
  <c r="Y14" i="12"/>
  <c r="AB13" i="12"/>
  <c r="AA13" i="12"/>
  <c r="Z13" i="12"/>
  <c r="Y13" i="12"/>
  <c r="AB12" i="12"/>
  <c r="AA12" i="12"/>
  <c r="Z12" i="12"/>
  <c r="Y12" i="12"/>
  <c r="AB11" i="12"/>
  <c r="Z11" i="12"/>
  <c r="Q11" i="12"/>
  <c r="AA11" i="12" s="1"/>
  <c r="K11" i="12"/>
  <c r="Y11" i="12" s="1"/>
  <c r="AB10" i="12"/>
  <c r="AA10" i="12"/>
  <c r="Z10" i="12"/>
  <c r="Y10" i="12"/>
  <c r="AB9" i="12"/>
  <c r="AA9" i="12"/>
  <c r="Z9" i="12"/>
  <c r="Y9" i="12"/>
  <c r="AB8" i="12"/>
  <c r="AA8" i="12"/>
  <c r="Z8" i="12"/>
  <c r="Y8" i="12"/>
  <c r="AB7" i="12"/>
  <c r="AA7" i="12"/>
  <c r="Z7" i="12"/>
  <c r="Y7" i="12"/>
  <c r="AB6" i="12"/>
  <c r="AA6" i="12"/>
  <c r="M6" i="12"/>
  <c r="L6" i="12"/>
  <c r="K6" i="12"/>
  <c r="J6" i="12"/>
  <c r="I6" i="12"/>
  <c r="H6" i="12"/>
  <c r="G6" i="12"/>
  <c r="AB5" i="12"/>
  <c r="AA5" i="12"/>
  <c r="Z5" i="12"/>
  <c r="Y5" i="12"/>
  <c r="T4" i="12"/>
  <c r="Q4" i="12"/>
  <c r="Q17" i="12" s="1"/>
  <c r="P4" i="12"/>
  <c r="M4" i="12"/>
  <c r="L4" i="12"/>
  <c r="K4" i="12"/>
  <c r="J4" i="12"/>
  <c r="I4" i="12"/>
  <c r="H4" i="12"/>
  <c r="G4" i="12"/>
  <c r="J21" i="9" l="1"/>
  <c r="M21" i="9"/>
  <c r="L21" i="9"/>
  <c r="K21" i="9"/>
  <c r="Z6" i="12"/>
  <c r="G24" i="12"/>
  <c r="H24" i="12" s="1"/>
  <c r="I24" i="12" s="1"/>
  <c r="J24" i="12" s="1"/>
  <c r="K24" i="12" s="1"/>
  <c r="L24" i="12" s="1"/>
  <c r="M24" i="12" s="1"/>
  <c r="N24" i="12" s="1"/>
  <c r="O24" i="12" s="1"/>
  <c r="P24" i="12" s="1"/>
  <c r="Q24" i="12" s="1"/>
  <c r="R24" i="12" s="1"/>
  <c r="S24" i="12" s="1"/>
  <c r="T24" i="12" s="1"/>
  <c r="U24" i="12" s="1"/>
  <c r="V24" i="12" s="1"/>
  <c r="W24" i="12" s="1"/>
  <c r="Z4" i="12"/>
  <c r="L12" i="27"/>
  <c r="K12" i="27"/>
  <c r="U12" i="27" s="1"/>
  <c r="L42" i="27"/>
  <c r="J17" i="8"/>
  <c r="J16" i="8"/>
  <c r="J7" i="8"/>
  <c r="M16" i="8"/>
  <c r="N16" i="8" s="1"/>
  <c r="O16" i="8" s="1"/>
  <c r="M17" i="8"/>
  <c r="N17" i="8" s="1"/>
  <c r="O17" i="8" s="1"/>
  <c r="M7" i="8"/>
  <c r="K17" i="8"/>
  <c r="K16" i="8"/>
  <c r="K7" i="8"/>
  <c r="M12" i="27"/>
  <c r="W12" i="27" s="1"/>
  <c r="L17" i="8"/>
  <c r="L16" i="8"/>
  <c r="L7" i="8"/>
  <c r="J42" i="27"/>
  <c r="M42" i="27"/>
  <c r="K42" i="27"/>
  <c r="J12" i="27"/>
  <c r="T12" i="27" s="1"/>
  <c r="K29" i="12"/>
  <c r="L29" i="12" s="1"/>
  <c r="M29" i="12" s="1"/>
  <c r="N29" i="12" s="1"/>
  <c r="O29" i="12" s="1"/>
  <c r="P29" i="12" s="1"/>
  <c r="Q29" i="12" s="1"/>
  <c r="R29" i="12" s="1"/>
  <c r="S29" i="12" s="1"/>
  <c r="T29" i="12" s="1"/>
  <c r="U29" i="12" s="1"/>
  <c r="V29" i="12" s="1"/>
  <c r="W29" i="12" s="1"/>
  <c r="B35" i="12"/>
  <c r="H17" i="12"/>
  <c r="J17" i="12"/>
  <c r="C35" i="12"/>
  <c r="D22" i="12"/>
  <c r="L17" i="12"/>
  <c r="T17" i="12"/>
  <c r="AB17" i="12" s="1"/>
  <c r="AB4" i="12"/>
  <c r="Y6" i="12"/>
  <c r="Y4" i="12"/>
  <c r="M17" i="12"/>
  <c r="P17" i="12"/>
  <c r="AA17" i="12" s="1"/>
  <c r="G17" i="12"/>
  <c r="K17" i="12"/>
  <c r="AA4" i="12"/>
  <c r="I17" i="12"/>
  <c r="D53" i="12"/>
  <c r="L13" i="27" l="1"/>
  <c r="V12" i="27"/>
  <c r="N8" i="8"/>
  <c r="L46" i="27"/>
  <c r="L53" i="27" s="1"/>
  <c r="K13" i="27"/>
  <c r="K46" i="27"/>
  <c r="K53" i="27" s="1"/>
  <c r="N7" i="8"/>
  <c r="M46" i="27"/>
  <c r="M53" i="27" s="1"/>
  <c r="M13" i="27"/>
  <c r="K60" i="8"/>
  <c r="M60" i="8"/>
  <c r="J60" i="8"/>
  <c r="L60" i="8"/>
  <c r="J13" i="27"/>
  <c r="Z17" i="12"/>
  <c r="G53" i="12"/>
  <c r="F53" i="12"/>
  <c r="Y17" i="12"/>
  <c r="E53" i="12"/>
  <c r="D35" i="12"/>
  <c r="E22" i="12"/>
  <c r="O8" i="8" l="1"/>
  <c r="N9" i="8"/>
  <c r="N1" i="8"/>
  <c r="O7" i="8"/>
  <c r="H53" i="12"/>
  <c r="E35" i="12"/>
  <c r="F22" i="12"/>
  <c r="O9" i="8" l="1"/>
  <c r="O1" i="8"/>
  <c r="F35" i="12"/>
  <c r="G22" i="12"/>
  <c r="I53" i="12"/>
  <c r="J53" i="12" l="1"/>
  <c r="H22" i="12"/>
  <c r="G35" i="12"/>
  <c r="K53" i="12" l="1"/>
  <c r="I22" i="12"/>
  <c r="H35" i="12"/>
  <c r="L53" i="12" l="1"/>
  <c r="I35" i="12"/>
  <c r="J22" i="12"/>
  <c r="J35" i="12" l="1"/>
  <c r="K22" i="12"/>
  <c r="M53" i="12"/>
  <c r="N53" i="12" l="1"/>
  <c r="L22" i="12"/>
  <c r="K35" i="12"/>
  <c r="M22" i="12" l="1"/>
  <c r="L35" i="12"/>
  <c r="O53" i="12"/>
  <c r="P53" i="12" l="1"/>
  <c r="M35" i="12"/>
  <c r="N22" i="12"/>
  <c r="Q53" i="12" l="1"/>
  <c r="N35" i="12"/>
  <c r="O22" i="12"/>
  <c r="O35" i="12" l="1"/>
  <c r="P22" i="12"/>
  <c r="R53" i="12"/>
  <c r="Q22" i="12" l="1"/>
  <c r="P35" i="12"/>
  <c r="S53" i="12"/>
  <c r="T53" i="12" l="1"/>
  <c r="Q35" i="12"/>
  <c r="R22" i="12"/>
  <c r="S22" i="12" l="1"/>
  <c r="R35" i="12"/>
  <c r="U53" i="12"/>
  <c r="V53" i="12" l="1"/>
  <c r="W53" i="12"/>
  <c r="S35" i="12"/>
  <c r="T22" i="12"/>
  <c r="T35" i="12" l="1"/>
  <c r="U22" i="12"/>
  <c r="U35" i="12" l="1"/>
  <c r="V22" i="12"/>
  <c r="V35" i="12" l="1"/>
  <c r="W22" i="12"/>
  <c r="W35" i="12" s="1"/>
  <c r="O47" i="8" l="1"/>
  <c r="N47" i="8"/>
  <c r="G38" i="8"/>
  <c r="F38" i="8"/>
  <c r="G41" i="8"/>
  <c r="F41" i="8"/>
  <c r="E41" i="8"/>
  <c r="E38" i="8"/>
  <c r="G39" i="8"/>
  <c r="H39" i="8" s="1"/>
  <c r="I39" i="8" s="1"/>
  <c r="J39" i="8" s="1"/>
  <c r="K39" i="8" s="1"/>
  <c r="L39" i="8" s="1"/>
  <c r="M39" i="8" s="1"/>
  <c r="N39" i="8" s="1"/>
  <c r="O39" i="8" s="1"/>
  <c r="F39" i="8"/>
  <c r="E39" i="8"/>
  <c r="G23" i="3" l="1"/>
  <c r="F23" i="3"/>
  <c r="D31" i="3" l="1"/>
  <c r="M21" i="5" l="1"/>
  <c r="L21" i="5"/>
  <c r="K21" i="5"/>
  <c r="J21" i="5"/>
  <c r="I21" i="5"/>
  <c r="M6" i="5"/>
  <c r="L6" i="5"/>
  <c r="K6" i="5"/>
  <c r="J6" i="5"/>
  <c r="I6" i="5"/>
  <c r="H6" i="9"/>
  <c r="I6" i="9" s="1"/>
  <c r="J6" i="9" s="1"/>
  <c r="K6" i="9" s="1"/>
  <c r="L6" i="9" s="1"/>
  <c r="M6" i="9" s="1"/>
  <c r="G19" i="9"/>
  <c r="I19" i="9" s="1"/>
  <c r="J19" i="9" s="1"/>
  <c r="K19" i="9" s="1"/>
  <c r="L19" i="9" s="1"/>
  <c r="M19" i="9" s="1"/>
  <c r="E19" i="9"/>
  <c r="F38" i="9" l="1"/>
  <c r="E38" i="9"/>
  <c r="G38" i="9"/>
  <c r="G54" i="8"/>
  <c r="H23" i="3" s="1"/>
  <c r="I22" i="9" l="1"/>
  <c r="I18" i="9"/>
  <c r="J18" i="9" s="1"/>
  <c r="D65" i="3"/>
  <c r="D64" i="3"/>
  <c r="D63" i="3"/>
  <c r="D61" i="3"/>
  <c r="D60" i="3"/>
  <c r="D59" i="3"/>
  <c r="H58" i="3"/>
  <c r="F58" i="3"/>
  <c r="E58" i="3"/>
  <c r="D58" i="3"/>
  <c r="E57" i="3"/>
  <c r="D57" i="3"/>
  <c r="D56" i="3"/>
  <c r="D55" i="3"/>
  <c r="D49" i="3"/>
  <c r="D48" i="3"/>
  <c r="D47" i="3"/>
  <c r="D46" i="3"/>
  <c r="D45" i="3"/>
  <c r="D44" i="3"/>
  <c r="D43" i="3"/>
  <c r="F42" i="3"/>
  <c r="E42" i="3"/>
  <c r="D42" i="3"/>
  <c r="D41" i="3"/>
  <c r="D40" i="3"/>
  <c r="D38" i="3"/>
  <c r="D37" i="3"/>
  <c r="D36" i="3"/>
  <c r="H34" i="3"/>
  <c r="G34" i="3"/>
  <c r="D29" i="3"/>
  <c r="H28" i="3"/>
  <c r="G28" i="3"/>
  <c r="F28" i="3"/>
  <c r="E28" i="3"/>
  <c r="D28" i="3"/>
  <c r="D27" i="3"/>
  <c r="G26" i="3"/>
  <c r="F26" i="3"/>
  <c r="E26" i="3"/>
  <c r="D26" i="3"/>
  <c r="D23" i="3"/>
  <c r="D19" i="3"/>
  <c r="D18" i="3"/>
  <c r="H17" i="3"/>
  <c r="F17" i="3"/>
  <c r="D17" i="3"/>
  <c r="D16" i="3"/>
  <c r="D15" i="3"/>
  <c r="H14" i="3"/>
  <c r="G14" i="3"/>
  <c r="F14" i="3"/>
  <c r="E14" i="3"/>
  <c r="D14" i="3"/>
  <c r="D13" i="3"/>
  <c r="H12" i="3"/>
  <c r="H24" i="3" s="1"/>
  <c r="G12" i="3"/>
  <c r="G24" i="3" s="1"/>
  <c r="F12" i="3"/>
  <c r="F24" i="3" s="1"/>
  <c r="E12" i="3"/>
  <c r="E24" i="3" s="1"/>
  <c r="D11" i="3"/>
  <c r="D1" i="3"/>
  <c r="O18" i="8"/>
  <c r="O21" i="8" s="1"/>
  <c r="N18" i="8"/>
  <c r="N21" i="8" s="1"/>
  <c r="M18" i="8"/>
  <c r="M21" i="8" s="1"/>
  <c r="L18" i="8"/>
  <c r="L21" i="8" s="1"/>
  <c r="K18" i="8"/>
  <c r="K21" i="8" s="1"/>
  <c r="J18" i="8"/>
  <c r="J21" i="8" s="1"/>
  <c r="H18" i="8"/>
  <c r="O13" i="8"/>
  <c r="N13" i="8"/>
  <c r="N14" i="8" s="1"/>
  <c r="G13" i="8"/>
  <c r="F13" i="8"/>
  <c r="F14" i="8" s="1"/>
  <c r="E13" i="8"/>
  <c r="D13" i="8"/>
  <c r="C13" i="8"/>
  <c r="G9" i="8"/>
  <c r="F9" i="8"/>
  <c r="D9" i="8"/>
  <c r="C9" i="8"/>
  <c r="H21" i="8" l="1"/>
  <c r="H19" i="8"/>
  <c r="M64" i="8"/>
  <c r="M71" i="8" s="1"/>
  <c r="K64" i="8"/>
  <c r="L64" i="8"/>
  <c r="K19" i="8"/>
  <c r="K34" i="8"/>
  <c r="K35" i="8" s="1"/>
  <c r="L34" i="8"/>
  <c r="L35" i="8" s="1"/>
  <c r="M34" i="8"/>
  <c r="M35" i="8" s="1"/>
  <c r="O19" i="8"/>
  <c r="O34" i="8"/>
  <c r="O35" i="8" s="1"/>
  <c r="J34" i="8"/>
  <c r="J35" i="8" s="1"/>
  <c r="N22" i="8"/>
  <c r="N29" i="8" s="1"/>
  <c r="N34" i="8"/>
  <c r="N35" i="8" s="1"/>
  <c r="H34" i="8"/>
  <c r="F34" i="3"/>
  <c r="F22" i="3" s="1"/>
  <c r="E17" i="27" s="1"/>
  <c r="H22" i="3"/>
  <c r="E34" i="3"/>
  <c r="E22" i="3" s="1"/>
  <c r="I11" i="9"/>
  <c r="E20" i="3"/>
  <c r="D34" i="3"/>
  <c r="I12" i="5"/>
  <c r="G22" i="3"/>
  <c r="J22" i="9"/>
  <c r="K18" i="9"/>
  <c r="D12" i="3"/>
  <c r="D24" i="3" s="1"/>
  <c r="F20" i="3"/>
  <c r="G20" i="3"/>
  <c r="H20" i="3"/>
  <c r="G10" i="27" s="1"/>
  <c r="C14" i="8"/>
  <c r="G14" i="8"/>
  <c r="O14" i="8"/>
  <c r="L19" i="8"/>
  <c r="O22" i="8"/>
  <c r="O29" i="8" s="1"/>
  <c r="D14" i="8"/>
  <c r="M19" i="8"/>
  <c r="E14" i="8"/>
  <c r="J19" i="8"/>
  <c r="N19" i="8"/>
  <c r="I13" i="5" l="1"/>
  <c r="G12" i="27"/>
  <c r="E28" i="8"/>
  <c r="G13" i="27"/>
  <c r="G28" i="8"/>
  <c r="G17" i="27"/>
  <c r="G18" i="27" s="1"/>
  <c r="G22" i="27" s="1"/>
  <c r="F16" i="8"/>
  <c r="F18" i="8" s="1"/>
  <c r="F21" i="8" s="1"/>
  <c r="F22" i="8" s="1"/>
  <c r="F10" i="27"/>
  <c r="E16" i="8"/>
  <c r="E18" i="8" s="1"/>
  <c r="E21" i="8" s="1"/>
  <c r="E22" i="8" s="1"/>
  <c r="E29" i="8" s="1"/>
  <c r="E10" i="27"/>
  <c r="D16" i="8"/>
  <c r="D18" i="8" s="1"/>
  <c r="D21" i="8" s="1"/>
  <c r="D22" i="8" s="1"/>
  <c r="D29" i="8" s="1"/>
  <c r="D10" i="27"/>
  <c r="D28" i="8"/>
  <c r="D17" i="27"/>
  <c r="F28" i="8"/>
  <c r="F17" i="27"/>
  <c r="G16" i="8"/>
  <c r="G18" i="8" s="1"/>
  <c r="H72" i="8"/>
  <c r="H35" i="8"/>
  <c r="L71" i="8"/>
  <c r="K71" i="8"/>
  <c r="D22" i="3"/>
  <c r="D20" i="3"/>
  <c r="K22" i="9"/>
  <c r="J11" i="9"/>
  <c r="J12" i="5"/>
  <c r="L18" i="9"/>
  <c r="O23" i="8"/>
  <c r="N23" i="8"/>
  <c r="E23" i="8" l="1"/>
  <c r="D23" i="8"/>
  <c r="D12" i="27"/>
  <c r="D18" i="27" s="1"/>
  <c r="D22" i="27" s="1"/>
  <c r="E12" i="27"/>
  <c r="E18" i="27" s="1"/>
  <c r="E22" i="27" s="1"/>
  <c r="D19" i="8"/>
  <c r="F12" i="27"/>
  <c r="F18" i="27" s="1"/>
  <c r="F22" i="27" s="1"/>
  <c r="J13" i="5"/>
  <c r="F29" i="8"/>
  <c r="F30" i="8" s="1"/>
  <c r="E19" i="8"/>
  <c r="F19" i="8"/>
  <c r="C16" i="8"/>
  <c r="C18" i="8" s="1"/>
  <c r="C19" i="8" s="1"/>
  <c r="C10" i="27"/>
  <c r="F23" i="8"/>
  <c r="G19" i="27"/>
  <c r="C28" i="8"/>
  <c r="C17" i="27"/>
  <c r="G19" i="8"/>
  <c r="G21" i="8"/>
  <c r="G22" i="8" s="1"/>
  <c r="G29" i="8" s="1"/>
  <c r="G36" i="8" s="1"/>
  <c r="H73" i="8"/>
  <c r="L22" i="9"/>
  <c r="L12" i="5" s="1"/>
  <c r="K12" i="5"/>
  <c r="K11" i="9"/>
  <c r="M18" i="9"/>
  <c r="N36" i="8"/>
  <c r="N30" i="8"/>
  <c r="F36" i="8"/>
  <c r="O36" i="8"/>
  <c r="O30" i="8"/>
  <c r="D30" i="8"/>
  <c r="D36" i="8"/>
  <c r="E30" i="8"/>
  <c r="E36" i="8"/>
  <c r="D13" i="27" l="1"/>
  <c r="E13" i="27"/>
  <c r="F13" i="27"/>
  <c r="C12" i="27"/>
  <c r="C13" i="27" s="1"/>
  <c r="C21" i="8"/>
  <c r="C22" i="8" s="1"/>
  <c r="C23" i="8" s="1"/>
  <c r="K13" i="5"/>
  <c r="L13" i="5"/>
  <c r="D19" i="27"/>
  <c r="G24" i="27"/>
  <c r="G30" i="27" s="1"/>
  <c r="G39" i="27" s="1"/>
  <c r="F19" i="27"/>
  <c r="G23" i="8"/>
  <c r="C18" i="27"/>
  <c r="C22" i="27" s="1"/>
  <c r="E19" i="27"/>
  <c r="G30" i="8"/>
  <c r="L11" i="9"/>
  <c r="M22" i="9"/>
  <c r="M12" i="5" s="1"/>
  <c r="G40" i="8"/>
  <c r="G42" i="8" s="1"/>
  <c r="G37" i="8"/>
  <c r="N37" i="8"/>
  <c r="N40" i="8"/>
  <c r="N42" i="8" s="1"/>
  <c r="E40" i="8"/>
  <c r="E42" i="8" s="1"/>
  <c r="E37" i="8"/>
  <c r="D40" i="8"/>
  <c r="D42" i="8" s="1"/>
  <c r="D37" i="8"/>
  <c r="O40" i="8"/>
  <c r="O42" i="8" s="1"/>
  <c r="O37" i="8"/>
  <c r="F37" i="8"/>
  <c r="F40" i="8"/>
  <c r="F42" i="8" s="1"/>
  <c r="C29" i="8" l="1"/>
  <c r="C36" i="8" s="1"/>
  <c r="M13" i="5"/>
  <c r="F24" i="27"/>
  <c r="F30" i="27" s="1"/>
  <c r="F39" i="27" s="1"/>
  <c r="E24" i="27"/>
  <c r="E30" i="27" s="1"/>
  <c r="E39" i="27" s="1"/>
  <c r="C19" i="27"/>
  <c r="D24" i="27"/>
  <c r="D30" i="27" s="1"/>
  <c r="D39" i="27" s="1"/>
  <c r="O48" i="8"/>
  <c r="N48" i="8"/>
  <c r="D48" i="8"/>
  <c r="D57" i="8" s="1"/>
  <c r="E48" i="8"/>
  <c r="E57" i="8" s="1"/>
  <c r="G48" i="8"/>
  <c r="G57" i="8" s="1"/>
  <c r="F48" i="8"/>
  <c r="F57" i="8" s="1"/>
  <c r="M11" i="9"/>
  <c r="G4" i="9"/>
  <c r="F4" i="9"/>
  <c r="E4" i="9"/>
  <c r="G10" i="9"/>
  <c r="F10" i="9"/>
  <c r="E10" i="9"/>
  <c r="C30" i="8" l="1"/>
  <c r="C24" i="27"/>
  <c r="C30" i="27" s="1"/>
  <c r="C39" i="27" s="1"/>
  <c r="C40" i="8"/>
  <c r="C42" i="8" s="1"/>
  <c r="C37" i="8"/>
  <c r="I7" i="9"/>
  <c r="G23" i="9"/>
  <c r="D23" i="9"/>
  <c r="E22" i="9"/>
  <c r="F21" i="9"/>
  <c r="F23" i="9" s="1"/>
  <c r="C18" i="9"/>
  <c r="C17" i="9"/>
  <c r="G9" i="9"/>
  <c r="G16" i="9" s="1"/>
  <c r="F9" i="9"/>
  <c r="F16" i="9" s="1"/>
  <c r="E9" i="9"/>
  <c r="E16" i="9" s="1"/>
  <c r="D9" i="9"/>
  <c r="D16" i="9" s="1"/>
  <c r="C9" i="9"/>
  <c r="C16" i="9" s="1"/>
  <c r="D22" i="5"/>
  <c r="D13" i="5"/>
  <c r="D7" i="5"/>
  <c r="D5" i="5"/>
  <c r="G24" i="9" l="1"/>
  <c r="C23" i="9"/>
  <c r="C24" i="9" s="1"/>
  <c r="C48" i="8"/>
  <c r="C57" i="8" s="1"/>
  <c r="D24" i="9"/>
  <c r="D8" i="5"/>
  <c r="D14" i="5" s="1"/>
  <c r="I22" i="5"/>
  <c r="J7" i="9"/>
  <c r="J22" i="5" s="1"/>
  <c r="F24" i="9"/>
  <c r="D24" i="5" l="1"/>
  <c r="D26" i="5" s="1"/>
  <c r="K7" i="9"/>
  <c r="K22" i="5" s="1"/>
  <c r="E7" i="5"/>
  <c r="G22" i="5"/>
  <c r="G13" i="5"/>
  <c r="G8" i="5"/>
  <c r="F17" i="5"/>
  <c r="F22" i="5" s="1"/>
  <c r="F13" i="5"/>
  <c r="F8" i="5"/>
  <c r="E17" i="5"/>
  <c r="E22" i="5" s="1"/>
  <c r="E12" i="5"/>
  <c r="E13" i="5" s="1"/>
  <c r="F14" i="5" l="1"/>
  <c r="G24" i="5"/>
  <c r="G26" i="5" s="1"/>
  <c r="F24" i="5"/>
  <c r="F26" i="5" s="1"/>
  <c r="G14" i="5"/>
  <c r="L7" i="9"/>
  <c r="L22" i="5" s="1"/>
  <c r="E8" i="5"/>
  <c r="M7" i="9" l="1"/>
  <c r="M22" i="5" s="1"/>
  <c r="E14" i="5"/>
  <c r="E24" i="5"/>
  <c r="E26" i="5" s="1"/>
  <c r="E23" i="9" l="1"/>
  <c r="E24" i="9" s="1"/>
  <c r="H18" i="6" l="1"/>
  <c r="J8" i="8"/>
  <c r="K8" i="8"/>
  <c r="M8" i="8"/>
  <c r="H8" i="8" l="1"/>
  <c r="H17" i="6"/>
  <c r="J18" i="27"/>
  <c r="L45" i="27"/>
  <c r="L1" i="27"/>
  <c r="L8" i="27"/>
  <c r="L18" i="27"/>
  <c r="L22" i="27" s="1"/>
  <c r="J9" i="8"/>
  <c r="J63" i="8"/>
  <c r="J1" i="8"/>
  <c r="J13" i="8"/>
  <c r="K1" i="8"/>
  <c r="K13" i="8"/>
  <c r="K63" i="8"/>
  <c r="K9" i="8"/>
  <c r="H28" i="9"/>
  <c r="M28" i="9" s="1"/>
  <c r="H9" i="8"/>
  <c r="H13" i="8"/>
  <c r="H63" i="8"/>
  <c r="J98" i="6"/>
  <c r="L98" i="6"/>
  <c r="J1" i="27"/>
  <c r="J8" i="27"/>
  <c r="J45" i="27"/>
  <c r="L8" i="8"/>
  <c r="M9" i="8"/>
  <c r="M63" i="8"/>
  <c r="M13" i="8"/>
  <c r="M1" i="8"/>
  <c r="M98" i="6"/>
  <c r="K98" i="6"/>
  <c r="L12" i="9" l="1"/>
  <c r="J12" i="9"/>
  <c r="J19" i="27"/>
  <c r="J22" i="27"/>
  <c r="K18" i="27"/>
  <c r="K22" i="27" s="1"/>
  <c r="M1" i="27"/>
  <c r="M12" i="9"/>
  <c r="M8" i="27"/>
  <c r="M45" i="27"/>
  <c r="K45" i="27"/>
  <c r="K1" i="27"/>
  <c r="K8" i="27"/>
  <c r="M18" i="27"/>
  <c r="K12" i="9"/>
  <c r="J24" i="27"/>
  <c r="J30" i="27" s="1"/>
  <c r="J4" i="5" s="1"/>
  <c r="J14" i="8"/>
  <c r="J22" i="8"/>
  <c r="K100" i="6"/>
  <c r="K101" i="6"/>
  <c r="L9" i="8"/>
  <c r="L1" i="8"/>
  <c r="L63" i="8"/>
  <c r="L13" i="8"/>
  <c r="L19" i="27"/>
  <c r="L100" i="6"/>
  <c r="L101" i="6"/>
  <c r="H22" i="8"/>
  <c r="H14" i="8"/>
  <c r="H45" i="27"/>
  <c r="H8" i="27"/>
  <c r="H26" i="9"/>
  <c r="I26" i="9" s="1"/>
  <c r="J26" i="9" s="1"/>
  <c r="H18" i="27"/>
  <c r="H22" i="27" s="1"/>
  <c r="K14" i="8"/>
  <c r="K22" i="8"/>
  <c r="M14" i="8"/>
  <c r="M22" i="8"/>
  <c r="M100" i="6"/>
  <c r="M101" i="6"/>
  <c r="J101" i="6"/>
  <c r="J100" i="6"/>
  <c r="K26" i="9" l="1"/>
  <c r="J20" i="9"/>
  <c r="M19" i="27"/>
  <c r="M22" i="27"/>
  <c r="K19" i="27"/>
  <c r="K24" i="27"/>
  <c r="K30" i="27" s="1"/>
  <c r="K4" i="5" s="1"/>
  <c r="H23" i="8"/>
  <c r="H29" i="8"/>
  <c r="H19" i="27"/>
  <c r="H23" i="9"/>
  <c r="H42" i="9"/>
  <c r="L24" i="27"/>
  <c r="L30" i="27" s="1"/>
  <c r="L4" i="5" s="1"/>
  <c r="L14" i="8"/>
  <c r="L22" i="8"/>
  <c r="J23" i="8"/>
  <c r="J29" i="8"/>
  <c r="M23" i="8"/>
  <c r="M29" i="8"/>
  <c r="K23" i="8"/>
  <c r="K29" i="8"/>
  <c r="J23" i="9" l="1"/>
  <c r="L26" i="9"/>
  <c r="K20" i="9"/>
  <c r="M24" i="27"/>
  <c r="M30" i="27" s="1"/>
  <c r="M4" i="5" s="1"/>
  <c r="M30" i="8"/>
  <c r="M36" i="8"/>
  <c r="K36" i="8"/>
  <c r="K30" i="8"/>
  <c r="L23" i="8"/>
  <c r="L29" i="8"/>
  <c r="H24" i="27"/>
  <c r="H30" i="27" s="1"/>
  <c r="H30" i="8"/>
  <c r="H36" i="8"/>
  <c r="J30" i="8"/>
  <c r="J36" i="8"/>
  <c r="K23" i="9" l="1"/>
  <c r="K8" i="5"/>
  <c r="K14" i="5" s="1"/>
  <c r="M26" i="9"/>
  <c r="M20" i="9" s="1"/>
  <c r="L20" i="9"/>
  <c r="J40" i="8"/>
  <c r="J42" i="8" s="1"/>
  <c r="J48" i="8" s="1"/>
  <c r="J37" i="8"/>
  <c r="H40" i="8"/>
  <c r="H42" i="8" s="1"/>
  <c r="H48" i="8" s="1"/>
  <c r="H37" i="8"/>
  <c r="L30" i="8"/>
  <c r="L36" i="8"/>
  <c r="M40" i="8"/>
  <c r="M42" i="8" s="1"/>
  <c r="M48" i="8" s="1"/>
  <c r="M37" i="8"/>
  <c r="K40" i="8"/>
  <c r="K42" i="8" s="1"/>
  <c r="K48" i="8" s="1"/>
  <c r="K37" i="8"/>
  <c r="K24" i="5" l="1"/>
  <c r="L23" i="9"/>
  <c r="L8" i="5"/>
  <c r="M23" i="9"/>
  <c r="M8" i="5"/>
  <c r="L37" i="8"/>
  <c r="L40" i="8"/>
  <c r="L42" i="8" s="1"/>
  <c r="L48" i="8" s="1"/>
  <c r="M24" i="5" l="1"/>
  <c r="M14" i="5"/>
  <c r="L14" i="5"/>
  <c r="L24" i="5"/>
  <c r="Q25" i="9"/>
  <c r="I88" i="6" l="1"/>
  <c r="I89" i="6" s="1"/>
  <c r="I71" i="6"/>
  <c r="I18" i="6"/>
  <c r="I98" i="6" s="1"/>
  <c r="I101" i="6" l="1"/>
  <c r="I100" i="6"/>
  <c r="I17" i="6"/>
  <c r="J59" i="35" s="1"/>
  <c r="I4" i="35"/>
  <c r="I3" i="35" l="1"/>
  <c r="N4" i="35"/>
  <c r="O4" i="35"/>
  <c r="J61" i="35"/>
  <c r="J62" i="35"/>
  <c r="O3" i="35" l="1"/>
  <c r="N3" i="35"/>
  <c r="J49" i="35"/>
  <c r="J50" i="35" s="1"/>
  <c r="I73" i="6"/>
  <c r="I74" i="6" s="1"/>
  <c r="I4" i="27"/>
  <c r="I45" i="6"/>
  <c r="I58" i="6" s="1"/>
  <c r="I5" i="8" l="1"/>
  <c r="I65" i="6"/>
  <c r="I64" i="6" s="1"/>
  <c r="I19" i="35"/>
  <c r="I26" i="35" s="1"/>
  <c r="N26" i="35" s="1"/>
  <c r="I8" i="8"/>
  <c r="I17" i="8"/>
  <c r="I16" i="8"/>
  <c r="I7" i="8"/>
  <c r="I18" i="35"/>
  <c r="I6" i="27"/>
  <c r="I33" i="35" l="1"/>
  <c r="I25" i="35"/>
  <c r="N25" i="35" s="1"/>
  <c r="O26" i="35"/>
  <c r="I49" i="27"/>
  <c r="J49" i="27"/>
  <c r="I18" i="8"/>
  <c r="I21" i="8" s="1"/>
  <c r="I12" i="27"/>
  <c r="I60" i="8"/>
  <c r="I1" i="8"/>
  <c r="H1" i="8" s="1"/>
  <c r="I12" i="9"/>
  <c r="I42" i="27"/>
  <c r="I1" i="27"/>
  <c r="H1" i="27" s="1"/>
  <c r="I21" i="9"/>
  <c r="I20" i="9"/>
  <c r="N18" i="35"/>
  <c r="O18" i="35"/>
  <c r="I8" i="27"/>
  <c r="I45" i="27"/>
  <c r="I9" i="8"/>
  <c r="I63" i="8"/>
  <c r="I13" i="8"/>
  <c r="I46" i="27" l="1"/>
  <c r="I53" i="27" s="1"/>
  <c r="I54" i="27" s="1"/>
  <c r="I55" i="27" s="1"/>
  <c r="S12" i="27"/>
  <c r="I32" i="35"/>
  <c r="O25" i="35"/>
  <c r="I19" i="8"/>
  <c r="J64" i="8"/>
  <c r="J71" i="8" s="1"/>
  <c r="I34" i="8"/>
  <c r="I35" i="8" s="1"/>
  <c r="I64" i="8"/>
  <c r="I71" i="8" s="1"/>
  <c r="I72" i="8" s="1"/>
  <c r="I73" i="8" s="1"/>
  <c r="I13" i="27"/>
  <c r="J46" i="27"/>
  <c r="J53" i="27" s="1"/>
  <c r="I18" i="27"/>
  <c r="I22" i="27" s="1"/>
  <c r="I14" i="8"/>
  <c r="I22" i="8"/>
  <c r="I23" i="9"/>
  <c r="J8" i="5" l="1"/>
  <c r="J54" i="27"/>
  <c r="I19" i="27"/>
  <c r="J72" i="8"/>
  <c r="J73" i="8" s="1"/>
  <c r="J14" i="5"/>
  <c r="J24" i="5"/>
  <c r="I29" i="8"/>
  <c r="I23" i="8"/>
  <c r="K54" i="27"/>
  <c r="J55" i="27"/>
  <c r="I24" i="27"/>
  <c r="I30" i="27" s="1"/>
  <c r="K72" i="8" l="1"/>
  <c r="I30" i="8"/>
  <c r="I36" i="8"/>
  <c r="I4" i="5"/>
  <c r="I4" i="9"/>
  <c r="J4" i="9" s="1"/>
  <c r="K55" i="27"/>
  <c r="L54" i="27"/>
  <c r="K73" i="8"/>
  <c r="L72" i="8"/>
  <c r="K4" i="9" l="1"/>
  <c r="I37" i="8"/>
  <c r="I40" i="8"/>
  <c r="I42" i="8" s="1"/>
  <c r="I48" i="8" s="1"/>
  <c r="M72" i="8"/>
  <c r="M73" i="8" s="1"/>
  <c r="L73" i="8"/>
  <c r="M54" i="27"/>
  <c r="M55" i="27" s="1"/>
  <c r="L55" i="27"/>
  <c r="L4" i="9" l="1"/>
  <c r="M4" i="9" l="1"/>
  <c r="I8" i="5" l="1"/>
  <c r="I14" i="5" l="1"/>
  <c r="I24" i="5"/>
  <c r="H9" i="9" l="1"/>
  <c r="H16" i="9" s="1"/>
  <c r="H24" i="9" s="1"/>
  <c r="H26" i="5"/>
  <c r="H27" i="5" s="1"/>
  <c r="I25" i="5" l="1"/>
  <c r="I26" i="5" s="1"/>
  <c r="I8" i="9" s="1"/>
  <c r="I9" i="9" s="1"/>
  <c r="I16" i="9" s="1"/>
  <c r="I24" i="9" s="1"/>
  <c r="J25" i="5" l="1"/>
  <c r="J26" i="5" s="1"/>
  <c r="K25" i="5" s="1"/>
  <c r="K26" i="5" s="1"/>
  <c r="I27" i="5"/>
  <c r="J8" i="9" l="1"/>
  <c r="J9" i="9" s="1"/>
  <c r="J16" i="9" s="1"/>
  <c r="J24" i="9" s="1"/>
  <c r="K8" i="9"/>
  <c r="L25" i="5"/>
  <c r="L26" i="5" s="1"/>
  <c r="J27" i="5" l="1"/>
  <c r="K9" i="9"/>
  <c r="K16" i="9" s="1"/>
  <c r="K24" i="9" s="1"/>
  <c r="K27" i="5"/>
  <c r="L8" i="9"/>
  <c r="M25" i="5"/>
  <c r="M26" i="5" s="1"/>
  <c r="M8" i="9" s="1"/>
  <c r="M27" i="5" l="1"/>
  <c r="M9" i="9"/>
  <c r="M16" i="9" s="1"/>
  <c r="M24" i="9" s="1"/>
  <c r="L27" i="5"/>
  <c r="L9" i="9"/>
  <c r="L16" i="9" s="1"/>
  <c r="L24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Husain A.Dahodwala</author>
  </authors>
  <commentList>
    <comment ref="E22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Husain A.Dahodwala:</t>
        </r>
        <r>
          <rPr>
            <sz val="9"/>
            <color indexed="81"/>
            <rFont val="Tahoma"/>
            <family val="2"/>
          </rPr>
          <t xml:space="preserve">
11582- asset held for sale</t>
        </r>
      </text>
    </comment>
    <comment ref="F22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Husain A.Dahodwala:</t>
        </r>
        <r>
          <rPr>
            <sz val="9"/>
            <color indexed="81"/>
            <rFont val="Tahoma"/>
            <family val="2"/>
          </rPr>
          <t xml:space="preserve">
11582- asset held for sale</t>
        </r>
      </text>
    </comment>
    <comment ref="G22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Husain A.Dahodwala:</t>
        </r>
        <r>
          <rPr>
            <sz val="9"/>
            <color indexed="81"/>
            <rFont val="Tahoma"/>
            <family val="2"/>
          </rPr>
          <t xml:space="preserve">
6870- asset held for sale</t>
        </r>
      </text>
    </comment>
  </commentList>
</comments>
</file>

<file path=xl/sharedStrings.xml><?xml version="1.0" encoding="utf-8"?>
<sst xmlns="http://schemas.openxmlformats.org/spreadsheetml/2006/main" count="1431" uniqueCount="440">
  <si>
    <t>FY23</t>
  </si>
  <si>
    <t>FY1</t>
  </si>
  <si>
    <t>FY2</t>
  </si>
  <si>
    <t>FY3</t>
  </si>
  <si>
    <t>FY4</t>
  </si>
  <si>
    <t>FY5</t>
  </si>
  <si>
    <t>FY6</t>
  </si>
  <si>
    <t>FY7</t>
  </si>
  <si>
    <t>FY22</t>
  </si>
  <si>
    <t>FY21</t>
  </si>
  <si>
    <t>FY20</t>
  </si>
  <si>
    <t>FY19</t>
  </si>
  <si>
    <t>FY18</t>
  </si>
  <si>
    <t>Total Revenue</t>
  </si>
  <si>
    <t>Gross Margin</t>
  </si>
  <si>
    <t>% Gross Margin</t>
  </si>
  <si>
    <t>Store rent+emp cost as % of sales</t>
  </si>
  <si>
    <t>Store Operating cost</t>
  </si>
  <si>
    <t>Store Employee cost</t>
  </si>
  <si>
    <t>Gross Margin after rental cost</t>
  </si>
  <si>
    <t>% Gross Margin after rental cost</t>
  </si>
  <si>
    <t>Supply chain</t>
  </si>
  <si>
    <t>TPT Cost</t>
  </si>
  <si>
    <t>DC+Transport</t>
  </si>
  <si>
    <t>As % of sales</t>
  </si>
  <si>
    <t>3P FOS</t>
  </si>
  <si>
    <t>Total Cost</t>
  </si>
  <si>
    <t>Operating EBITDA</t>
  </si>
  <si>
    <t>% of Sales</t>
  </si>
  <si>
    <t>Other Direct Cost</t>
  </si>
  <si>
    <t>Manpower</t>
  </si>
  <si>
    <t>Marketing</t>
  </si>
  <si>
    <t>Admin &amp; Misc Exp</t>
  </si>
  <si>
    <t>Business EBITDA</t>
  </si>
  <si>
    <t>Corporate Cost</t>
  </si>
  <si>
    <t>Employee Cost</t>
  </si>
  <si>
    <t>Legal, Professional, IT etc</t>
  </si>
  <si>
    <t>EBITDA after HO cost</t>
  </si>
  <si>
    <t>Sales</t>
  </si>
  <si>
    <t>GM</t>
  </si>
  <si>
    <t>Staple</t>
  </si>
  <si>
    <t>Others</t>
  </si>
  <si>
    <t>Year</t>
  </si>
  <si>
    <t>Head count</t>
  </si>
  <si>
    <t>Back end/HO/ZO cost</t>
  </si>
  <si>
    <t>Employee cost</t>
  </si>
  <si>
    <t>FY17</t>
  </si>
  <si>
    <t>DC other cost</t>
  </si>
  <si>
    <t>DC count</t>
  </si>
  <si>
    <t>DC and Transportation cost</t>
  </si>
  <si>
    <t>Other operating cost</t>
  </si>
  <si>
    <t>Balance Sheet</t>
  </si>
  <si>
    <t>Depreciation</t>
  </si>
  <si>
    <t>EBIT</t>
  </si>
  <si>
    <t>Finance cost</t>
  </si>
  <si>
    <t>EBT</t>
  </si>
  <si>
    <t>Tax</t>
  </si>
  <si>
    <t>PAT</t>
  </si>
  <si>
    <t>Other income</t>
  </si>
  <si>
    <t>FRL</t>
  </si>
  <si>
    <t>Sec Sales- Staple</t>
  </si>
  <si>
    <t>Sec Sales- Dairy</t>
  </si>
  <si>
    <t>Sec Sales- Bakery</t>
  </si>
  <si>
    <t>Sec Sales- PF</t>
  </si>
  <si>
    <t>Franchisee</t>
  </si>
  <si>
    <t>Dairy</t>
  </si>
  <si>
    <t>Bakery</t>
  </si>
  <si>
    <t>Primary sales</t>
  </si>
  <si>
    <t>Sales from new stores</t>
  </si>
  <si>
    <t>Sales from exisitng store</t>
  </si>
  <si>
    <t>Shareholder's Fund</t>
  </si>
  <si>
    <t>Minority Interest</t>
  </si>
  <si>
    <t>Gross Debt</t>
  </si>
  <si>
    <t>Less: Cash and Cash Equivalents</t>
  </si>
  <si>
    <t>Net Debt</t>
  </si>
  <si>
    <t>Lease liabilities</t>
  </si>
  <si>
    <t>Other Non current liabilities</t>
  </si>
  <si>
    <t>Trade Payable</t>
  </si>
  <si>
    <t>Other current liabilities</t>
  </si>
  <si>
    <t>Net Adjusted Capital Employed</t>
  </si>
  <si>
    <t>Fixed Assets</t>
  </si>
  <si>
    <t>Right to use Assets</t>
  </si>
  <si>
    <t>Goodwill and Intangibles</t>
  </si>
  <si>
    <t>Other non current assets</t>
  </si>
  <si>
    <t>Inventories</t>
  </si>
  <si>
    <t>Receivables</t>
  </si>
  <si>
    <t>Other current assets</t>
  </si>
  <si>
    <t>Total Net Assets</t>
  </si>
  <si>
    <t>Cash Flow from Operating Activities</t>
  </si>
  <si>
    <t>Tax Expense</t>
  </si>
  <si>
    <t>Increase in Net Current Assets</t>
  </si>
  <si>
    <t>Total Cash Flow from Operating Activities</t>
  </si>
  <si>
    <t>Cash Flow from Investing Activities</t>
  </si>
  <si>
    <t>Total Cash Flow from Investing Activities</t>
  </si>
  <si>
    <t>Total Cash Outflow from Operating &amp; Investing Activities</t>
  </si>
  <si>
    <t>Cash Flow from Financing Activities</t>
  </si>
  <si>
    <t>Equity investment</t>
  </si>
  <si>
    <t>Proceeds from Long term borrowings  (net)</t>
  </si>
  <si>
    <t>Short term borrowings (net)</t>
  </si>
  <si>
    <t>Interest Income</t>
  </si>
  <si>
    <t>Finance Cost</t>
  </si>
  <si>
    <t>Total Cash Flow from Financing Activities</t>
  </si>
  <si>
    <t>Net Increase / (decrease) in Cash &amp; Cash Equivalent</t>
  </si>
  <si>
    <t>Add: cash and cash equivalent at the beginning</t>
  </si>
  <si>
    <t>Cash &amp; cash equivalent at the end</t>
  </si>
  <si>
    <t>Finance Income</t>
  </si>
  <si>
    <t>Repayment of inter corporate deposit</t>
  </si>
  <si>
    <t>Exceptional items</t>
  </si>
  <si>
    <t>Other Comprehensive Income</t>
  </si>
  <si>
    <t>IND as 116 Adjustment</t>
  </si>
  <si>
    <t>Interest Expenses</t>
  </si>
  <si>
    <t>Rent Expenses</t>
  </si>
  <si>
    <t>Impact</t>
  </si>
  <si>
    <t>DC rent &amp; Transportation cost</t>
  </si>
  <si>
    <t>Consumables and Packing Material</t>
  </si>
  <si>
    <t>Electricity Expenses</t>
  </si>
  <si>
    <t>Labour contract Charges</t>
  </si>
  <si>
    <t>Insurance</t>
  </si>
  <si>
    <t>Water Charges - Factory</t>
  </si>
  <si>
    <t>Pest Control Expenses</t>
  </si>
  <si>
    <t>Lab Testing Charges</t>
  </si>
  <si>
    <t>Security service charges</t>
  </si>
  <si>
    <t>Repair &amp; Maint- P&amp;M</t>
  </si>
  <si>
    <t>Rent</t>
  </si>
  <si>
    <t>Repair &amp; Maint- Bldg &amp; Others</t>
  </si>
  <si>
    <t>Rates &amp; taxes</t>
  </si>
  <si>
    <t>Director Sitting fees</t>
  </si>
  <si>
    <t>Prov for Bad Debts</t>
  </si>
  <si>
    <t>Net loss on financial assets measured at FVTPL</t>
  </si>
  <si>
    <t>Miscelleneous Expenses</t>
  </si>
  <si>
    <t>Shrinkage-Others</t>
  </si>
  <si>
    <t>Printing &amp; Stationery</t>
  </si>
  <si>
    <t>Computer Consumables</t>
  </si>
  <si>
    <t>House keeping charges</t>
  </si>
  <si>
    <t>Infrastructure Management Fee</t>
  </si>
  <si>
    <t>Software Development Charges</t>
  </si>
  <si>
    <t>Courier/Postage Charges</t>
  </si>
  <si>
    <t>Mobile Charges</t>
  </si>
  <si>
    <t>Telephone Charges</t>
  </si>
  <si>
    <t>Internet &amp; Bandwith Charges</t>
  </si>
  <si>
    <t>Travelling Expenses - Staff and Directors</t>
  </si>
  <si>
    <t>Travelling Expenses -Others</t>
  </si>
  <si>
    <t>Lodging &amp; Boarding expenses - NON FBT</t>
  </si>
  <si>
    <t>Conveyance</t>
  </si>
  <si>
    <t>Conveyance-Others</t>
  </si>
  <si>
    <t>Bad debts w/off</t>
  </si>
  <si>
    <t>Books &amp; Periodicals</t>
  </si>
  <si>
    <t>Seminar &amp; Conference Fees</t>
  </si>
  <si>
    <t>Stipend</t>
  </si>
  <si>
    <t>Guest House Expenese</t>
  </si>
  <si>
    <t>Hire Charges</t>
  </si>
  <si>
    <t>Hire Charges - Reimb</t>
  </si>
  <si>
    <t>Bank Charges</t>
  </si>
  <si>
    <t>Miscellaneous Expenses</t>
  </si>
  <si>
    <t>Rounding Off</t>
  </si>
  <si>
    <t>Sampling Charges</t>
  </si>
  <si>
    <t>Membership &amp; Subscription Fees</t>
  </si>
  <si>
    <t>Parking Expenses</t>
  </si>
  <si>
    <t>Transit House Expenses</t>
  </si>
  <si>
    <t>Water Charges</t>
  </si>
  <si>
    <t>Record Storage</t>
  </si>
  <si>
    <t>Research &amp; Development Exps.</t>
  </si>
  <si>
    <t>Loss on Sale/Retirement of property, plant and equipment</t>
  </si>
  <si>
    <t>gain on termination of lease Assests</t>
  </si>
  <si>
    <t>Net Investment in Sublease</t>
  </si>
  <si>
    <t>Payments for Fixed Assets / Sales of Fixed Assets</t>
  </si>
  <si>
    <t>Non Cash charge above PAT</t>
  </si>
  <si>
    <t>Non Recuring Other Income</t>
  </si>
  <si>
    <t>Non Recuring Expenses</t>
  </si>
  <si>
    <t>Sec Sales- All brands (Calculated)</t>
  </si>
  <si>
    <t>No of stores (stores as on year end)</t>
  </si>
  <si>
    <t>Total Sales (Secondary sales)</t>
  </si>
  <si>
    <t>Sec Sales- Total</t>
  </si>
  <si>
    <t>FY23*</t>
  </si>
  <si>
    <t>Bangalore</t>
  </si>
  <si>
    <t>Chennai</t>
  </si>
  <si>
    <t>Cochin</t>
  </si>
  <si>
    <t>Coimbatore</t>
  </si>
  <si>
    <t>Coorg</t>
  </si>
  <si>
    <t>Madurai</t>
  </si>
  <si>
    <t>Mangalore</t>
  </si>
  <si>
    <t>Mylapore</t>
  </si>
  <si>
    <t>Pondicherry</t>
  </si>
  <si>
    <t>Telangana</t>
  </si>
  <si>
    <t>Thirunelveli</t>
  </si>
  <si>
    <t>Tirupathi</t>
  </si>
  <si>
    <t>Trivandrum</t>
  </si>
  <si>
    <t>Thiravalla</t>
  </si>
  <si>
    <t>Franchisee Store Count</t>
  </si>
  <si>
    <t>Additions</t>
  </si>
  <si>
    <t>Region</t>
  </si>
  <si>
    <t>FY21 Exit</t>
  </si>
  <si>
    <t>FY22 Exit</t>
  </si>
  <si>
    <t>Q1 FY 23</t>
  </si>
  <si>
    <t>Q2 FY 23</t>
  </si>
  <si>
    <t>Q3 FY 23</t>
  </si>
  <si>
    <t>Q4 FY 23</t>
  </si>
  <si>
    <t>Q1 FY 24</t>
  </si>
  <si>
    <t>Q2 FY 24</t>
  </si>
  <si>
    <t>Q3 FY 24</t>
  </si>
  <si>
    <t>Q4 FY 24</t>
  </si>
  <si>
    <t>Q1 FY 25</t>
  </si>
  <si>
    <t>Q2 FY 25</t>
  </si>
  <si>
    <t>Q3 FY 25</t>
  </si>
  <si>
    <t>Q4 FY 25</t>
  </si>
  <si>
    <t>Q1 FY 26</t>
  </si>
  <si>
    <t>Q2 FY 26</t>
  </si>
  <si>
    <t>Q3 FY 26</t>
  </si>
  <si>
    <t>Q4 FY 26</t>
  </si>
  <si>
    <t>Q1 FY 27</t>
  </si>
  <si>
    <t>Q2 FY 27</t>
  </si>
  <si>
    <t>Q3 FY 27</t>
  </si>
  <si>
    <t>Q4 FY 27</t>
  </si>
  <si>
    <t>BLR</t>
  </si>
  <si>
    <t>CBE</t>
  </si>
  <si>
    <t>CHN</t>
  </si>
  <si>
    <t>COC</t>
  </si>
  <si>
    <t>CON</t>
  </si>
  <si>
    <t>MDU</t>
  </si>
  <si>
    <t>MLR</t>
  </si>
  <si>
    <t>MYS</t>
  </si>
  <si>
    <t>PONDY</t>
  </si>
  <si>
    <t>TVM</t>
  </si>
  <si>
    <t>TVML</t>
  </si>
  <si>
    <t>AP</t>
  </si>
  <si>
    <t>TS</t>
  </si>
  <si>
    <t>Total</t>
  </si>
  <si>
    <t>Cumilative</t>
  </si>
  <si>
    <t>Sales Beat</t>
  </si>
  <si>
    <t>DC</t>
  </si>
  <si>
    <t>HYD</t>
  </si>
  <si>
    <t>New Store Sales- Cumilative</t>
  </si>
  <si>
    <t>Same Store sales growth</t>
  </si>
  <si>
    <t>Sales of Products</t>
  </si>
  <si>
    <t>Other Operating revenue</t>
  </si>
  <si>
    <t>Number of Stores</t>
  </si>
  <si>
    <t>GT &amp; Others</t>
  </si>
  <si>
    <t>Sr.ft</t>
  </si>
  <si>
    <t>Mysore</t>
  </si>
  <si>
    <t>Number of days of Inventory</t>
  </si>
  <si>
    <t>Debtors Holding period</t>
  </si>
  <si>
    <t>Creditor Holding period</t>
  </si>
  <si>
    <t>Customer</t>
  </si>
  <si>
    <t>Coonoor</t>
  </si>
  <si>
    <t>Total Operating cost</t>
  </si>
  <si>
    <t>% of sales</t>
  </si>
  <si>
    <t>Corporate Cost- Employee</t>
  </si>
  <si>
    <t>Corporate Cost- Others</t>
  </si>
  <si>
    <t>Total change</t>
  </si>
  <si>
    <t>YoY Growth of emp cost</t>
  </si>
  <si>
    <t>FY 23</t>
  </si>
  <si>
    <t>COGS</t>
  </si>
  <si>
    <t>Sales per Sr.ft / month</t>
  </si>
  <si>
    <t>Share of Nilgiris in store</t>
  </si>
  <si>
    <t>Nilgiris Share</t>
  </si>
  <si>
    <t>PF</t>
  </si>
  <si>
    <t>Sec Sales where Nilgiris present</t>
  </si>
  <si>
    <t>Share in categories where Nilgirs present</t>
  </si>
  <si>
    <t>Share of Cat in total sales FY18</t>
  </si>
  <si>
    <t>Share of Cat in total sales Fy23</t>
  </si>
  <si>
    <t>Additional Equity Infusion</t>
  </si>
  <si>
    <t>PBT</t>
  </si>
  <si>
    <t>Franchisee Total</t>
  </si>
  <si>
    <t>Growth</t>
  </si>
  <si>
    <t>New Store</t>
  </si>
  <si>
    <t>Franchise Sale of NDF Brand</t>
  </si>
  <si>
    <t>Franchise Margin</t>
  </si>
  <si>
    <t>NDF Sales</t>
  </si>
  <si>
    <t>Same Store Sales (89 as of 22-23)</t>
  </si>
  <si>
    <t>Assumption of Growth</t>
  </si>
  <si>
    <t>Share of  Nilgiri in total 2dnry Sales</t>
  </si>
  <si>
    <t>Gross Sales (Rs. In Lakhs)</t>
  </si>
  <si>
    <t>Share of Cat. Where NDF is present</t>
  </si>
  <si>
    <t>Size of Cat. Where NDF is Present</t>
  </si>
  <si>
    <t>NDF Share in Cat. Where present</t>
  </si>
  <si>
    <t>Sec Sales- NDF</t>
  </si>
  <si>
    <t>Total Sale of NDF in new Store</t>
  </si>
  <si>
    <t>Full year Assumption on stores @ 5 months per Store</t>
  </si>
  <si>
    <t>Cum. Addition of New Store</t>
  </si>
  <si>
    <t>Gross Sales per Store per ann.</t>
  </si>
  <si>
    <t>Royalty</t>
  </si>
  <si>
    <t>Amount</t>
  </si>
  <si>
    <t>No of store</t>
  </si>
  <si>
    <t>NDF Share on Total Fran. Store Sales</t>
  </si>
  <si>
    <t>Nilgiris: GT_Current  Sales-Primary (Rs. Lacs)</t>
  </si>
  <si>
    <t>GT</t>
  </si>
  <si>
    <t>INSTI</t>
  </si>
  <si>
    <t>MT</t>
  </si>
  <si>
    <t>FY 1</t>
  </si>
  <si>
    <t>FY 2</t>
  </si>
  <si>
    <t>FY 3</t>
  </si>
  <si>
    <t>FY 4</t>
  </si>
  <si>
    <t>FY 5</t>
  </si>
  <si>
    <t>Apr to June</t>
  </si>
  <si>
    <t>July</t>
  </si>
  <si>
    <t>Aug.</t>
  </si>
  <si>
    <t>Dec</t>
  </si>
  <si>
    <t>Jan to March</t>
  </si>
  <si>
    <t>Nov</t>
  </si>
  <si>
    <t>E-Commerce</t>
  </si>
  <si>
    <t>Margin</t>
  </si>
  <si>
    <t>Store</t>
  </si>
  <si>
    <t>Other Income</t>
  </si>
  <si>
    <t>Total GM</t>
  </si>
  <si>
    <t>Total Store (Incl. Royalty)</t>
  </si>
  <si>
    <t>Consol FY 23</t>
  </si>
  <si>
    <t>Break up required Segment wise</t>
  </si>
  <si>
    <t>NA</t>
  </si>
  <si>
    <t>Differnce Bottomup Minus Topdown</t>
  </si>
  <si>
    <t>Sales as per Topdown</t>
  </si>
  <si>
    <t>Sales as per Bottomup</t>
  </si>
  <si>
    <t>Total Sales from Bottomup (SS+NS)</t>
  </si>
  <si>
    <t>Same Store Sales (83 as of 22-23) - SS</t>
  </si>
  <si>
    <t>New Store - NS</t>
  </si>
  <si>
    <t>NDF Sales net</t>
  </si>
  <si>
    <t>Total Sale of NDF in new Store Net</t>
  </si>
  <si>
    <t>FMCG - PF</t>
  </si>
  <si>
    <t>FMCG - PF - PF</t>
  </si>
  <si>
    <t>Net Margin</t>
  </si>
  <si>
    <t>Emp</t>
  </si>
  <si>
    <t>Freight</t>
  </si>
  <si>
    <t>EBIDTA</t>
  </si>
  <si>
    <t>Amount Nov 2022 Actual</t>
  </si>
  <si>
    <t>Particulars</t>
  </si>
  <si>
    <t>% on Sales</t>
  </si>
  <si>
    <t>GT Growth over PY</t>
  </si>
  <si>
    <t>Number of Cities</t>
  </si>
  <si>
    <t>DC  Cost (including DC manpower cost)</t>
  </si>
  <si>
    <t>3P FOS (Sales)</t>
  </si>
  <si>
    <t>Manpower (on Roll)</t>
  </si>
  <si>
    <t>Working Capital</t>
  </si>
  <si>
    <t>FG</t>
  </si>
  <si>
    <t>Payables</t>
  </si>
  <si>
    <t>Royalty Income</t>
  </si>
  <si>
    <t>Franchisee Number of Store</t>
  </si>
  <si>
    <t>Total Other Income</t>
  </si>
  <si>
    <t>IN P&amp;L GM will be Rs. 1166.82 as we have not considered the Sales of the GT and Other Business in FY 23</t>
  </si>
  <si>
    <t>Sales Per Store</t>
  </si>
  <si>
    <t>Secoundry Sales of Stores</t>
  </si>
  <si>
    <t>Tachnical Knowhow Fees</t>
  </si>
  <si>
    <t>Software Installation</t>
  </si>
  <si>
    <t>FY 24</t>
  </si>
  <si>
    <t>FY 25</t>
  </si>
  <si>
    <t>FY 26</t>
  </si>
  <si>
    <t>FY 27</t>
  </si>
  <si>
    <t>Franchise + GT and Others</t>
  </si>
  <si>
    <t>* Nearly 100 % of Sales are Bakery Products</t>
  </si>
  <si>
    <t>Gross Margin Percentage</t>
  </si>
  <si>
    <t>5 Year CAGR</t>
  </si>
  <si>
    <t>Same Store</t>
  </si>
  <si>
    <t>Sales of Franchisee</t>
  </si>
  <si>
    <t>Same Store % Contribution</t>
  </si>
  <si>
    <t>New Store % Contribution Cum.</t>
  </si>
  <si>
    <t>New Store % Contribution During the year</t>
  </si>
  <si>
    <t xml:space="preserve">New StoreContribution </t>
  </si>
  <si>
    <t>Technical Knowhow Fees</t>
  </si>
  <si>
    <t>Royalty Rate</t>
  </si>
  <si>
    <t>Supply chain Cost</t>
  </si>
  <si>
    <t>Other Cost - Admin &amp; Misc Exp</t>
  </si>
  <si>
    <t>Admin Exp</t>
  </si>
  <si>
    <t>Annual Inflation---&gt;</t>
  </si>
  <si>
    <t>Admin Expenses</t>
  </si>
  <si>
    <t xml:space="preserve"> Q1 FY 23</t>
  </si>
  <si>
    <t xml:space="preserve"> Q2 FY 23</t>
  </si>
  <si>
    <t xml:space="preserve"> Q3 FY 23</t>
  </si>
  <si>
    <t xml:space="preserve"> Q4 FY 23</t>
  </si>
  <si>
    <t xml:space="preserve"> Q1 FY 24</t>
  </si>
  <si>
    <t xml:space="preserve"> Q2 FY 24</t>
  </si>
  <si>
    <t xml:space="preserve"> Q3 FY 24</t>
  </si>
  <si>
    <t xml:space="preserve"> Q4 FY 24</t>
  </si>
  <si>
    <t xml:space="preserve"> Q1 FY 25</t>
  </si>
  <si>
    <t xml:space="preserve"> Q2 FY 25</t>
  </si>
  <si>
    <t xml:space="preserve"> Q3 FY 25</t>
  </si>
  <si>
    <t xml:space="preserve"> Q4 FY 25</t>
  </si>
  <si>
    <t xml:space="preserve"> Q1 FY 26</t>
  </si>
  <si>
    <t xml:space="preserve"> Q2 FY 26</t>
  </si>
  <si>
    <t xml:space="preserve"> Q3 FY 26</t>
  </si>
  <si>
    <t xml:space="preserve"> Q4 FY 26</t>
  </si>
  <si>
    <t xml:space="preserve"> Q1 FY 27</t>
  </si>
  <si>
    <t xml:space="preserve"> Q2 FY 27</t>
  </si>
  <si>
    <t xml:space="preserve"> Q3 FY 27</t>
  </si>
  <si>
    <t xml:space="preserve"> Q4 FY 27</t>
  </si>
  <si>
    <t>IT /Sundry Charges</t>
  </si>
  <si>
    <t>Rent-Net</t>
  </si>
  <si>
    <t>Rates and taxes</t>
  </si>
  <si>
    <t>Professional Fees</t>
  </si>
  <si>
    <t>Audit Fees</t>
  </si>
  <si>
    <t>Labour Charges</t>
  </si>
  <si>
    <t>Other Miscellaneous</t>
  </si>
  <si>
    <t>Traveling allowances</t>
  </si>
  <si>
    <t>GT and Others</t>
  </si>
  <si>
    <t>Cash flow Statement</t>
  </si>
  <si>
    <t>Franchisee Support Expenses in Bangalore</t>
  </si>
  <si>
    <t>YoY Growth</t>
  </si>
  <si>
    <t>Existing Stores</t>
  </si>
  <si>
    <t>FY 21 Exit</t>
  </si>
  <si>
    <t>FY 22 Exit</t>
  </si>
  <si>
    <t>Secondary Sales Growth Rate</t>
  </si>
  <si>
    <t>Growth over</t>
  </si>
  <si>
    <t>Last Qtr.</t>
  </si>
  <si>
    <t>Existing Store</t>
  </si>
  <si>
    <t>Base Sales- Existing Stores</t>
  </si>
  <si>
    <t>Initial month sales/ Store- Lacs</t>
  </si>
  <si>
    <t>Secondary Sales- Lacs</t>
  </si>
  <si>
    <t>Avg 2021</t>
  </si>
  <si>
    <t>Avg 2022</t>
  </si>
  <si>
    <t>(Apr &amp; May'22)</t>
  </si>
  <si>
    <t>Region Mix%</t>
  </si>
  <si>
    <t>Grand  Total</t>
  </si>
  <si>
    <t>Franchisee Margin</t>
  </si>
  <si>
    <t>Secoundry Sales of New Store</t>
  </si>
  <si>
    <t>NDF Sales of New Store</t>
  </si>
  <si>
    <t>Purchases of Fixed Assets</t>
  </si>
  <si>
    <t xml:space="preserve"> Provision for Bad debts </t>
  </si>
  <si>
    <t>NDF Sales of Existing Sales</t>
  </si>
  <si>
    <t>Franchise + FRL + GT and Others</t>
  </si>
  <si>
    <t>Banglore</t>
  </si>
  <si>
    <t>Manglore</t>
  </si>
  <si>
    <t>Tiruvannamalai</t>
  </si>
  <si>
    <t>Andhrapradesh</t>
  </si>
  <si>
    <t>Other Deposits</t>
  </si>
  <si>
    <t>Other Receivable</t>
  </si>
  <si>
    <t>Security Deposits</t>
  </si>
  <si>
    <t>Balances with Government authorities</t>
  </si>
  <si>
    <t>Advances given to Suppliers</t>
  </si>
  <si>
    <t>Advances to employees</t>
  </si>
  <si>
    <t>Other Advances</t>
  </si>
  <si>
    <t>Provisions - Employee related provision</t>
  </si>
  <si>
    <t>Statutory Dues (include VAT, TDS, PF, Service tax ...</t>
  </si>
  <si>
    <t>Deferred Lease payables</t>
  </si>
  <si>
    <t>Advance received from customers</t>
  </si>
  <si>
    <t xml:space="preserve"> Capital advance received towards assets held for sale</t>
  </si>
  <si>
    <t>Interest accrued but not due &amp; due</t>
  </si>
  <si>
    <t>Security and Other Deposits received</t>
  </si>
  <si>
    <t>Payable on purchase of Fixed Assets</t>
  </si>
  <si>
    <t>FCL</t>
  </si>
  <si>
    <t>Borrowing</t>
  </si>
  <si>
    <t>Interest</t>
  </si>
  <si>
    <t>Working capital</t>
  </si>
  <si>
    <t>Change in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</si>
</sst>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_(* #,##0_);_(* \(#,##0\);_(* &quot;-&quot;??_);_(@_)"/>
    <numFmt numFmtId="165" formatCode="0.0%"/>
    <numFmt numFmtId="166" formatCode="_ * #,##0_ ;_ * \-#,##0_ ;_ * &quot;-&quot;??_ ;_ @_ "/>
    <numFmt numFmtId="167" formatCode="_(* #,##0.00_);_(* \(#,##0.00\);_(* &quot;-&quot;??_);_(@_)"/>
    <numFmt numFmtId="168" formatCode="0.000%"/>
    <numFmt numFmtId="169" formatCode="_(* #,##0.0_);_(* \(#,##0.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0"/>
      <name val="Calibri"/>
      <family val="2"/>
    </font>
    <font>
      <b/>
      <sz val="11"/>
      <color indexed="0"/>
      <name val="Calibri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0"/>
      <name val="Calibri"/>
      <family val="2"/>
      <scheme val="minor"/>
    </font>
    <font>
      <b/>
      <sz val="11"/>
      <color indexed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/>
      <name val="Calibri"/>
      <family val="2"/>
      <scheme val="minor"/>
    </font>
    <font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0" borderId="0"/>
    <xf numFmtId="167" fontId="15" fillId="0" borderId="0" applyFont="0" applyFill="0" applyBorder="0" applyAlignment="0" applyProtection="0"/>
    <xf numFmtId="0" fontId="18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0"/>
  </cellStyleXfs>
  <cellXfs count="37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164" fontId="0" fillId="0" borderId="1" xfId="1" applyNumberFormat="1" applyFont="1" applyBorder="1"/>
    <xf numFmtId="164" fontId="2" fillId="0" borderId="1" xfId="1" applyNumberFormat="1" applyFont="1" applyBorder="1"/>
    <xf numFmtId="164" fontId="2" fillId="0" borderId="1" xfId="0" applyNumberFormat="1" applyFont="1" applyBorder="1"/>
    <xf numFmtId="0" fontId="0" fillId="0" borderId="1" xfId="0" applyBorder="1"/>
    <xf numFmtId="1" fontId="0" fillId="2" borderId="1" xfId="0" applyNumberFormat="1" applyFill="1" applyBorder="1"/>
    <xf numFmtId="1" fontId="0" fillId="0" borderId="1" xfId="0" applyNumberFormat="1" applyBorder="1"/>
    <xf numFmtId="165" fontId="2" fillId="2" borderId="1" xfId="0" applyNumberFormat="1" applyFont="1" applyFill="1" applyBorder="1"/>
    <xf numFmtId="165" fontId="2" fillId="0" borderId="1" xfId="0" applyNumberFormat="1" applyFont="1" applyBorder="1"/>
    <xf numFmtId="165" fontId="0" fillId="2" borderId="1" xfId="0" applyNumberFormat="1" applyFill="1" applyBorder="1"/>
    <xf numFmtId="165" fontId="0" fillId="0" borderId="1" xfId="0" applyNumberFormat="1" applyBorder="1"/>
    <xf numFmtId="0" fontId="0" fillId="2" borderId="1" xfId="0" applyFill="1" applyBorder="1"/>
    <xf numFmtId="1" fontId="2" fillId="2" borderId="1" xfId="0" applyNumberFormat="1" applyFont="1" applyFill="1" applyBorder="1"/>
    <xf numFmtId="1" fontId="2" fillId="0" borderId="1" xfId="0" applyNumberFormat="1" applyFont="1" applyBorder="1"/>
    <xf numFmtId="3" fontId="2" fillId="2" borderId="1" xfId="0" applyNumberFormat="1" applyFont="1" applyFill="1" applyBorder="1"/>
    <xf numFmtId="3" fontId="2" fillId="0" borderId="1" xfId="0" applyNumberFormat="1" applyFont="1" applyBorder="1"/>
    <xf numFmtId="0" fontId="5" fillId="0" borderId="1" xfId="2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43" fontId="0" fillId="0" borderId="1" xfId="1" applyFont="1" applyBorder="1"/>
    <xf numFmtId="166" fontId="0" fillId="0" borderId="0" xfId="0" applyNumberFormat="1"/>
    <xf numFmtId="166" fontId="0" fillId="0" borderId="1" xfId="1" applyNumberFormat="1" applyFont="1" applyBorder="1"/>
    <xf numFmtId="166" fontId="0" fillId="0" borderId="1" xfId="0" applyNumberFormat="1" applyBorder="1"/>
    <xf numFmtId="166" fontId="0" fillId="2" borderId="1" xfId="0" applyNumberFormat="1" applyFill="1" applyBorder="1"/>
    <xf numFmtId="166" fontId="2" fillId="2" borderId="1" xfId="0" applyNumberFormat="1" applyFont="1" applyFill="1" applyBorder="1"/>
    <xf numFmtId="43" fontId="0" fillId="0" borderId="0" xfId="1" applyFont="1"/>
    <xf numFmtId="0" fontId="2" fillId="0" borderId="0" xfId="0" applyFont="1"/>
    <xf numFmtId="43" fontId="2" fillId="0" borderId="0" xfId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0" fontId="10" fillId="0" borderId="0" xfId="0" applyFont="1"/>
    <xf numFmtId="2" fontId="0" fillId="0" borderId="0" xfId="3" applyNumberFormat="1" applyFont="1"/>
    <xf numFmtId="43" fontId="0" fillId="0" borderId="0" xfId="1" applyFont="1" applyBorder="1"/>
    <xf numFmtId="43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4" borderId="0" xfId="0" applyFill="1"/>
    <xf numFmtId="164" fontId="0" fillId="4" borderId="1" xfId="1" applyNumberFormat="1" applyFont="1" applyFill="1" applyBorder="1"/>
    <xf numFmtId="0" fontId="0" fillId="4" borderId="1" xfId="0" applyFill="1" applyBorder="1"/>
    <xf numFmtId="166" fontId="0" fillId="4" borderId="1" xfId="0" applyNumberFormat="1" applyFill="1" applyBorder="1"/>
    <xf numFmtId="43" fontId="0" fillId="4" borderId="0" xfId="1" applyFont="1" applyFill="1"/>
    <xf numFmtId="0" fontId="11" fillId="0" borderId="1" xfId="0" applyFont="1" applyBorder="1"/>
    <xf numFmtId="0" fontId="11" fillId="0" borderId="0" xfId="0" applyFont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6" fontId="12" fillId="0" borderId="1" xfId="1" applyNumberFormat="1" applyFont="1" applyBorder="1"/>
    <xf numFmtId="166" fontId="11" fillId="0" borderId="1" xfId="1" applyNumberFormat="1" applyFont="1" applyFill="1" applyBorder="1"/>
    <xf numFmtId="166" fontId="11" fillId="0" borderId="1" xfId="1" applyNumberFormat="1" applyFont="1" applyBorder="1"/>
    <xf numFmtId="9" fontId="11" fillId="0" borderId="0" xfId="0" applyNumberFormat="1" applyFont="1"/>
    <xf numFmtId="166" fontId="0" fillId="0" borderId="0" xfId="1" applyNumberFormat="1" applyFont="1"/>
    <xf numFmtId="166" fontId="2" fillId="2" borderId="1" xfId="1" applyNumberFormat="1" applyFont="1" applyFill="1" applyBorder="1" applyAlignment="1">
      <alignment horizontal="center"/>
    </xf>
    <xf numFmtId="9" fontId="0" fillId="0" borderId="1" xfId="3" applyFont="1" applyBorder="1"/>
    <xf numFmtId="0" fontId="1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3" fillId="5" borderId="2" xfId="0" applyFont="1" applyFill="1" applyBorder="1" applyAlignment="1">
      <alignment horizontal="centerContinuous"/>
    </xf>
    <xf numFmtId="0" fontId="2" fillId="5" borderId="3" xfId="0" applyFont="1" applyFill="1" applyBorder="1" applyAlignment="1">
      <alignment horizontal="centerContinuous"/>
    </xf>
    <xf numFmtId="0" fontId="2" fillId="5" borderId="4" xfId="0" applyFont="1" applyFill="1" applyBorder="1" applyAlignment="1">
      <alignment horizontal="centerContinuous"/>
    </xf>
    <xf numFmtId="0" fontId="2" fillId="6" borderId="5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7" borderId="0" xfId="0" applyFill="1" applyBorder="1" applyAlignment="1">
      <alignment horizontal="left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2" fillId="5" borderId="5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64" fontId="0" fillId="0" borderId="8" xfId="4" applyNumberFormat="1" applyFont="1" applyFill="1" applyBorder="1" applyAlignment="1">
      <alignment horizontal="center"/>
    </xf>
    <xf numFmtId="164" fontId="0" fillId="0" borderId="9" xfId="4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164" fontId="2" fillId="5" borderId="5" xfId="0" applyNumberFormat="1" applyFont="1" applyFill="1" applyBorder="1" applyAlignment="1">
      <alignment horizontal="center"/>
    </xf>
    <xf numFmtId="164" fontId="2" fillId="5" borderId="6" xfId="0" applyNumberFormat="1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167" fontId="0" fillId="0" borderId="0" xfId="0" applyNumberFormat="1"/>
    <xf numFmtId="0" fontId="13" fillId="0" borderId="0" xfId="0" applyFont="1"/>
    <xf numFmtId="164" fontId="0" fillId="0" borderId="0" xfId="4" applyNumberFormat="1" applyFont="1" applyFill="1" applyBorder="1" applyAlignment="1">
      <alignment horizontal="center"/>
    </xf>
    <xf numFmtId="164" fontId="2" fillId="5" borderId="5" xfId="4" applyNumberFormat="1" applyFont="1" applyFill="1" applyBorder="1" applyAlignment="1">
      <alignment horizontal="center"/>
    </xf>
    <xf numFmtId="164" fontId="2" fillId="5" borderId="7" xfId="4" applyNumberFormat="1" applyFont="1" applyFill="1" applyBorder="1" applyAlignment="1">
      <alignment horizontal="center"/>
    </xf>
    <xf numFmtId="164" fontId="2" fillId="5" borderId="6" xfId="4" applyNumberFormat="1" applyFont="1" applyFill="1" applyBorder="1" applyAlignment="1">
      <alignment horizontal="center"/>
    </xf>
    <xf numFmtId="2" fontId="0" fillId="0" borderId="0" xfId="0" applyNumberFormat="1"/>
    <xf numFmtId="9" fontId="0" fillId="0" borderId="1" xfId="3" applyFont="1" applyFill="1" applyBorder="1"/>
    <xf numFmtId="10" fontId="12" fillId="0" borderId="1" xfId="3" applyNumberFormat="1" applyFont="1" applyBorder="1"/>
    <xf numFmtId="10" fontId="12" fillId="0" borderId="1" xfId="3" applyNumberFormat="1" applyFont="1" applyFill="1" applyBorder="1"/>
    <xf numFmtId="166" fontId="11" fillId="0" borderId="1" xfId="0" applyNumberFormat="1" applyFont="1" applyFill="1" applyBorder="1"/>
    <xf numFmtId="166" fontId="1" fillId="0" borderId="1" xfId="1" applyNumberFormat="1" applyFont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0" fillId="2" borderId="1" xfId="1" applyNumberFormat="1" applyFont="1" applyFill="1" applyBorder="1"/>
    <xf numFmtId="168" fontId="0" fillId="0" borderId="0" xfId="3" applyNumberFormat="1" applyFont="1"/>
    <xf numFmtId="166" fontId="0" fillId="0" borderId="1" xfId="1" applyNumberFormat="1" applyFont="1" applyFill="1" applyBorder="1"/>
    <xf numFmtId="166" fontId="11" fillId="0" borderId="1" xfId="0" applyNumberFormat="1" applyFont="1" applyBorder="1"/>
    <xf numFmtId="0" fontId="15" fillId="0" borderId="0" xfId="5" applyBorder="1"/>
    <xf numFmtId="166" fontId="12" fillId="0" borderId="1" xfId="1" applyNumberFormat="1" applyFont="1" applyFill="1" applyBorder="1"/>
    <xf numFmtId="0" fontId="0" fillId="9" borderId="1" xfId="0" applyFill="1" applyBorder="1"/>
    <xf numFmtId="166" fontId="0" fillId="9" borderId="1" xfId="0" applyNumberFormat="1" applyFill="1" applyBorder="1"/>
    <xf numFmtId="1" fontId="0" fillId="9" borderId="1" xfId="0" applyNumberFormat="1" applyFill="1" applyBorder="1"/>
    <xf numFmtId="9" fontId="0" fillId="9" borderId="1" xfId="0" applyNumberFormat="1" applyFill="1" applyBorder="1"/>
    <xf numFmtId="0" fontId="0" fillId="9" borderId="1" xfId="0" applyFill="1" applyBorder="1" applyAlignment="1">
      <alignment horizontal="left" indent="1"/>
    </xf>
    <xf numFmtId="1" fontId="0" fillId="0" borderId="0" xfId="0" applyNumberFormat="1"/>
    <xf numFmtId="1" fontId="2" fillId="0" borderId="0" xfId="0" applyNumberFormat="1" applyFont="1"/>
    <xf numFmtId="165" fontId="0" fillId="0" borderId="0" xfId="0" applyNumberFormat="1"/>
    <xf numFmtId="0" fontId="0" fillId="0" borderId="0" xfId="0" applyFont="1"/>
    <xf numFmtId="0" fontId="0" fillId="0" borderId="1" xfId="0" applyBorder="1" applyAlignment="1">
      <alignment wrapText="1"/>
    </xf>
    <xf numFmtId="9" fontId="11" fillId="0" borderId="1" xfId="0" applyNumberFormat="1" applyFont="1" applyBorder="1"/>
    <xf numFmtId="9" fontId="11" fillId="4" borderId="1" xfId="0" applyNumberFormat="1" applyFont="1" applyFill="1" applyBorder="1"/>
    <xf numFmtId="166" fontId="11" fillId="0" borderId="0" xfId="1" applyNumberFormat="1" applyFont="1" applyBorder="1"/>
    <xf numFmtId="9" fontId="11" fillId="0" borderId="1" xfId="1" applyNumberFormat="1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wrapText="1"/>
    </xf>
    <xf numFmtId="9" fontId="11" fillId="0" borderId="1" xfId="1" applyNumberFormat="1" applyFont="1" applyFill="1" applyBorder="1" applyAlignment="1">
      <alignment vertical="center"/>
    </xf>
    <xf numFmtId="166" fontId="0" fillId="0" borderId="0" xfId="1" applyNumberFormat="1" applyFont="1" applyBorder="1"/>
    <xf numFmtId="3" fontId="0" fillId="0" borderId="0" xfId="0" applyNumberFormat="1"/>
    <xf numFmtId="166" fontId="2" fillId="0" borderId="1" xfId="1" applyNumberFormat="1" applyFont="1" applyBorder="1"/>
    <xf numFmtId="43" fontId="11" fillId="0" borderId="0" xfId="0" applyNumberFormat="1" applyFont="1"/>
    <xf numFmtId="9" fontId="11" fillId="0" borderId="0" xfId="3" applyFont="1"/>
    <xf numFmtId="0" fontId="15" fillId="0" borderId="1" xfId="5" applyBorder="1"/>
    <xf numFmtId="0" fontId="15" fillId="0" borderId="1" xfId="5" applyBorder="1" applyAlignment="1">
      <alignment wrapText="1"/>
    </xf>
    <xf numFmtId="9" fontId="15" fillId="0" borderId="1" xfId="5" applyNumberFormat="1" applyBorder="1"/>
    <xf numFmtId="43" fontId="15" fillId="0" borderId="1" xfId="1" applyFont="1" applyBorder="1"/>
    <xf numFmtId="166" fontId="15" fillId="0" borderId="1" xfId="5" applyNumberFormat="1" applyBorder="1"/>
    <xf numFmtId="166" fontId="15" fillId="0" borderId="1" xfId="1" applyNumberFormat="1" applyFont="1" applyBorder="1" applyAlignment="1">
      <alignment wrapText="1"/>
    </xf>
    <xf numFmtId="166" fontId="15" fillId="0" borderId="1" xfId="1" applyNumberFormat="1" applyFont="1" applyBorder="1"/>
    <xf numFmtId="0" fontId="11" fillId="0" borderId="1" xfId="0" applyFont="1" applyBorder="1" applyAlignment="1">
      <alignment wrapText="1"/>
    </xf>
    <xf numFmtId="9" fontId="11" fillId="0" borderId="1" xfId="3" applyFont="1" applyFill="1" applyBorder="1"/>
    <xf numFmtId="43" fontId="11" fillId="0" borderId="1" xfId="0" applyNumberFormat="1" applyFont="1" applyBorder="1"/>
    <xf numFmtId="166" fontId="15" fillId="0" borderId="1" xfId="5" applyNumberFormat="1" applyBorder="1" applyAlignment="1">
      <alignment wrapText="1"/>
    </xf>
    <xf numFmtId="43" fontId="15" fillId="0" borderId="1" xfId="5" applyNumberFormat="1" applyBorder="1" applyAlignment="1">
      <alignment wrapText="1"/>
    </xf>
    <xf numFmtId="43" fontId="15" fillId="0" borderId="1" xfId="1" applyNumberFormat="1" applyFont="1" applyBorder="1" applyAlignment="1">
      <alignment wrapText="1"/>
    </xf>
    <xf numFmtId="166" fontId="11" fillId="0" borderId="0" xfId="1" applyNumberFormat="1" applyFont="1"/>
    <xf numFmtId="0" fontId="16" fillId="0" borderId="1" xfId="5" applyFont="1" applyBorder="1"/>
    <xf numFmtId="0" fontId="16" fillId="0" borderId="1" xfId="5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0" fillId="0" borderId="1" xfId="0" applyFont="1" applyBorder="1"/>
    <xf numFmtId="166" fontId="1" fillId="0" borderId="1" xfId="1" applyNumberFormat="1" applyFont="1" applyBorder="1"/>
    <xf numFmtId="166" fontId="2" fillId="0" borderId="1" xfId="0" applyNumberFormat="1" applyFont="1" applyBorder="1"/>
    <xf numFmtId="9" fontId="0" fillId="0" borderId="1" xfId="3" applyNumberFormat="1" applyFont="1" applyBorder="1"/>
    <xf numFmtId="9" fontId="0" fillId="0" borderId="0" xfId="3" applyFont="1"/>
    <xf numFmtId="0" fontId="0" fillId="0" borderId="1" xfId="0" applyFill="1" applyBorder="1"/>
    <xf numFmtId="0" fontId="0" fillId="0" borderId="0" xfId="0" applyAlignment="1">
      <alignment horizontal="left"/>
    </xf>
    <xf numFmtId="0" fontId="19" fillId="0" borderId="31" xfId="5" applyFont="1" applyBorder="1" applyAlignment="1">
      <alignment wrapText="1"/>
    </xf>
    <xf numFmtId="9" fontId="0" fillId="0" borderId="1" xfId="0" applyNumberFormat="1" applyFont="1" applyBorder="1"/>
    <xf numFmtId="9" fontId="0" fillId="0" borderId="0" xfId="0" applyNumberFormat="1" applyFont="1"/>
    <xf numFmtId="166" fontId="0" fillId="0" borderId="1" xfId="0" applyNumberFormat="1" applyFont="1" applyBorder="1"/>
    <xf numFmtId="0" fontId="0" fillId="0" borderId="24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15" xfId="0" applyFont="1" applyBorder="1"/>
    <xf numFmtId="9" fontId="0" fillId="0" borderId="25" xfId="3" applyFont="1" applyBorder="1"/>
    <xf numFmtId="166" fontId="0" fillId="0" borderId="20" xfId="0" applyNumberFormat="1" applyFont="1" applyBorder="1"/>
    <xf numFmtId="166" fontId="0" fillId="0" borderId="20" xfId="1" applyNumberFormat="1" applyFont="1" applyBorder="1"/>
    <xf numFmtId="0" fontId="0" fillId="0" borderId="20" xfId="0" applyFont="1" applyBorder="1"/>
    <xf numFmtId="43" fontId="0" fillId="0" borderId="20" xfId="0" applyNumberFormat="1" applyFont="1" applyBorder="1"/>
    <xf numFmtId="9" fontId="0" fillId="0" borderId="26" xfId="3" applyFont="1" applyBorder="1"/>
    <xf numFmtId="166" fontId="0" fillId="0" borderId="21" xfId="0" applyNumberFormat="1" applyFont="1" applyBorder="1"/>
    <xf numFmtId="166" fontId="0" fillId="0" borderId="21" xfId="1" applyNumberFormat="1" applyFont="1" applyBorder="1"/>
    <xf numFmtId="0" fontId="0" fillId="0" borderId="21" xfId="0" applyFont="1" applyBorder="1"/>
    <xf numFmtId="0" fontId="2" fillId="0" borderId="3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0" fillId="0" borderId="13" xfId="0" applyFont="1" applyBorder="1"/>
    <xf numFmtId="9" fontId="0" fillId="0" borderId="13" xfId="0" applyNumberFormat="1" applyFont="1" applyBorder="1"/>
    <xf numFmtId="43" fontId="0" fillId="0" borderId="13" xfId="0" applyNumberFormat="1" applyFont="1" applyBorder="1"/>
    <xf numFmtId="0" fontId="20" fillId="0" borderId="24" xfId="5" applyFont="1" applyBorder="1"/>
    <xf numFmtId="0" fontId="20" fillId="0" borderId="24" xfId="5" applyFont="1" applyBorder="1" applyAlignment="1">
      <alignment wrapText="1"/>
    </xf>
    <xf numFmtId="0" fontId="20" fillId="0" borderId="22" xfId="5" applyFont="1" applyBorder="1" applyAlignment="1">
      <alignment wrapText="1"/>
    </xf>
    <xf numFmtId="0" fontId="20" fillId="0" borderId="25" xfId="5" applyFont="1" applyBorder="1"/>
    <xf numFmtId="166" fontId="20" fillId="0" borderId="25" xfId="1" applyNumberFormat="1" applyFont="1" applyBorder="1" applyAlignment="1">
      <alignment wrapText="1"/>
    </xf>
    <xf numFmtId="0" fontId="20" fillId="0" borderId="25" xfId="5" applyFont="1" applyBorder="1" applyAlignment="1">
      <alignment wrapText="1"/>
    </xf>
    <xf numFmtId="9" fontId="20" fillId="0" borderId="25" xfId="5" applyNumberFormat="1" applyFont="1" applyBorder="1"/>
    <xf numFmtId="166" fontId="20" fillId="0" borderId="25" xfId="1" applyNumberFormat="1" applyFont="1" applyBorder="1"/>
    <xf numFmtId="9" fontId="20" fillId="0" borderId="6" xfId="3" applyFont="1" applyBorder="1" applyAlignment="1">
      <alignment wrapText="1"/>
    </xf>
    <xf numFmtId="0" fontId="20" fillId="0" borderId="26" xfId="5" applyFont="1" applyBorder="1"/>
    <xf numFmtId="166" fontId="20" fillId="0" borderId="26" xfId="1" applyNumberFormat="1" applyFont="1" applyBorder="1"/>
    <xf numFmtId="9" fontId="20" fillId="0" borderId="26" xfId="5" applyNumberFormat="1" applyFont="1" applyBorder="1"/>
    <xf numFmtId="166" fontId="20" fillId="0" borderId="26" xfId="1" applyNumberFormat="1" applyFont="1" applyBorder="1" applyAlignment="1">
      <alignment wrapText="1"/>
    </xf>
    <xf numFmtId="9" fontId="20" fillId="0" borderId="23" xfId="3" applyFont="1" applyBorder="1" applyAlignment="1">
      <alignment wrapText="1"/>
    </xf>
    <xf numFmtId="0" fontId="20" fillId="0" borderId="0" xfId="5" applyFont="1" applyBorder="1"/>
    <xf numFmtId="0" fontId="21" fillId="0" borderId="30" xfId="5" applyFont="1" applyBorder="1"/>
    <xf numFmtId="0" fontId="21" fillId="0" borderId="31" xfId="5" applyFont="1" applyBorder="1" applyAlignment="1">
      <alignment wrapText="1"/>
    </xf>
    <xf numFmtId="0" fontId="21" fillId="0" borderId="31" xfId="5" applyFont="1" applyBorder="1"/>
    <xf numFmtId="0" fontId="20" fillId="0" borderId="13" xfId="5" applyFont="1" applyBorder="1"/>
    <xf numFmtId="166" fontId="20" fillId="0" borderId="13" xfId="1" applyNumberFormat="1" applyFont="1" applyBorder="1" applyAlignment="1">
      <alignment wrapText="1"/>
    </xf>
    <xf numFmtId="0" fontId="20" fillId="0" borderId="13" xfId="5" applyFont="1" applyBorder="1" applyAlignment="1">
      <alignment wrapText="1"/>
    </xf>
    <xf numFmtId="43" fontId="20" fillId="0" borderId="13" xfId="5" applyNumberFormat="1" applyFont="1" applyBorder="1" applyAlignment="1">
      <alignment wrapText="1"/>
    </xf>
    <xf numFmtId="9" fontId="20" fillId="0" borderId="13" xfId="5" applyNumberFormat="1" applyFont="1" applyBorder="1"/>
    <xf numFmtId="43" fontId="20" fillId="0" borderId="13" xfId="1" applyFont="1" applyBorder="1"/>
    <xf numFmtId="0" fontId="20" fillId="0" borderId="1" xfId="5" applyFont="1" applyBorder="1"/>
    <xf numFmtId="0" fontId="20" fillId="0" borderId="1" xfId="5" applyFont="1" applyBorder="1" applyAlignment="1">
      <alignment wrapText="1"/>
    </xf>
    <xf numFmtId="166" fontId="20" fillId="0" borderId="1" xfId="1" applyNumberFormat="1" applyFont="1" applyBorder="1" applyAlignment="1">
      <alignment wrapText="1"/>
    </xf>
    <xf numFmtId="166" fontId="20" fillId="0" borderId="1" xfId="5" applyNumberFormat="1" applyFont="1" applyBorder="1" applyAlignment="1">
      <alignment wrapText="1"/>
    </xf>
    <xf numFmtId="9" fontId="20" fillId="0" borderId="1" xfId="5" applyNumberFormat="1" applyFont="1" applyBorder="1"/>
    <xf numFmtId="166" fontId="20" fillId="0" borderId="1" xfId="1" applyNumberFormat="1" applyFont="1" applyBorder="1"/>
    <xf numFmtId="166" fontId="20" fillId="0" borderId="1" xfId="5" applyNumberFormat="1" applyFont="1" applyBorder="1"/>
    <xf numFmtId="9" fontId="0" fillId="0" borderId="25" xfId="3" applyNumberFormat="1" applyFont="1" applyBorder="1"/>
    <xf numFmtId="166" fontId="0" fillId="10" borderId="16" xfId="0" applyNumberFormat="1" applyFont="1" applyFill="1" applyBorder="1"/>
    <xf numFmtId="166" fontId="0" fillId="10" borderId="17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166" fontId="0" fillId="0" borderId="1" xfId="1" applyNumberFormat="1" applyFont="1" applyBorder="1" applyAlignment="1">
      <alignment wrapText="1"/>
    </xf>
    <xf numFmtId="9" fontId="0" fillId="0" borderId="0" xfId="3" applyNumberFormat="1" applyFont="1"/>
    <xf numFmtId="166" fontId="0" fillId="0" borderId="5" xfId="1" applyNumberFormat="1" applyFont="1" applyBorder="1"/>
    <xf numFmtId="166" fontId="0" fillId="0" borderId="1" xfId="1" quotePrefix="1" applyNumberFormat="1" applyFont="1" applyBorder="1" applyAlignment="1">
      <alignment horizontal="right"/>
    </xf>
    <xf numFmtId="0" fontId="2" fillId="6" borderId="1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0" fillId="10" borderId="16" xfId="0" applyFont="1" applyFill="1" applyBorder="1"/>
    <xf numFmtId="0" fontId="0" fillId="10" borderId="19" xfId="0" applyFont="1" applyFill="1" applyBorder="1" applyAlignment="1">
      <alignment wrapText="1"/>
    </xf>
    <xf numFmtId="3" fontId="0" fillId="0" borderId="0" xfId="0" applyNumberFormat="1" applyAlignment="1">
      <alignment horizontal="center"/>
    </xf>
    <xf numFmtId="3" fontId="2" fillId="0" borderId="0" xfId="0" applyNumberFormat="1" applyFont="1"/>
    <xf numFmtId="4" fontId="0" fillId="0" borderId="1" xfId="0" applyNumberFormat="1" applyBorder="1"/>
    <xf numFmtId="0" fontId="2" fillId="11" borderId="1" xfId="0" applyFont="1" applyFill="1" applyBorder="1"/>
    <xf numFmtId="0" fontId="0" fillId="0" borderId="0" xfId="0" applyFill="1"/>
    <xf numFmtId="164" fontId="0" fillId="0" borderId="1" xfId="1" applyNumberFormat="1" applyFont="1" applyFill="1" applyBorder="1"/>
    <xf numFmtId="164" fontId="0" fillId="0" borderId="1" xfId="1" applyNumberFormat="1" applyFont="1" applyBorder="1" applyAlignment="1">
      <alignment horizontal="left" vertical="top"/>
    </xf>
    <xf numFmtId="164" fontId="0" fillId="0" borderId="1" xfId="1" applyNumberFormat="1" applyFont="1" applyFill="1" applyBorder="1" applyAlignment="1">
      <alignment horizontal="left" vertical="top"/>
    </xf>
    <xf numFmtId="0" fontId="0" fillId="0" borderId="0" xfId="0" applyFont="1" applyFill="1"/>
    <xf numFmtId="9" fontId="0" fillId="0" borderId="0" xfId="0" applyNumberFormat="1"/>
    <xf numFmtId="3" fontId="0" fillId="0" borderId="1" xfId="0" applyNumberFormat="1" applyBorder="1"/>
    <xf numFmtId="0" fontId="0" fillId="0" borderId="34" xfId="0" applyBorder="1"/>
    <xf numFmtId="0" fontId="0" fillId="0" borderId="37" xfId="0" applyBorder="1"/>
    <xf numFmtId="0" fontId="0" fillId="0" borderId="39" xfId="0" applyBorder="1"/>
    <xf numFmtId="0" fontId="0" fillId="0" borderId="40" xfId="0" applyBorder="1"/>
    <xf numFmtId="166" fontId="2" fillId="0" borderId="1" xfId="1" applyNumberFormat="1" applyFont="1" applyBorder="1" applyAlignment="1">
      <alignment horizontal="center"/>
    </xf>
    <xf numFmtId="166" fontId="0" fillId="0" borderId="13" xfId="1" applyNumberFormat="1" applyFont="1" applyBorder="1"/>
    <xf numFmtId="43" fontId="0" fillId="0" borderId="0" xfId="1" applyNumberFormat="1" applyFont="1"/>
    <xf numFmtId="0" fontId="0" fillId="0" borderId="35" xfId="0" applyBorder="1"/>
    <xf numFmtId="166" fontId="0" fillId="0" borderId="35" xfId="1" applyNumberFormat="1" applyFont="1" applyBorder="1"/>
    <xf numFmtId="166" fontId="2" fillId="0" borderId="0" xfId="1" applyNumberFormat="1" applyFont="1"/>
    <xf numFmtId="166" fontId="2" fillId="11" borderId="1" xfId="1" applyNumberFormat="1" applyFont="1" applyFill="1" applyBorder="1"/>
    <xf numFmtId="166" fontId="0" fillId="11" borderId="1" xfId="1" applyNumberFormat="1" applyFont="1" applyFill="1" applyBorder="1"/>
    <xf numFmtId="166" fontId="0" fillId="11" borderId="1" xfId="0" applyNumberFormat="1" applyFill="1" applyBorder="1"/>
    <xf numFmtId="9" fontId="2" fillId="11" borderId="1" xfId="3" applyFont="1" applyFill="1" applyBorder="1"/>
    <xf numFmtId="9" fontId="0" fillId="11" borderId="1" xfId="3" applyFont="1" applyFill="1" applyBorder="1"/>
    <xf numFmtId="166" fontId="2" fillId="2" borderId="35" xfId="1" applyNumberFormat="1" applyFont="1" applyFill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5" xfId="0" applyFont="1" applyFill="1" applyBorder="1" applyAlignment="1">
      <alignment horizontal="center" wrapText="1"/>
    </xf>
    <xf numFmtId="0" fontId="0" fillId="11" borderId="37" xfId="0" applyFill="1" applyBorder="1"/>
    <xf numFmtId="9" fontId="0" fillId="0" borderId="40" xfId="3" applyFont="1" applyBorder="1"/>
    <xf numFmtId="9" fontId="0" fillId="0" borderId="21" xfId="3" applyFont="1" applyBorder="1"/>
    <xf numFmtId="43" fontId="0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10" fontId="2" fillId="0" borderId="1" xfId="3" applyNumberFormat="1" applyFont="1" applyBorder="1"/>
    <xf numFmtId="164" fontId="2" fillId="0" borderId="1" xfId="1" applyNumberFormat="1" applyFont="1" applyFill="1" applyBorder="1" applyAlignment="1">
      <alignment horizontal="left" vertical="top"/>
    </xf>
    <xf numFmtId="9" fontId="0" fillId="0" borderId="0" xfId="3" applyFont="1" applyBorder="1"/>
    <xf numFmtId="0" fontId="0" fillId="0" borderId="1" xfId="0" applyFont="1" applyBorder="1" applyAlignment="1">
      <alignment wrapText="1"/>
    </xf>
    <xf numFmtId="0" fontId="21" fillId="0" borderId="1" xfId="5" applyFont="1" applyBorder="1"/>
    <xf numFmtId="0" fontId="21" fillId="0" borderId="1" xfId="5" applyFont="1" applyBorder="1" applyAlignment="1">
      <alignment wrapText="1"/>
    </xf>
    <xf numFmtId="0" fontId="19" fillId="0" borderId="1" xfId="5" applyFont="1" applyBorder="1" applyAlignment="1">
      <alignment wrapText="1"/>
    </xf>
    <xf numFmtId="43" fontId="20" fillId="0" borderId="1" xfId="5" applyNumberFormat="1" applyFont="1" applyBorder="1" applyAlignment="1">
      <alignment wrapText="1"/>
    </xf>
    <xf numFmtId="43" fontId="20" fillId="0" borderId="1" xfId="1" applyFont="1" applyBorder="1"/>
    <xf numFmtId="0" fontId="0" fillId="0" borderId="37" xfId="0" applyFont="1" applyBorder="1" applyAlignment="1">
      <alignment wrapText="1"/>
    </xf>
    <xf numFmtId="0" fontId="0" fillId="0" borderId="38" xfId="0" applyFont="1" applyBorder="1"/>
    <xf numFmtId="166" fontId="0" fillId="0" borderId="37" xfId="0" applyNumberFormat="1" applyFont="1" applyBorder="1"/>
    <xf numFmtId="166" fontId="0" fillId="0" borderId="38" xfId="0" applyNumberFormat="1" applyFont="1" applyBorder="1"/>
    <xf numFmtId="166" fontId="0" fillId="0" borderId="39" xfId="0" applyNumberFormat="1" applyFont="1" applyBorder="1"/>
    <xf numFmtId="0" fontId="21" fillId="0" borderId="37" xfId="5" applyFont="1" applyBorder="1"/>
    <xf numFmtId="0" fontId="2" fillId="0" borderId="38" xfId="0" applyFont="1" applyBorder="1" applyAlignment="1">
      <alignment wrapText="1"/>
    </xf>
    <xf numFmtId="0" fontId="20" fillId="0" borderId="37" xfId="5" applyFont="1" applyBorder="1"/>
    <xf numFmtId="43" fontId="0" fillId="0" borderId="38" xfId="0" applyNumberFormat="1" applyFont="1" applyBorder="1"/>
    <xf numFmtId="0" fontId="20" fillId="0" borderId="39" xfId="5" applyFont="1" applyBorder="1"/>
    <xf numFmtId="166" fontId="20" fillId="0" borderId="40" xfId="5" applyNumberFormat="1" applyFont="1" applyBorder="1"/>
    <xf numFmtId="166" fontId="20" fillId="0" borderId="40" xfId="1" applyNumberFormat="1" applyFont="1" applyBorder="1" applyAlignment="1">
      <alignment wrapText="1"/>
    </xf>
    <xf numFmtId="9" fontId="20" fillId="0" borderId="40" xfId="5" applyNumberFormat="1" applyFont="1" applyBorder="1"/>
    <xf numFmtId="166" fontId="20" fillId="0" borderId="40" xfId="5" applyNumberFormat="1" applyFont="1" applyBorder="1" applyAlignment="1">
      <alignment wrapText="1"/>
    </xf>
    <xf numFmtId="166" fontId="20" fillId="0" borderId="40" xfId="1" applyNumberFormat="1" applyFont="1" applyBorder="1"/>
    <xf numFmtId="166" fontId="0" fillId="0" borderId="41" xfId="0" applyNumberFormat="1" applyFont="1" applyBorder="1"/>
    <xf numFmtId="0" fontId="0" fillId="0" borderId="37" xfId="0" applyBorder="1" applyAlignment="1">
      <alignment wrapText="1"/>
    </xf>
    <xf numFmtId="0" fontId="20" fillId="0" borderId="38" xfId="5" applyFont="1" applyBorder="1" applyAlignment="1">
      <alignment wrapText="1"/>
    </xf>
    <xf numFmtId="166" fontId="0" fillId="0" borderId="37" xfId="1" applyNumberFormat="1" applyFont="1" applyBorder="1"/>
    <xf numFmtId="9" fontId="20" fillId="0" borderId="38" xfId="3" applyFont="1" applyBorder="1" applyAlignment="1">
      <alignment wrapText="1"/>
    </xf>
    <xf numFmtId="166" fontId="0" fillId="0" borderId="39" xfId="1" applyNumberFormat="1" applyFont="1" applyBorder="1"/>
    <xf numFmtId="0" fontId="20" fillId="0" borderId="40" xfId="5" applyFont="1" applyBorder="1"/>
    <xf numFmtId="9" fontId="20" fillId="0" borderId="41" xfId="3" applyFont="1" applyBorder="1" applyAlignment="1">
      <alignment wrapText="1"/>
    </xf>
    <xf numFmtId="166" fontId="22" fillId="0" borderId="35" xfId="1" applyNumberFormat="1" applyFont="1" applyBorder="1"/>
    <xf numFmtId="166" fontId="19" fillId="11" borderId="1" xfId="1" applyNumberFormat="1" applyFont="1" applyFill="1" applyBorder="1"/>
    <xf numFmtId="166" fontId="22" fillId="0" borderId="1" xfId="1" applyNumberFormat="1" applyFont="1" applyBorder="1"/>
    <xf numFmtId="166" fontId="22" fillId="11" borderId="1" xfId="1" applyNumberFormat="1" applyFont="1" applyFill="1" applyBorder="1"/>
    <xf numFmtId="166" fontId="0" fillId="0" borderId="0" xfId="0" applyNumberFormat="1" applyFont="1"/>
    <xf numFmtId="166" fontId="0" fillId="0" borderId="1" xfId="1" applyNumberFormat="1" applyFont="1" applyBorder="1" applyAlignment="1">
      <alignment horizontal="center"/>
    </xf>
    <xf numFmtId="1" fontId="0" fillId="2" borderId="1" xfId="0" applyNumberFormat="1" applyFont="1" applyFill="1" applyBorder="1"/>
    <xf numFmtId="1" fontId="0" fillId="0" borderId="1" xfId="0" applyNumberFormat="1" applyFont="1" applyBorder="1"/>
    <xf numFmtId="0" fontId="0" fillId="2" borderId="1" xfId="0" applyFont="1" applyFill="1" applyBorder="1"/>
    <xf numFmtId="165" fontId="0" fillId="0" borderId="0" xfId="0" applyNumberFormat="1" applyFont="1"/>
    <xf numFmtId="1" fontId="0" fillId="0" borderId="0" xfId="0" applyNumberFormat="1" applyFont="1"/>
    <xf numFmtId="166" fontId="2" fillId="0" borderId="1" xfId="0" applyNumberFormat="1" applyFont="1" applyFill="1" applyBorder="1"/>
    <xf numFmtId="165" fontId="2" fillId="0" borderId="1" xfId="0" applyNumberFormat="1" applyFont="1" applyFill="1" applyBorder="1"/>
    <xf numFmtId="164" fontId="0" fillId="0" borderId="0" xfId="0" applyNumberFormat="1"/>
    <xf numFmtId="164" fontId="2" fillId="0" borderId="0" xfId="4" applyNumberFormat="1" applyFont="1" applyFill="1"/>
    <xf numFmtId="9" fontId="0" fillId="12" borderId="0" xfId="0" applyNumberFormat="1" applyFill="1"/>
    <xf numFmtId="0" fontId="2" fillId="13" borderId="42" xfId="0" applyFont="1" applyFill="1" applyBorder="1"/>
    <xf numFmtId="164" fontId="0" fillId="14" borderId="0" xfId="4" applyNumberFormat="1" applyFont="1" applyFill="1"/>
    <xf numFmtId="43" fontId="0" fillId="0" borderId="0" xfId="0" quotePrefix="1" applyNumberFormat="1" applyFont="1"/>
    <xf numFmtId="0" fontId="19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17" fillId="3" borderId="1" xfId="2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3" fillId="3" borderId="1" xfId="2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165" fontId="0" fillId="15" borderId="0" xfId="0" applyNumberFormat="1" applyFill="1" applyAlignment="1">
      <alignment horizontal="center"/>
    </xf>
    <xf numFmtId="0" fontId="0" fillId="15" borderId="0" xfId="0" applyFill="1" applyAlignment="1">
      <alignment horizontal="center"/>
    </xf>
    <xf numFmtId="0" fontId="0" fillId="0" borderId="5" xfId="0" applyFill="1" applyBorder="1"/>
    <xf numFmtId="164" fontId="0" fillId="0" borderId="7" xfId="0" applyNumberFormat="1" applyFill="1" applyBorder="1"/>
    <xf numFmtId="169" fontId="0" fillId="15" borderId="0" xfId="4" applyNumberFormat="1" applyFont="1" applyFill="1"/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0" fillId="7" borderId="8" xfId="0" applyFill="1" applyBorder="1" applyAlignment="1">
      <alignment horizontal="left"/>
    </xf>
    <xf numFmtId="164" fontId="0" fillId="7" borderId="0" xfId="4" applyNumberFormat="1" applyFont="1" applyFill="1" applyBorder="1" applyAlignment="1">
      <alignment horizontal="left"/>
    </xf>
    <xf numFmtId="164" fontId="0" fillId="7" borderId="9" xfId="4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9" fontId="0" fillId="0" borderId="0" xfId="3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164" fontId="2" fillId="0" borderId="7" xfId="4" applyNumberFormat="1" applyFont="1" applyFill="1" applyBorder="1" applyAlignment="1">
      <alignment horizontal="left"/>
    </xf>
    <xf numFmtId="164" fontId="2" fillId="0" borderId="6" xfId="4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9" fontId="2" fillId="0" borderId="7" xfId="3" applyFont="1" applyFill="1" applyBorder="1" applyAlignment="1">
      <alignment horizontal="center"/>
    </xf>
    <xf numFmtId="166" fontId="0" fillId="0" borderId="8" xfId="1" applyNumberFormat="1" applyFont="1" applyFill="1" applyBorder="1" applyAlignment="1">
      <alignment horizontal="center"/>
    </xf>
    <xf numFmtId="166" fontId="2" fillId="5" borderId="5" xfId="0" applyNumberFormat="1" applyFont="1" applyFill="1" applyBorder="1" applyAlignment="1">
      <alignment horizontal="center"/>
    </xf>
    <xf numFmtId="0" fontId="2" fillId="7" borderId="0" xfId="0" applyFont="1" applyFill="1" applyBorder="1" applyAlignment="1">
      <alignment horizontal="left"/>
    </xf>
    <xf numFmtId="43" fontId="1" fillId="0" borderId="0" xfId="1" applyFont="1"/>
    <xf numFmtId="166" fontId="0" fillId="7" borderId="0" xfId="1" applyNumberFormat="1" applyFont="1" applyFill="1" applyBorder="1" applyAlignment="1">
      <alignment horizontal="left"/>
    </xf>
    <xf numFmtId="166" fontId="2" fillId="7" borderId="0" xfId="1" applyNumberFormat="1" applyFont="1" applyFill="1" applyBorder="1" applyAlignment="1">
      <alignment horizontal="left"/>
    </xf>
    <xf numFmtId="0" fontId="2" fillId="6" borderId="5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4" fontId="0" fillId="0" borderId="1" xfId="0" applyNumberFormat="1" applyFont="1" applyBorder="1"/>
    <xf numFmtId="0" fontId="2" fillId="0" borderId="1" xfId="0" applyFont="1" applyBorder="1" applyAlignment="1">
      <alignment horizontal="center"/>
    </xf>
    <xf numFmtId="9" fontId="24" fillId="0" borderId="0" xfId="0" applyNumberFormat="1" applyFont="1"/>
    <xf numFmtId="9" fontId="24" fillId="0" borderId="1" xfId="3" applyFont="1" applyFill="1" applyBorder="1"/>
    <xf numFmtId="166" fontId="0" fillId="4" borderId="0" xfId="1" applyNumberFormat="1" applyFont="1" applyFill="1" applyBorder="1"/>
    <xf numFmtId="166" fontId="0" fillId="0" borderId="0" xfId="0" applyNumberFormat="1" applyFill="1"/>
    <xf numFmtId="166" fontId="0" fillId="4" borderId="1" xfId="1" applyNumberFormat="1" applyFont="1" applyFill="1" applyBorder="1"/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4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1" fillId="0" borderId="34" xfId="5" applyFont="1" applyBorder="1" applyAlignment="1">
      <alignment horizontal="center" wrapText="1"/>
    </xf>
    <xf numFmtId="0" fontId="21" fillId="0" borderId="35" xfId="5" applyFont="1" applyBorder="1" applyAlignment="1">
      <alignment horizontal="center" wrapText="1"/>
    </xf>
    <xf numFmtId="0" fontId="21" fillId="0" borderId="36" xfId="5" applyFont="1" applyBorder="1" applyAlignment="1">
      <alignment horizontal="center" wrapText="1"/>
    </xf>
    <xf numFmtId="0" fontId="19" fillId="0" borderId="34" xfId="5" applyFont="1" applyBorder="1" applyAlignment="1">
      <alignment horizontal="center" wrapText="1"/>
    </xf>
    <xf numFmtId="0" fontId="19" fillId="0" borderId="35" xfId="5" applyFont="1" applyBorder="1" applyAlignment="1">
      <alignment horizontal="center" wrapText="1"/>
    </xf>
    <xf numFmtId="0" fontId="19" fillId="0" borderId="36" xfId="5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9" fillId="0" borderId="27" xfId="5" applyFont="1" applyBorder="1" applyAlignment="1">
      <alignment horizontal="center" wrapText="1"/>
    </xf>
    <xf numFmtId="0" fontId="19" fillId="0" borderId="28" xfId="5" applyFont="1" applyBorder="1" applyAlignment="1">
      <alignment horizontal="center" wrapText="1"/>
    </xf>
    <xf numFmtId="0" fontId="19" fillId="0" borderId="29" xfId="5" applyFont="1" applyBorder="1" applyAlignment="1">
      <alignment horizontal="center" wrapText="1"/>
    </xf>
    <xf numFmtId="0" fontId="21" fillId="0" borderId="27" xfId="5" applyFont="1" applyBorder="1" applyAlignment="1">
      <alignment horizontal="center" wrapText="1"/>
    </xf>
    <xf numFmtId="0" fontId="21" fillId="0" borderId="28" xfId="5" applyFont="1" applyBorder="1" applyAlignment="1">
      <alignment horizontal="center" wrapText="1"/>
    </xf>
    <xf numFmtId="0" fontId="21" fillId="0" borderId="29" xfId="5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0" borderId="8" xfId="0" applyFont="1" applyBorder="1" applyAlignment="1">
      <alignment horizontal="center" wrapText="1"/>
    </xf>
    <xf numFmtId="0" fontId="15" fillId="0" borderId="1" xfId="5" applyBorder="1" applyAlignment="1">
      <alignment horizontal="center" wrapText="1"/>
    </xf>
    <xf numFmtId="0" fontId="16" fillId="0" borderId="1" xfId="5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</cellXfs>
  <cellStyles count="11">
    <cellStyle name="Comma" xfId="1" builtinId="3"/>
    <cellStyle name="Comma 2" xfId="4" xr:uid="{00000000-0005-0000-0000-000001000000}"/>
    <cellStyle name="Comma 3" xfId="6" xr:uid="{00000000-0005-0000-0000-000002000000}"/>
    <cellStyle name="Comma 4" xfId="8" xr:uid="{00000000-0005-0000-0000-000003000000}"/>
    <cellStyle name="Normal" xfId="0" builtinId="0"/>
    <cellStyle name="Normal 2" xfId="5" xr:uid="{00000000-0005-0000-0000-000006000000}"/>
    <cellStyle name="Normal 2 3" xfId="10" xr:uid="{93DF55BE-9EA8-4D73-B585-3261EE4CDDDF}"/>
    <cellStyle name="Normal 3" xfId="7" xr:uid="{00000000-0005-0000-0000-000007000000}"/>
    <cellStyle name="Normal_FVIL consolidation as on 31.03.08" xfId="2" xr:uid="{00000000-0005-0000-0000-000008000000}"/>
    <cellStyle name="Percent" xfId="3" builtinId="5"/>
    <cellStyle name="Percent 2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ptop%20new%20on%2024.09.2017/suresh%20Lap/lap/suresh%2013.1.16/as%20on%2018.12.2014/2017%20-%202018%20frm%201.4.17/Royalty%20Tracker%20for%20All%20Regions%202017%20-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%20Data\Swapnali\Future%20Consumer\Investor%20Plan\Business%20plan%20forma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49847\AppData\Local\Microsoft\Windows\INetCache\Content.Outlook\RO6V1WHK\Nilgiris%20Business%20Model%20v9%20120922_convergent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%20drive/Data%20base/5%20years%20business%20plan/Business%20PLan/Convergent%20discussion/Latest%20version/Additional%20information/Post%20Meeting_16_12-2022/Final/Nilgiri%20Presentation%20worki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esentation\Nilgiris%20Business%20Model%20v9%20120922_convergent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ciliation"/>
      <sheetName val="2017-18"/>
      <sheetName val="basic data"/>
      <sheetName val="codes"/>
      <sheetName val="Guidelines F"/>
    </sheetNames>
    <sheetDataSet>
      <sheetData sheetId="0" refreshError="1"/>
      <sheetData sheetId="1" refreshError="1"/>
      <sheetData sheetId="2" refreshError="1">
        <row r="1">
          <cell r="A1" t="str">
            <v>Code</v>
          </cell>
          <cell r="B1" t="str">
            <v>Entity</v>
          </cell>
          <cell r="C1" t="str">
            <v>Name</v>
          </cell>
          <cell r="D1" t="str">
            <v>Gross_Net</v>
          </cell>
          <cell r="E1" t="str">
            <v>Rate</v>
          </cell>
          <cell r="F1" t="str">
            <v>SqFt</v>
          </cell>
          <cell r="G1" t="str">
            <v>Region</v>
          </cell>
          <cell r="H1" t="str">
            <v>GST No.</v>
          </cell>
          <cell r="I1" t="str">
            <v>TIN NO.</v>
          </cell>
          <cell r="J1" t="str">
            <v>PAN No.</v>
          </cell>
          <cell r="K1" t="str">
            <v>TAN No.</v>
          </cell>
          <cell r="L1" t="str">
            <v>Propertior Name</v>
          </cell>
          <cell r="M1" t="str">
            <v>Old No</v>
          </cell>
        </row>
        <row r="2">
          <cell r="A2">
            <v>122451</v>
          </cell>
          <cell r="B2">
            <v>2000</v>
          </cell>
          <cell r="C2" t="str">
            <v xml:space="preserve">Green Field (Pondy) </v>
          </cell>
          <cell r="D2" t="str">
            <v>Net</v>
          </cell>
          <cell r="E2">
            <v>1</v>
          </cell>
          <cell r="F2">
            <v>4000</v>
          </cell>
          <cell r="G2" t="str">
            <v>TN</v>
          </cell>
          <cell r="H2" t="str">
            <v>34AAFFG5988C1ZB</v>
          </cell>
          <cell r="I2">
            <v>34050000969</v>
          </cell>
          <cell r="J2" t="str">
            <v>AAFFG5988C</v>
          </cell>
          <cell r="K2" t="str">
            <v>CHEG06722C</v>
          </cell>
          <cell r="L2" t="str">
            <v>GREEN FIEELD</v>
          </cell>
          <cell r="M2">
            <v>6001</v>
          </cell>
        </row>
        <row r="3">
          <cell r="A3">
            <v>122452</v>
          </cell>
          <cell r="B3">
            <v>2000</v>
          </cell>
          <cell r="C3" t="str">
            <v>Limras Enterprises</v>
          </cell>
          <cell r="D3" t="str">
            <v>Net</v>
          </cell>
          <cell r="E3">
            <v>1</v>
          </cell>
          <cell r="F3">
            <v>4500</v>
          </cell>
          <cell r="G3" t="str">
            <v>TN</v>
          </cell>
          <cell r="H3" t="str">
            <v>33AAACL4934F1ZT</v>
          </cell>
          <cell r="I3">
            <v>33821121300</v>
          </cell>
          <cell r="J3" t="str">
            <v>AAACL4934F</v>
          </cell>
          <cell r="K3" t="str">
            <v>CHEG06722C</v>
          </cell>
          <cell r="L3" t="str">
            <v>LIMRAS ENTERPRISES PRIVATE LIMITED</v>
          </cell>
          <cell r="M3">
            <v>6002</v>
          </cell>
        </row>
        <row r="4">
          <cell r="A4">
            <v>121900</v>
          </cell>
          <cell r="B4">
            <v>2000</v>
          </cell>
          <cell r="C4" t="str">
            <v>Green Field Maarketing-R.T.Nagar</v>
          </cell>
          <cell r="D4" t="str">
            <v>Net</v>
          </cell>
          <cell r="E4">
            <v>1</v>
          </cell>
          <cell r="F4">
            <v>2800</v>
          </cell>
          <cell r="G4" t="str">
            <v>KA</v>
          </cell>
          <cell r="H4" t="str">
            <v>29AAFFG7671Q1ZH</v>
          </cell>
          <cell r="I4">
            <v>29150200089</v>
          </cell>
          <cell r="J4" t="str">
            <v>AAFFG7671Q</v>
          </cell>
          <cell r="M4">
            <v>6005</v>
          </cell>
        </row>
        <row r="5">
          <cell r="A5">
            <v>122453</v>
          </cell>
          <cell r="B5">
            <v>1000</v>
          </cell>
          <cell r="C5" t="str">
            <v xml:space="preserve">White Field </v>
          </cell>
          <cell r="D5" t="str">
            <v>Gross</v>
          </cell>
          <cell r="E5">
            <v>1</v>
          </cell>
          <cell r="F5">
            <v>5039</v>
          </cell>
          <cell r="G5" t="str">
            <v>TN</v>
          </cell>
          <cell r="H5" t="str">
            <v>33AAAFW9264C1Z9</v>
          </cell>
          <cell r="I5">
            <v>33260923243</v>
          </cell>
          <cell r="J5" t="str">
            <v>AAAFW9264C</v>
          </cell>
          <cell r="K5" t="str">
            <v>CHEW03300D</v>
          </cell>
          <cell r="L5" t="str">
            <v>WHITE FIELD ENTERPRISES</v>
          </cell>
          <cell r="M5">
            <v>6007</v>
          </cell>
        </row>
        <row r="6">
          <cell r="A6">
            <v>122454</v>
          </cell>
          <cell r="B6">
            <v>1000</v>
          </cell>
          <cell r="C6" t="str">
            <v>Universal Foods</v>
          </cell>
          <cell r="D6" t="str">
            <v>Gross</v>
          </cell>
          <cell r="E6">
            <v>1</v>
          </cell>
          <cell r="F6">
            <v>8000</v>
          </cell>
          <cell r="G6" t="str">
            <v>TN</v>
          </cell>
          <cell r="H6" t="str">
            <v>33AABFU6219J1Z6</v>
          </cell>
          <cell r="I6">
            <v>33651422918</v>
          </cell>
          <cell r="J6" t="str">
            <v>AABFU6219J</v>
          </cell>
          <cell r="L6" t="str">
            <v>UNIVERSAL FOODS</v>
          </cell>
          <cell r="M6">
            <v>6010</v>
          </cell>
        </row>
        <row r="7">
          <cell r="A7">
            <v>122455</v>
          </cell>
          <cell r="B7">
            <v>2000</v>
          </cell>
          <cell r="C7" t="str">
            <v>Suhail Enterprises</v>
          </cell>
          <cell r="D7" t="str">
            <v>Net</v>
          </cell>
          <cell r="E7">
            <v>1</v>
          </cell>
          <cell r="F7">
            <v>3000</v>
          </cell>
          <cell r="G7" t="str">
            <v>TN</v>
          </cell>
          <cell r="H7" t="str">
            <v>33AAJCS5781L1ZT</v>
          </cell>
          <cell r="I7">
            <v>33120962993</v>
          </cell>
          <cell r="J7" t="str">
            <v>AAJCS5781L</v>
          </cell>
          <cell r="K7" t="str">
            <v>CHES25021D</v>
          </cell>
          <cell r="L7" t="str">
            <v>SKYSCRAPER BUILDCON PRIVATE LIMITED</v>
          </cell>
          <cell r="M7">
            <v>6013</v>
          </cell>
        </row>
        <row r="8">
          <cell r="A8">
            <v>122456</v>
          </cell>
          <cell r="B8">
            <v>2000</v>
          </cell>
          <cell r="C8" t="str">
            <v>Sona Foods-Jalahalli</v>
          </cell>
          <cell r="D8" t="str">
            <v>Net</v>
          </cell>
          <cell r="E8">
            <v>1</v>
          </cell>
          <cell r="F8">
            <v>3000</v>
          </cell>
          <cell r="G8" t="str">
            <v>KA</v>
          </cell>
          <cell r="H8" t="str">
            <v>29ABCFS3927R1ZD</v>
          </cell>
          <cell r="I8">
            <v>29230393851</v>
          </cell>
          <cell r="J8" t="str">
            <v>ABCFS3927R</v>
          </cell>
          <cell r="M8">
            <v>6014</v>
          </cell>
        </row>
        <row r="9">
          <cell r="A9">
            <v>122457</v>
          </cell>
          <cell r="B9">
            <v>2000</v>
          </cell>
          <cell r="C9" t="str">
            <v>Mohtisham Enterprises-Mangalore</v>
          </cell>
          <cell r="D9" t="str">
            <v>Net</v>
          </cell>
          <cell r="E9">
            <v>1</v>
          </cell>
          <cell r="F9">
            <v>4000</v>
          </cell>
          <cell r="G9" t="str">
            <v>KA</v>
          </cell>
          <cell r="H9" t="str">
            <v>29ACZPA0799F1Z2</v>
          </cell>
          <cell r="I9">
            <v>29550703978</v>
          </cell>
          <cell r="J9" t="str">
            <v>ACZPA0799F</v>
          </cell>
          <cell r="M9">
            <v>6015</v>
          </cell>
        </row>
        <row r="10">
          <cell r="A10">
            <v>122458</v>
          </cell>
          <cell r="B10">
            <v>1000</v>
          </cell>
          <cell r="C10" t="str">
            <v>S.N.V.Holdings  RS Puram</v>
          </cell>
          <cell r="D10" t="str">
            <v>Net</v>
          </cell>
          <cell r="E10">
            <v>1</v>
          </cell>
          <cell r="F10">
            <v>5500</v>
          </cell>
          <cell r="G10" t="str">
            <v>TN</v>
          </cell>
          <cell r="H10" t="str">
            <v>33AAJCS2395A1ZK</v>
          </cell>
          <cell r="I10">
            <v>33422002280</v>
          </cell>
          <cell r="J10" t="str">
            <v>AAJCS2395A</v>
          </cell>
          <cell r="K10" t="str">
            <v>CMBS08854G</v>
          </cell>
          <cell r="L10" t="str">
            <v>SNV HOLDINGS PRIVATE LIMITED</v>
          </cell>
          <cell r="M10">
            <v>6018</v>
          </cell>
        </row>
        <row r="11">
          <cell r="A11">
            <v>122459</v>
          </cell>
          <cell r="B11">
            <v>1000</v>
          </cell>
          <cell r="C11" t="str">
            <v>Spring Superr Mart Pvt Ltd</v>
          </cell>
          <cell r="D11" t="str">
            <v>Net</v>
          </cell>
          <cell r="E11">
            <v>1</v>
          </cell>
          <cell r="F11">
            <v>2500</v>
          </cell>
          <cell r="G11" t="str">
            <v>TN</v>
          </cell>
          <cell r="H11" t="str">
            <v>33ABGFS4211G5ZG</v>
          </cell>
          <cell r="I11">
            <v>33691346169</v>
          </cell>
          <cell r="J11" t="str">
            <v>ABGFS4211G</v>
          </cell>
          <cell r="K11" t="str">
            <v>CHES26695E</v>
          </cell>
          <cell r="L11" t="str">
            <v>SPRING SUPERR MART</v>
          </cell>
          <cell r="M11">
            <v>6019</v>
          </cell>
        </row>
        <row r="12">
          <cell r="A12">
            <v>122460</v>
          </cell>
          <cell r="B12">
            <v>1000</v>
          </cell>
          <cell r="C12" t="str">
            <v>Rajsree Foods And Beverages</v>
          </cell>
          <cell r="D12" t="str">
            <v>Gross</v>
          </cell>
          <cell r="E12">
            <v>1</v>
          </cell>
          <cell r="F12">
            <v>2200</v>
          </cell>
          <cell r="G12" t="str">
            <v>TN</v>
          </cell>
          <cell r="H12" t="str">
            <v>33AAJFR5268C1Z9</v>
          </cell>
          <cell r="I12">
            <v>33420985235</v>
          </cell>
          <cell r="J12" t="str">
            <v>AAJFR5268C</v>
          </cell>
          <cell r="L12" t="str">
            <v>RAJASRI FOODS AND BEVERAGES</v>
          </cell>
          <cell r="M12">
            <v>6024</v>
          </cell>
        </row>
        <row r="13">
          <cell r="A13">
            <v>122461</v>
          </cell>
          <cell r="B13">
            <v>1000</v>
          </cell>
          <cell r="C13" t="str">
            <v>Mohtisham Enterprises-Old</v>
          </cell>
          <cell r="D13" t="str">
            <v>Net</v>
          </cell>
          <cell r="E13">
            <v>1</v>
          </cell>
          <cell r="F13">
            <v>2186</v>
          </cell>
          <cell r="G13" t="str">
            <v>KA</v>
          </cell>
          <cell r="H13" t="str">
            <v>29ACZPA0799F1Z2</v>
          </cell>
          <cell r="I13">
            <v>29550703978</v>
          </cell>
          <cell r="J13" t="str">
            <v>ACZPA0799F</v>
          </cell>
          <cell r="M13">
            <v>6036</v>
          </cell>
        </row>
        <row r="14">
          <cell r="A14">
            <v>122462</v>
          </cell>
          <cell r="B14">
            <v>1000</v>
          </cell>
          <cell r="C14" t="str">
            <v>Raghvendra Quality Super-Gonikoppal</v>
          </cell>
          <cell r="D14" t="str">
            <v>Net</v>
          </cell>
          <cell r="E14">
            <v>1</v>
          </cell>
          <cell r="F14">
            <v>807</v>
          </cell>
          <cell r="G14" t="str">
            <v>KA</v>
          </cell>
          <cell r="H14" t="str">
            <v>29ADRPJ3967H1ZV</v>
          </cell>
          <cell r="I14">
            <v>29770235347</v>
          </cell>
          <cell r="J14" t="str">
            <v>ADRPJ3967H</v>
          </cell>
          <cell r="M14">
            <v>6040</v>
          </cell>
        </row>
        <row r="15">
          <cell r="A15">
            <v>121901</v>
          </cell>
          <cell r="B15">
            <v>1000</v>
          </cell>
          <cell r="C15" t="str">
            <v>Kamadhenu Enterprises</v>
          </cell>
          <cell r="D15" t="str">
            <v>Gross</v>
          </cell>
          <cell r="E15">
            <v>1</v>
          </cell>
          <cell r="F15">
            <v>1500</v>
          </cell>
          <cell r="G15" t="str">
            <v>TN</v>
          </cell>
          <cell r="H15" t="str">
            <v>33ABRPV0776E1ZB</v>
          </cell>
          <cell r="I15">
            <v>33751025163</v>
          </cell>
          <cell r="J15" t="str">
            <v>ABRPV0776E</v>
          </cell>
          <cell r="K15" t="str">
            <v>CHEP11819D</v>
          </cell>
          <cell r="L15" t="str">
            <v>LAKSHMAIAH BALARAMAN VENKATESAN</v>
          </cell>
          <cell r="M15">
            <v>6042</v>
          </cell>
        </row>
        <row r="16">
          <cell r="A16">
            <v>121902</v>
          </cell>
          <cell r="B16">
            <v>1000</v>
          </cell>
          <cell r="C16" t="str">
            <v>Gatsby Collections-Neelankarai</v>
          </cell>
          <cell r="D16" t="str">
            <v>Gross</v>
          </cell>
          <cell r="E16">
            <v>1</v>
          </cell>
          <cell r="F16">
            <v>2105</v>
          </cell>
          <cell r="G16" t="str">
            <v>TN</v>
          </cell>
          <cell r="H16" t="str">
            <v>33AABCG1114F1ZF</v>
          </cell>
          <cell r="I16">
            <v>33900461268</v>
          </cell>
          <cell r="J16" t="str">
            <v>AABCG1114F</v>
          </cell>
          <cell r="L16" t="str">
            <v>GATSBY COLLECTION PVT LTD</v>
          </cell>
          <cell r="M16">
            <v>6053</v>
          </cell>
        </row>
        <row r="17">
          <cell r="A17">
            <v>121903</v>
          </cell>
          <cell r="B17">
            <v>1000</v>
          </cell>
          <cell r="C17" t="str">
            <v>Golden Choice-Perungudi</v>
          </cell>
          <cell r="D17" t="str">
            <v>Gross</v>
          </cell>
          <cell r="E17">
            <v>1</v>
          </cell>
          <cell r="F17">
            <v>2730</v>
          </cell>
          <cell r="G17" t="str">
            <v>TN</v>
          </cell>
          <cell r="H17" t="str">
            <v>33AAFCG2093M1ZG</v>
          </cell>
          <cell r="I17">
            <v>33760928691</v>
          </cell>
          <cell r="J17" t="str">
            <v>AAFCG2093M</v>
          </cell>
          <cell r="L17" t="str">
            <v>GOLDEN CHOICE VIABAR PRIVATE LIMITED</v>
          </cell>
          <cell r="M17">
            <v>6055</v>
          </cell>
        </row>
        <row r="18">
          <cell r="A18">
            <v>121904</v>
          </cell>
          <cell r="B18">
            <v>1000</v>
          </cell>
          <cell r="C18" t="str">
            <v>Retail Smart Enterprises-Pondy</v>
          </cell>
          <cell r="D18" t="str">
            <v>Net</v>
          </cell>
          <cell r="E18">
            <v>1</v>
          </cell>
          <cell r="F18">
            <v>1380</v>
          </cell>
          <cell r="G18" t="str">
            <v>TN</v>
          </cell>
          <cell r="H18" t="str">
            <v>34AAKFR4570J1ZW</v>
          </cell>
          <cell r="I18">
            <v>34630011514</v>
          </cell>
          <cell r="J18" t="str">
            <v>AAKFR4570J</v>
          </cell>
          <cell r="L18" t="str">
            <v>RETAIL SMART ENTERPRISES</v>
          </cell>
          <cell r="M18">
            <v>6056</v>
          </cell>
        </row>
        <row r="19">
          <cell r="A19">
            <v>122463</v>
          </cell>
          <cell r="B19">
            <v>1000</v>
          </cell>
          <cell r="C19" t="str">
            <v>S.N.V.Holdings  Vadavalli</v>
          </cell>
          <cell r="D19" t="str">
            <v>Net</v>
          </cell>
          <cell r="E19">
            <v>1</v>
          </cell>
          <cell r="F19">
            <v>2310</v>
          </cell>
          <cell r="G19" t="str">
            <v>TN</v>
          </cell>
          <cell r="H19" t="str">
            <v>33AAJCS2395A1ZK</v>
          </cell>
          <cell r="I19">
            <v>33422002280</v>
          </cell>
          <cell r="J19" t="str">
            <v>AAJCS2395A</v>
          </cell>
          <cell r="K19" t="str">
            <v>CMBS08854G</v>
          </cell>
          <cell r="L19" t="str">
            <v>SNV HOLDINGS PRIVATE LIMITED</v>
          </cell>
          <cell r="M19">
            <v>6080</v>
          </cell>
        </row>
        <row r="20">
          <cell r="A20">
            <v>121906</v>
          </cell>
          <cell r="B20">
            <v>1000</v>
          </cell>
          <cell r="C20" t="str">
            <v>Ramraj Business House - Hassan</v>
          </cell>
          <cell r="D20" t="str">
            <v>Net</v>
          </cell>
          <cell r="E20">
            <v>1</v>
          </cell>
          <cell r="F20">
            <v>1500</v>
          </cell>
          <cell r="G20" t="str">
            <v>KA</v>
          </cell>
          <cell r="H20" t="str">
            <v>29AAKFP2429G1Z2</v>
          </cell>
          <cell r="I20">
            <v>29830813628</v>
          </cell>
          <cell r="J20" t="str">
            <v>AAKFP2429G</v>
          </cell>
          <cell r="M20">
            <v>6131</v>
          </cell>
        </row>
        <row r="21">
          <cell r="A21">
            <v>121907</v>
          </cell>
          <cell r="B21">
            <v>1000</v>
          </cell>
          <cell r="C21" t="str">
            <v>Afshin Enterprises</v>
          </cell>
          <cell r="D21" t="str">
            <v>Gross</v>
          </cell>
          <cell r="E21">
            <v>1</v>
          </cell>
          <cell r="F21">
            <v>2550</v>
          </cell>
          <cell r="G21" t="str">
            <v>TN</v>
          </cell>
          <cell r="H21" t="str">
            <v>33AAGCA8999M1ZU</v>
          </cell>
          <cell r="I21">
            <v>33081388069</v>
          </cell>
          <cell r="J21" t="str">
            <v>AAGCA8999M</v>
          </cell>
          <cell r="K21" t="str">
            <v>CHEA15518G</v>
          </cell>
          <cell r="L21" t="str">
            <v>AFSHIN ENTERPRISES PRIVATE LIMITED</v>
          </cell>
          <cell r="M21">
            <v>6132</v>
          </cell>
        </row>
        <row r="22">
          <cell r="A22">
            <v>121908</v>
          </cell>
          <cell r="B22">
            <v>1000</v>
          </cell>
          <cell r="C22" t="str">
            <v xml:space="preserve">7Th Mile Retailers </v>
          </cell>
          <cell r="D22" t="str">
            <v>Gross</v>
          </cell>
          <cell r="E22">
            <v>1</v>
          </cell>
          <cell r="F22">
            <v>3500</v>
          </cell>
          <cell r="G22" t="str">
            <v>TN</v>
          </cell>
          <cell r="H22" t="str">
            <v>33AIMPM7928H1ZW</v>
          </cell>
          <cell r="I22">
            <v>33042862394</v>
          </cell>
          <cell r="J22" t="str">
            <v>AIMPM7928H</v>
          </cell>
          <cell r="L22" t="str">
            <v>MURUGAPPAN</v>
          </cell>
          <cell r="M22">
            <v>6141</v>
          </cell>
        </row>
        <row r="23">
          <cell r="A23">
            <v>121909</v>
          </cell>
          <cell r="B23">
            <v>1000</v>
          </cell>
          <cell r="C23" t="str">
            <v>Green Markeing-Wallace Garden</v>
          </cell>
          <cell r="D23" t="str">
            <v>Gross</v>
          </cell>
          <cell r="E23">
            <v>1</v>
          </cell>
          <cell r="F23">
            <v>1306</v>
          </cell>
          <cell r="G23" t="str">
            <v>TN</v>
          </cell>
          <cell r="H23" t="str">
            <v>33AAIFG3974H1ZA</v>
          </cell>
          <cell r="I23">
            <v>33620461810</v>
          </cell>
          <cell r="J23" t="str">
            <v>AAIFG3974H</v>
          </cell>
          <cell r="L23" t="str">
            <v>GREEN MARKETING</v>
          </cell>
          <cell r="M23">
            <v>6146</v>
          </cell>
        </row>
        <row r="24">
          <cell r="A24">
            <v>121910</v>
          </cell>
          <cell r="B24">
            <v>1000</v>
          </cell>
          <cell r="C24" t="str">
            <v>Chandrika Home Needs -Annanagar</v>
          </cell>
          <cell r="D24" t="str">
            <v>Gross</v>
          </cell>
          <cell r="E24">
            <v>1</v>
          </cell>
          <cell r="F24">
            <v>2629</v>
          </cell>
          <cell r="G24" t="str">
            <v>TN</v>
          </cell>
          <cell r="H24" t="str">
            <v>33AAFFC8416M1ZB</v>
          </cell>
          <cell r="I24">
            <v>33221424173</v>
          </cell>
          <cell r="J24" t="str">
            <v>AAFFC8416M</v>
          </cell>
          <cell r="K24" t="str">
            <v>CHEC07940C</v>
          </cell>
          <cell r="L24" t="str">
            <v>CHANDRIKAA HOMENEEDS</v>
          </cell>
          <cell r="M24">
            <v>6149</v>
          </cell>
        </row>
        <row r="25">
          <cell r="A25">
            <v>121911</v>
          </cell>
          <cell r="B25">
            <v>1000</v>
          </cell>
          <cell r="C25" t="str">
            <v>Trendz Supermarket</v>
          </cell>
          <cell r="D25" t="str">
            <v>Gross</v>
          </cell>
          <cell r="E25">
            <v>1</v>
          </cell>
          <cell r="F25">
            <v>1650</v>
          </cell>
          <cell r="G25" t="str">
            <v>TN</v>
          </cell>
          <cell r="H25" t="str">
            <v>33AAGPD3486K1ZO</v>
          </cell>
          <cell r="I25">
            <v>33631388300</v>
          </cell>
          <cell r="J25" t="str">
            <v>AAGPD3486K</v>
          </cell>
          <cell r="L25" t="str">
            <v>DAYANANDA RAO</v>
          </cell>
          <cell r="M25">
            <v>6151</v>
          </cell>
        </row>
        <row r="26">
          <cell r="A26">
            <v>121912</v>
          </cell>
          <cell r="B26">
            <v>1000</v>
          </cell>
          <cell r="C26" t="str">
            <v>Bagya Enterprises-Jawahar Nagar</v>
          </cell>
          <cell r="D26" t="str">
            <v>Gross</v>
          </cell>
          <cell r="E26">
            <v>1</v>
          </cell>
          <cell r="F26">
            <v>1400</v>
          </cell>
          <cell r="G26" t="str">
            <v>TN</v>
          </cell>
          <cell r="H26" t="str">
            <v>33AKVPB7213P1ZR</v>
          </cell>
          <cell r="I26">
            <v>33271044148</v>
          </cell>
          <cell r="J26" t="str">
            <v>AKVPB7213P</v>
          </cell>
          <cell r="K26" t="str">
            <v>CHET11660F</v>
          </cell>
          <cell r="L26" t="str">
            <v>THIRULOKACHANDER BAGYALAKSHMI</v>
          </cell>
          <cell r="M26">
            <v>6159</v>
          </cell>
        </row>
        <row r="27">
          <cell r="A27">
            <v>121913</v>
          </cell>
          <cell r="B27">
            <v>1000</v>
          </cell>
          <cell r="C27" t="str">
            <v>Sigma Retail Enterprises</v>
          </cell>
          <cell r="D27" t="str">
            <v>Gross</v>
          </cell>
          <cell r="E27">
            <v>1</v>
          </cell>
          <cell r="F27">
            <v>1600</v>
          </cell>
          <cell r="G27" t="str">
            <v>TN</v>
          </cell>
          <cell r="H27" t="str">
            <v>33ABPFS1768M1ZI</v>
          </cell>
          <cell r="I27">
            <v>33470803284</v>
          </cell>
          <cell r="J27" t="str">
            <v>ABPFS1768M</v>
          </cell>
          <cell r="L27" t="str">
            <v>SIGMA RETAIL ENTERPRISES</v>
          </cell>
          <cell r="M27">
            <v>6161</v>
          </cell>
        </row>
        <row r="28">
          <cell r="A28">
            <v>121914</v>
          </cell>
          <cell r="B28">
            <v>1000</v>
          </cell>
          <cell r="C28" t="str">
            <v>S.N.V.Holdings  Trichy Road</v>
          </cell>
          <cell r="D28" t="str">
            <v>Net</v>
          </cell>
          <cell r="E28">
            <v>1</v>
          </cell>
          <cell r="F28">
            <v>3115</v>
          </cell>
          <cell r="G28" t="str">
            <v>TN</v>
          </cell>
          <cell r="H28" t="str">
            <v>33AAJCS2395A1ZK</v>
          </cell>
          <cell r="I28">
            <v>33422002280</v>
          </cell>
          <cell r="J28" t="str">
            <v>AAJCS2395A</v>
          </cell>
          <cell r="K28" t="str">
            <v>CMBS08854G</v>
          </cell>
          <cell r="L28" t="str">
            <v>SNV HOLDINGS PRIVATE LIMITED</v>
          </cell>
          <cell r="M28">
            <v>6164</v>
          </cell>
        </row>
        <row r="29">
          <cell r="A29">
            <v>121915</v>
          </cell>
          <cell r="B29">
            <v>1000</v>
          </cell>
          <cell r="C29" t="str">
            <v>Chandrika Home Needs - Salem</v>
          </cell>
          <cell r="D29" t="str">
            <v>Gross</v>
          </cell>
          <cell r="E29">
            <v>1</v>
          </cell>
          <cell r="F29">
            <v>3000</v>
          </cell>
          <cell r="G29" t="str">
            <v>TN</v>
          </cell>
          <cell r="H29" t="str">
            <v>33AAFFC8416M1ZB</v>
          </cell>
          <cell r="I29">
            <v>33221424173</v>
          </cell>
          <cell r="J29" t="str">
            <v>AAFFC8416M</v>
          </cell>
          <cell r="K29" t="str">
            <v>CHEC07940C</v>
          </cell>
          <cell r="L29" t="str">
            <v>CHANDRIKAA HOMENEEDS</v>
          </cell>
          <cell r="M29">
            <v>6170</v>
          </cell>
        </row>
        <row r="30">
          <cell r="A30">
            <v>121916</v>
          </cell>
          <cell r="B30">
            <v>1000</v>
          </cell>
          <cell r="C30" t="str">
            <v>VNS Superrmart</v>
          </cell>
          <cell r="D30" t="str">
            <v>Gross</v>
          </cell>
          <cell r="E30">
            <v>1</v>
          </cell>
          <cell r="F30">
            <v>1699</v>
          </cell>
          <cell r="G30" t="str">
            <v>TN</v>
          </cell>
          <cell r="H30" t="str">
            <v>33AAIFV0387R1ZH</v>
          </cell>
          <cell r="I30">
            <v>33881349702</v>
          </cell>
          <cell r="J30" t="str">
            <v>AAIFV0387R</v>
          </cell>
          <cell r="K30" t="str">
            <v>CHEV10865B</v>
          </cell>
          <cell r="L30" t="str">
            <v>VNS SUPERR MART</v>
          </cell>
          <cell r="M30">
            <v>6179</v>
          </cell>
        </row>
        <row r="31">
          <cell r="A31">
            <v>121917</v>
          </cell>
          <cell r="B31">
            <v>1000</v>
          </cell>
          <cell r="C31" t="str">
            <v>Bagya Enterprises - Ayanavaram</v>
          </cell>
          <cell r="D31" t="str">
            <v>Gross</v>
          </cell>
          <cell r="E31">
            <v>1</v>
          </cell>
          <cell r="F31">
            <v>1700</v>
          </cell>
          <cell r="G31" t="str">
            <v>TN</v>
          </cell>
          <cell r="H31" t="str">
            <v>33AKVPB7213P1ZR</v>
          </cell>
          <cell r="I31">
            <v>33271044148</v>
          </cell>
          <cell r="J31" t="str">
            <v>AKVPB7213P</v>
          </cell>
          <cell r="K31" t="str">
            <v>CHET11660F</v>
          </cell>
          <cell r="L31" t="str">
            <v>THIRULOKACHANDER BAGYALAKSHMI</v>
          </cell>
          <cell r="M31">
            <v>6181</v>
          </cell>
        </row>
        <row r="32">
          <cell r="A32">
            <v>121918</v>
          </cell>
          <cell r="B32">
            <v>1000</v>
          </cell>
          <cell r="C32" t="str">
            <v>Sun Enterprises-Purva Fountain Square</v>
          </cell>
          <cell r="D32" t="str">
            <v>Net</v>
          </cell>
          <cell r="E32">
            <v>1</v>
          </cell>
          <cell r="F32">
            <v>850</v>
          </cell>
          <cell r="G32" t="str">
            <v>KA</v>
          </cell>
          <cell r="H32" t="str">
            <v>29ABTFS3179C1ZN</v>
          </cell>
          <cell r="I32">
            <v>29570573211</v>
          </cell>
          <cell r="J32" t="str">
            <v>ABTFS3179C</v>
          </cell>
          <cell r="M32">
            <v>6183</v>
          </cell>
        </row>
        <row r="33">
          <cell r="A33">
            <v>121919</v>
          </cell>
          <cell r="B33">
            <v>1000</v>
          </cell>
          <cell r="C33" t="str">
            <v>VUI Publishing, Mayajal</v>
          </cell>
          <cell r="D33" t="str">
            <v>Gross</v>
          </cell>
          <cell r="E33">
            <v>1</v>
          </cell>
          <cell r="F33">
            <v>1137</v>
          </cell>
          <cell r="G33" t="str">
            <v>TN</v>
          </cell>
          <cell r="H33" t="str">
            <v>33AABCV6611Q1Z1</v>
          </cell>
          <cell r="I33">
            <v>33621605925</v>
          </cell>
          <cell r="J33" t="str">
            <v>AABCV6611Q</v>
          </cell>
          <cell r="L33" t="str">
            <v>VUI PUBLISHING PRIVATE LIMITED</v>
          </cell>
          <cell r="M33">
            <v>6189</v>
          </cell>
        </row>
        <row r="34">
          <cell r="A34">
            <v>122464</v>
          </cell>
          <cell r="B34">
            <v>1000</v>
          </cell>
          <cell r="C34" t="str">
            <v>Nineteen#O#Five Retail Pvt</v>
          </cell>
          <cell r="D34" t="str">
            <v>Net</v>
          </cell>
          <cell r="E34">
            <v>1</v>
          </cell>
          <cell r="F34">
            <v>7000</v>
          </cell>
          <cell r="G34" t="str">
            <v>KA</v>
          </cell>
          <cell r="H34" t="str">
            <v>29AACCN6325L1Z4</v>
          </cell>
          <cell r="I34">
            <v>29150770643</v>
          </cell>
          <cell r="J34" t="str">
            <v>AACCN6325L1</v>
          </cell>
          <cell r="M34">
            <v>6199</v>
          </cell>
        </row>
        <row r="35">
          <cell r="A35">
            <v>121920</v>
          </cell>
          <cell r="B35">
            <v>1000</v>
          </cell>
          <cell r="C35" t="str">
            <v>Kamakshi Foods</v>
          </cell>
          <cell r="D35" t="str">
            <v>Gross</v>
          </cell>
          <cell r="E35">
            <v>1</v>
          </cell>
          <cell r="F35">
            <v>1894</v>
          </cell>
          <cell r="G35" t="str">
            <v>TN</v>
          </cell>
          <cell r="H35" t="str">
            <v>33AAKFK6788P1ZD</v>
          </cell>
          <cell r="I35">
            <v>33530888708</v>
          </cell>
          <cell r="J35" t="str">
            <v>AAKFK6788P</v>
          </cell>
          <cell r="K35" t="str">
            <v>CHEK11168D</v>
          </cell>
          <cell r="L35" t="str">
            <v>KAMAKSHI FOODS</v>
          </cell>
          <cell r="M35">
            <v>6205</v>
          </cell>
        </row>
        <row r="36">
          <cell r="A36">
            <v>121921</v>
          </cell>
          <cell r="B36">
            <v>1000</v>
          </cell>
          <cell r="C36" t="str">
            <v>Kumar Agency-Cuddalore</v>
          </cell>
          <cell r="D36" t="str">
            <v>Gross</v>
          </cell>
          <cell r="E36">
            <v>1</v>
          </cell>
          <cell r="F36">
            <v>1493</v>
          </cell>
          <cell r="G36" t="str">
            <v>TN</v>
          </cell>
          <cell r="H36" t="str">
            <v>33AAEFK2485M1Z3</v>
          </cell>
          <cell r="I36">
            <v>33334381594</v>
          </cell>
          <cell r="J36" t="str">
            <v>AAEFK2485M</v>
          </cell>
          <cell r="K36" t="str">
            <v>CHEK11161D</v>
          </cell>
          <cell r="L36" t="str">
            <v>KUMAR AGENCY</v>
          </cell>
          <cell r="M36">
            <v>6208</v>
          </cell>
        </row>
        <row r="37">
          <cell r="A37">
            <v>121922</v>
          </cell>
          <cell r="B37">
            <v>1000</v>
          </cell>
          <cell r="C37" t="str">
            <v>Green Marketing - Krishnama Road</v>
          </cell>
          <cell r="D37" t="str">
            <v>Gross</v>
          </cell>
          <cell r="E37">
            <v>1</v>
          </cell>
          <cell r="F37">
            <v>2495</v>
          </cell>
          <cell r="G37" t="str">
            <v>TN</v>
          </cell>
          <cell r="H37" t="str">
            <v>33AAIFG3974H1ZA</v>
          </cell>
          <cell r="I37">
            <v>33620461810</v>
          </cell>
          <cell r="J37" t="str">
            <v>AAIFG3974H</v>
          </cell>
          <cell r="L37" t="str">
            <v>GREEN MARKETING</v>
          </cell>
          <cell r="M37">
            <v>6212</v>
          </cell>
        </row>
        <row r="38">
          <cell r="A38">
            <v>121923</v>
          </cell>
          <cell r="B38">
            <v>1000</v>
          </cell>
          <cell r="C38" t="str">
            <v>Sri Bhagawati Retails-Kasturi Nagar</v>
          </cell>
          <cell r="D38" t="str">
            <v>Net</v>
          </cell>
          <cell r="E38">
            <v>1</v>
          </cell>
          <cell r="F38">
            <v>1800</v>
          </cell>
          <cell r="G38" t="str">
            <v>KA</v>
          </cell>
          <cell r="H38" t="str">
            <v>29AALPR0729E1ZJ</v>
          </cell>
          <cell r="I38">
            <v>29270858750</v>
          </cell>
          <cell r="J38" t="str">
            <v>AALPR0729E</v>
          </cell>
          <cell r="M38">
            <v>6216</v>
          </cell>
        </row>
        <row r="39">
          <cell r="A39">
            <v>121924</v>
          </cell>
          <cell r="B39">
            <v>1000</v>
          </cell>
          <cell r="C39" t="str">
            <v>Unik Associates</v>
          </cell>
          <cell r="D39" t="str">
            <v>Gross</v>
          </cell>
          <cell r="E39">
            <v>1</v>
          </cell>
          <cell r="F39">
            <v>2405</v>
          </cell>
          <cell r="G39" t="str">
            <v>TN</v>
          </cell>
          <cell r="H39" t="str">
            <v>33AACFU9711E1ZD</v>
          </cell>
          <cell r="I39">
            <v>33790946474</v>
          </cell>
          <cell r="J39" t="str">
            <v>AACFU9711E</v>
          </cell>
          <cell r="K39" t="str">
            <v>CHEU04156F</v>
          </cell>
          <cell r="L39" t="str">
            <v>UNIK ASSOCIATES</v>
          </cell>
          <cell r="M39">
            <v>6220</v>
          </cell>
        </row>
        <row r="40">
          <cell r="A40">
            <v>121925</v>
          </cell>
          <cell r="B40">
            <v>1000</v>
          </cell>
          <cell r="C40" t="str">
            <v>Shuchaye Enterprises</v>
          </cell>
          <cell r="D40" t="str">
            <v>Net</v>
          </cell>
          <cell r="E40">
            <v>1</v>
          </cell>
          <cell r="F40">
            <v>2405</v>
          </cell>
          <cell r="G40" t="str">
            <v>KA</v>
          </cell>
          <cell r="H40" t="str">
            <v>29BOSPP2773Q1ZN</v>
          </cell>
          <cell r="I40">
            <v>29830617882</v>
          </cell>
          <cell r="J40" t="str">
            <v>BOSPP2773Q</v>
          </cell>
          <cell r="M40">
            <v>6223</v>
          </cell>
        </row>
        <row r="41">
          <cell r="A41">
            <v>121926</v>
          </cell>
          <cell r="B41">
            <v>1000</v>
          </cell>
          <cell r="C41" t="str">
            <v>Venkateswara Enterprises</v>
          </cell>
          <cell r="D41" t="str">
            <v>Gross</v>
          </cell>
          <cell r="E41">
            <v>1</v>
          </cell>
          <cell r="F41">
            <v>2500</v>
          </cell>
          <cell r="G41" t="str">
            <v>TN</v>
          </cell>
          <cell r="H41" t="str">
            <v>33AAIFV9205C1ZD</v>
          </cell>
          <cell r="I41">
            <v>33460889086</v>
          </cell>
          <cell r="J41" t="str">
            <v>AAIFV9205C</v>
          </cell>
          <cell r="L41" t="str">
            <v>VENKATESHWARA ENTERPRISES</v>
          </cell>
          <cell r="M41">
            <v>6224</v>
          </cell>
        </row>
        <row r="42">
          <cell r="A42">
            <v>121928</v>
          </cell>
          <cell r="B42">
            <v>1000</v>
          </cell>
          <cell r="C42" t="str">
            <v>Nishved Retail Markets Pvt Ltd</v>
          </cell>
          <cell r="D42" t="str">
            <v>Gross</v>
          </cell>
          <cell r="E42">
            <v>1</v>
          </cell>
          <cell r="F42">
            <v>1700</v>
          </cell>
          <cell r="G42" t="str">
            <v>AP</v>
          </cell>
          <cell r="H42" t="str">
            <v>36AADCN0366J1ZF</v>
          </cell>
          <cell r="I42">
            <v>36414952160</v>
          </cell>
          <cell r="J42" t="str">
            <v>AADCN0366J</v>
          </cell>
          <cell r="L42" t="str">
            <v>NISHVED RETAIL MARKETS PRIVATE LIMITED</v>
          </cell>
          <cell r="M42">
            <v>6251</v>
          </cell>
        </row>
        <row r="43">
          <cell r="A43">
            <v>121929</v>
          </cell>
          <cell r="B43">
            <v>1000</v>
          </cell>
          <cell r="C43" t="str">
            <v>Sourz Network</v>
          </cell>
          <cell r="D43" t="str">
            <v>Net</v>
          </cell>
          <cell r="E43">
            <v>1</v>
          </cell>
          <cell r="F43">
            <v>2550</v>
          </cell>
          <cell r="G43" t="str">
            <v>KE</v>
          </cell>
          <cell r="H43" t="str">
            <v>32ADGPG7123F1Z2</v>
          </cell>
          <cell r="I43">
            <v>32071133586</v>
          </cell>
          <cell r="J43" t="str">
            <v>ADGPG7123F</v>
          </cell>
          <cell r="L43" t="str">
            <v>PHILIP CHERUKARA GEORGE</v>
          </cell>
          <cell r="M43">
            <v>6253</v>
          </cell>
        </row>
        <row r="44">
          <cell r="A44">
            <v>121930</v>
          </cell>
          <cell r="B44">
            <v>1000</v>
          </cell>
          <cell r="C44" t="str">
            <v>Lisna Enterprises</v>
          </cell>
          <cell r="D44" t="str">
            <v>Gross</v>
          </cell>
          <cell r="E44">
            <v>1</v>
          </cell>
          <cell r="F44">
            <v>2800</v>
          </cell>
          <cell r="G44" t="str">
            <v>TN</v>
          </cell>
          <cell r="H44" t="str">
            <v>33AABCL7359K1Z8</v>
          </cell>
          <cell r="I44">
            <v>33391003051</v>
          </cell>
          <cell r="J44" t="str">
            <v>AABCL7359K</v>
          </cell>
          <cell r="K44" t="str">
            <v>CHEL04578A</v>
          </cell>
          <cell r="L44" t="str">
            <v>LISNA ENTERPRISES PRIVATE LIMITED</v>
          </cell>
          <cell r="M44">
            <v>6254</v>
          </cell>
        </row>
        <row r="45">
          <cell r="A45">
            <v>121931</v>
          </cell>
          <cell r="B45">
            <v>1000</v>
          </cell>
          <cell r="C45" t="str">
            <v>Akshay Home Needs</v>
          </cell>
          <cell r="D45" t="str">
            <v>Net</v>
          </cell>
          <cell r="E45">
            <v>1</v>
          </cell>
          <cell r="F45">
            <v>2500</v>
          </cell>
          <cell r="G45" t="str">
            <v>TN</v>
          </cell>
          <cell r="H45" t="str">
            <v>33AARFA3851C1ZP</v>
          </cell>
          <cell r="I45">
            <v>33291924897</v>
          </cell>
          <cell r="J45" t="str">
            <v>AARFA3851C</v>
          </cell>
          <cell r="K45" t="str">
            <v>CMBA06608A</v>
          </cell>
          <cell r="L45" t="str">
            <v>AKSHAYA HOME NEEDS</v>
          </cell>
          <cell r="M45">
            <v>6255</v>
          </cell>
        </row>
        <row r="46">
          <cell r="A46">
            <v>121932</v>
          </cell>
          <cell r="B46">
            <v>1000</v>
          </cell>
          <cell r="C46" t="str">
            <v>Sun Enterprises-Ramamurthy Nagar</v>
          </cell>
          <cell r="D46" t="str">
            <v>Net</v>
          </cell>
          <cell r="E46">
            <v>1</v>
          </cell>
          <cell r="F46">
            <v>1986</v>
          </cell>
          <cell r="G46" t="str">
            <v>KA</v>
          </cell>
          <cell r="H46" t="str">
            <v>29ABTFS3179C1ZN</v>
          </cell>
          <cell r="I46">
            <v>29570573211</v>
          </cell>
          <cell r="J46" t="str">
            <v>ABTFS3179C</v>
          </cell>
          <cell r="M46">
            <v>6257</v>
          </cell>
        </row>
        <row r="47">
          <cell r="A47">
            <v>121933</v>
          </cell>
          <cell r="B47">
            <v>1000</v>
          </cell>
          <cell r="C47" t="str">
            <v>Himalaya Traders</v>
          </cell>
          <cell r="D47" t="str">
            <v>Net</v>
          </cell>
          <cell r="E47">
            <v>1</v>
          </cell>
          <cell r="F47">
            <v>2020</v>
          </cell>
          <cell r="G47" t="str">
            <v>KA</v>
          </cell>
          <cell r="H47" t="str">
            <v>29AAGFH2525K1Z8</v>
          </cell>
          <cell r="I47">
            <v>29640621527</v>
          </cell>
          <cell r="J47" t="str">
            <v>AAGFH2525K</v>
          </cell>
          <cell r="M47">
            <v>6259</v>
          </cell>
        </row>
        <row r="48">
          <cell r="A48">
            <v>121934</v>
          </cell>
          <cell r="B48">
            <v>1000</v>
          </cell>
          <cell r="C48" t="str">
            <v>Mahalakshmi Enterprises</v>
          </cell>
          <cell r="D48" t="str">
            <v>Net</v>
          </cell>
          <cell r="E48">
            <v>1</v>
          </cell>
          <cell r="F48">
            <v>1800</v>
          </cell>
          <cell r="G48" t="str">
            <v>TN</v>
          </cell>
          <cell r="H48" t="str">
            <v>33AALFM3443J1Z8</v>
          </cell>
          <cell r="I48">
            <v>33411465633</v>
          </cell>
          <cell r="J48" t="str">
            <v>AALFM3443J</v>
          </cell>
          <cell r="L48" t="str">
            <v>MAHALAKSHMI ENTERPRISES</v>
          </cell>
          <cell r="M48">
            <v>6263</v>
          </cell>
        </row>
        <row r="49">
          <cell r="A49">
            <v>121935</v>
          </cell>
          <cell r="B49">
            <v>1000</v>
          </cell>
          <cell r="C49" t="str">
            <v>Unik Associates - Perambakkam</v>
          </cell>
          <cell r="D49" t="str">
            <v>Gross</v>
          </cell>
          <cell r="E49">
            <v>1</v>
          </cell>
          <cell r="F49">
            <v>650</v>
          </cell>
          <cell r="G49" t="str">
            <v>TN</v>
          </cell>
          <cell r="H49" t="str">
            <v>33AACFU9711E1ZD</v>
          </cell>
          <cell r="I49">
            <v>33790946474</v>
          </cell>
          <cell r="J49" t="str">
            <v>AACFU9711E</v>
          </cell>
          <cell r="K49" t="str">
            <v>CHEU04156F</v>
          </cell>
          <cell r="L49" t="str">
            <v>UNIK ASSOCIATES</v>
          </cell>
          <cell r="M49">
            <v>6265</v>
          </cell>
        </row>
        <row r="50">
          <cell r="A50">
            <v>121937</v>
          </cell>
          <cell r="B50">
            <v>1000</v>
          </cell>
          <cell r="C50" t="str">
            <v xml:space="preserve">Chennai Foods </v>
          </cell>
          <cell r="D50" t="str">
            <v>Gross</v>
          </cell>
          <cell r="E50">
            <v>1</v>
          </cell>
          <cell r="F50">
            <v>2876</v>
          </cell>
          <cell r="G50" t="str">
            <v>TN</v>
          </cell>
          <cell r="H50" t="str">
            <v>33AACFC6469R1ZV</v>
          </cell>
          <cell r="I50">
            <v>33411022731</v>
          </cell>
          <cell r="J50" t="str">
            <v>AACFC6469R</v>
          </cell>
          <cell r="L50" t="str">
            <v>CHENNAI FOODS</v>
          </cell>
          <cell r="M50">
            <v>6270</v>
          </cell>
        </row>
        <row r="51">
          <cell r="A51">
            <v>121938</v>
          </cell>
          <cell r="B51">
            <v>1000</v>
          </cell>
          <cell r="C51" t="str">
            <v>Ps &amp; V Business Teck Private Limited</v>
          </cell>
          <cell r="D51" t="str">
            <v>Net</v>
          </cell>
          <cell r="E51">
            <v>1</v>
          </cell>
          <cell r="F51">
            <v>3110</v>
          </cell>
          <cell r="G51" t="str">
            <v>KA</v>
          </cell>
          <cell r="H51" t="str">
            <v>29AAGCP2570B1ZK</v>
          </cell>
          <cell r="I51">
            <v>29520647104</v>
          </cell>
          <cell r="J51" t="str">
            <v>AAGCP2570B</v>
          </cell>
          <cell r="M51">
            <v>6271</v>
          </cell>
        </row>
        <row r="52">
          <cell r="A52">
            <v>121939</v>
          </cell>
          <cell r="B52">
            <v>1000</v>
          </cell>
          <cell r="C52" t="str">
            <v>NT Trades</v>
          </cell>
          <cell r="D52" t="str">
            <v>Net</v>
          </cell>
          <cell r="E52">
            <v>1</v>
          </cell>
          <cell r="F52">
            <v>1721</v>
          </cell>
          <cell r="G52" t="str">
            <v>TN</v>
          </cell>
          <cell r="H52" t="str">
            <v>33BEHPS2014A1Z6</v>
          </cell>
          <cell r="I52">
            <v>33175004131</v>
          </cell>
          <cell r="J52" t="str">
            <v>BEHPS2014A</v>
          </cell>
          <cell r="L52" t="str">
            <v>ALAGARSAMY SHYAMALADEVI</v>
          </cell>
          <cell r="M52">
            <v>6273</v>
          </cell>
        </row>
        <row r="53">
          <cell r="A53">
            <v>121940</v>
          </cell>
          <cell r="B53">
            <v>1000</v>
          </cell>
          <cell r="C53" t="str">
            <v>Taj Enterprises</v>
          </cell>
          <cell r="D53" t="str">
            <v>Net</v>
          </cell>
          <cell r="E53">
            <v>1</v>
          </cell>
          <cell r="F53">
            <v>1342</v>
          </cell>
          <cell r="G53" t="str">
            <v>KA</v>
          </cell>
          <cell r="H53" t="str">
            <v>29AAHFT2958D1ZX</v>
          </cell>
          <cell r="I53">
            <v>29160645653</v>
          </cell>
          <cell r="J53" t="str">
            <v>AAHFT2958D</v>
          </cell>
          <cell r="M53">
            <v>6274</v>
          </cell>
        </row>
        <row r="54">
          <cell r="A54">
            <v>121941</v>
          </cell>
          <cell r="B54">
            <v>1000</v>
          </cell>
          <cell r="C54" t="str">
            <v>QRS Retails</v>
          </cell>
          <cell r="D54" t="str">
            <v>Gross</v>
          </cell>
          <cell r="E54">
            <v>1</v>
          </cell>
          <cell r="F54">
            <v>3900</v>
          </cell>
          <cell r="G54" t="str">
            <v>KE</v>
          </cell>
          <cell r="H54" t="str">
            <v>32AAACQ1665J1ZJ</v>
          </cell>
          <cell r="I54">
            <v>32010155605</v>
          </cell>
          <cell r="J54" t="str">
            <v>AAACQ1665J</v>
          </cell>
          <cell r="L54" t="str">
            <v>QRS RETAIL LIMITED</v>
          </cell>
          <cell r="M54">
            <v>6277</v>
          </cell>
        </row>
        <row r="55">
          <cell r="A55">
            <v>121942</v>
          </cell>
          <cell r="B55">
            <v>1000</v>
          </cell>
          <cell r="C55" t="str">
            <v>V3 Enterprises</v>
          </cell>
          <cell r="D55" t="str">
            <v>Gross</v>
          </cell>
          <cell r="E55">
            <v>1</v>
          </cell>
          <cell r="F55">
            <v>1160</v>
          </cell>
          <cell r="G55" t="str">
            <v>TN</v>
          </cell>
          <cell r="H55" t="str">
            <v>33AAJFV5218J1Z0</v>
          </cell>
          <cell r="I55">
            <v>33370989385</v>
          </cell>
          <cell r="J55" t="str">
            <v>AAJFV5218J</v>
          </cell>
          <cell r="K55" t="str">
            <v>CHEV11488B</v>
          </cell>
          <cell r="L55" t="str">
            <v>V3 ENTERPRISES</v>
          </cell>
          <cell r="M55">
            <v>6282</v>
          </cell>
        </row>
        <row r="56">
          <cell r="A56">
            <v>121943</v>
          </cell>
          <cell r="B56">
            <v>1000</v>
          </cell>
          <cell r="C56" t="str">
            <v>BN Enterprises</v>
          </cell>
          <cell r="D56" t="str">
            <v>Gross</v>
          </cell>
          <cell r="E56">
            <v>1</v>
          </cell>
          <cell r="F56">
            <v>1815</v>
          </cell>
          <cell r="G56" t="str">
            <v>TN</v>
          </cell>
          <cell r="H56" t="str">
            <v>33AIHPB1493P1Z3</v>
          </cell>
          <cell r="I56">
            <v>33761607400</v>
          </cell>
          <cell r="J56" t="str">
            <v>AIHPB1493P</v>
          </cell>
          <cell r="L56" t="str">
            <v>NARESH REDDIPALAYAM BARATHA VASALU</v>
          </cell>
          <cell r="M56">
            <v>6285</v>
          </cell>
        </row>
        <row r="57">
          <cell r="A57">
            <v>121944</v>
          </cell>
          <cell r="B57">
            <v>1000</v>
          </cell>
          <cell r="C57" t="str">
            <v>Gatsby Collections</v>
          </cell>
          <cell r="D57" t="str">
            <v>Gross</v>
          </cell>
          <cell r="E57">
            <v>1</v>
          </cell>
          <cell r="F57">
            <v>2078</v>
          </cell>
          <cell r="G57" t="str">
            <v>TN</v>
          </cell>
          <cell r="H57" t="str">
            <v>33AABCG1114F1ZF</v>
          </cell>
          <cell r="I57">
            <v>33900461268</v>
          </cell>
          <cell r="J57" t="str">
            <v>AABCG1114F</v>
          </cell>
          <cell r="L57" t="str">
            <v>GATSBY COLLECTION PVT LTD</v>
          </cell>
          <cell r="M57">
            <v>6286</v>
          </cell>
        </row>
        <row r="58">
          <cell r="A58">
            <v>121945</v>
          </cell>
          <cell r="B58">
            <v>1000</v>
          </cell>
          <cell r="C58" t="str">
            <v>Shukasari Retails</v>
          </cell>
          <cell r="D58" t="str">
            <v>Gross</v>
          </cell>
          <cell r="E58">
            <v>1</v>
          </cell>
          <cell r="F58">
            <v>1720</v>
          </cell>
          <cell r="G58" t="str">
            <v>TN</v>
          </cell>
          <cell r="H58" t="str">
            <v>33BGZPS7383A1ZU</v>
          </cell>
          <cell r="I58">
            <v>33940927913</v>
          </cell>
          <cell r="J58" t="str">
            <v>BGZPS7383A</v>
          </cell>
          <cell r="L58" t="str">
            <v>KARUNAKARAN SHOBA</v>
          </cell>
          <cell r="M58">
            <v>6289</v>
          </cell>
        </row>
        <row r="59">
          <cell r="A59">
            <v>121946</v>
          </cell>
          <cell r="B59">
            <v>1000</v>
          </cell>
          <cell r="C59" t="str">
            <v>Mahalakshmi Trading Corpn</v>
          </cell>
          <cell r="D59" t="str">
            <v>Net</v>
          </cell>
          <cell r="E59">
            <v>1</v>
          </cell>
          <cell r="F59">
            <v>1400</v>
          </cell>
          <cell r="G59" t="str">
            <v>KA</v>
          </cell>
          <cell r="H59" t="str">
            <v>29AAEHH2878F1Z1</v>
          </cell>
          <cell r="I59">
            <v>29280674881</v>
          </cell>
          <cell r="J59" t="str">
            <v>AAEHH2878F</v>
          </cell>
          <cell r="M59">
            <v>6291</v>
          </cell>
        </row>
        <row r="60">
          <cell r="A60">
            <v>121947</v>
          </cell>
          <cell r="B60">
            <v>1000</v>
          </cell>
          <cell r="C60" t="str">
            <v>Kaavya Home Needs</v>
          </cell>
          <cell r="D60" t="str">
            <v>Gross</v>
          </cell>
          <cell r="E60">
            <v>1</v>
          </cell>
          <cell r="F60">
            <v>1569</v>
          </cell>
          <cell r="G60" t="str">
            <v>TN</v>
          </cell>
          <cell r="H60" t="str">
            <v>33AAMFK2373G1ZD</v>
          </cell>
          <cell r="I60">
            <v>33211369034</v>
          </cell>
          <cell r="J60" t="str">
            <v>AAMFK2373G</v>
          </cell>
          <cell r="L60" t="str">
            <v>KAAVYA HOME NEEDS</v>
          </cell>
          <cell r="M60">
            <v>6292</v>
          </cell>
        </row>
        <row r="61">
          <cell r="A61">
            <v>121948</v>
          </cell>
          <cell r="B61">
            <v>1000</v>
          </cell>
          <cell r="C61" t="str">
            <v>Sri Deepa Retails</v>
          </cell>
          <cell r="D61" t="str">
            <v>Net</v>
          </cell>
          <cell r="E61">
            <v>1</v>
          </cell>
          <cell r="F61">
            <v>1650</v>
          </cell>
          <cell r="G61" t="str">
            <v>KA</v>
          </cell>
          <cell r="H61" t="str">
            <v>29ACEFS2091K1ZQ</v>
          </cell>
          <cell r="I61">
            <v>29090687256</v>
          </cell>
          <cell r="J61" t="str">
            <v>ACEFS2091K</v>
          </cell>
          <cell r="M61">
            <v>6293</v>
          </cell>
        </row>
        <row r="62">
          <cell r="A62">
            <v>121949</v>
          </cell>
          <cell r="B62">
            <v>1000</v>
          </cell>
          <cell r="C62" t="str">
            <v>Srishti Associates</v>
          </cell>
          <cell r="D62" t="str">
            <v>Gross</v>
          </cell>
          <cell r="E62">
            <v>1</v>
          </cell>
          <cell r="F62">
            <v>2050</v>
          </cell>
          <cell r="G62" t="str">
            <v>TN</v>
          </cell>
          <cell r="H62" t="str">
            <v>33AXDPS4433R1ZY</v>
          </cell>
          <cell r="I62">
            <v>33581668415</v>
          </cell>
          <cell r="J62" t="str">
            <v>AXDPS4433R</v>
          </cell>
          <cell r="L62" t="str">
            <v>NAGARAJAN SWAMINATHAN</v>
          </cell>
          <cell r="M62">
            <v>6301</v>
          </cell>
        </row>
        <row r="63">
          <cell r="A63">
            <v>121950</v>
          </cell>
          <cell r="B63">
            <v>1000</v>
          </cell>
          <cell r="C63" t="str">
            <v>Karthikeyan Enterprises</v>
          </cell>
          <cell r="D63" t="str">
            <v>Gross</v>
          </cell>
          <cell r="E63">
            <v>1</v>
          </cell>
          <cell r="F63">
            <v>1610</v>
          </cell>
          <cell r="G63" t="str">
            <v>TN</v>
          </cell>
          <cell r="H63" t="str">
            <v>33ALVPB8569R1Z0</v>
          </cell>
          <cell r="I63">
            <v>33420947211</v>
          </cell>
          <cell r="J63" t="str">
            <v>ALVPB8569R</v>
          </cell>
          <cell r="L63" t="str">
            <v>KARTHIKEYAN BHUVANESWARI</v>
          </cell>
          <cell r="M63">
            <v>6302</v>
          </cell>
        </row>
        <row r="64">
          <cell r="A64">
            <v>121951</v>
          </cell>
          <cell r="B64">
            <v>1000</v>
          </cell>
          <cell r="C64" t="str">
            <v>VVV Enterprises</v>
          </cell>
          <cell r="D64" t="str">
            <v>Gross</v>
          </cell>
          <cell r="E64">
            <v>1</v>
          </cell>
          <cell r="F64">
            <v>2300</v>
          </cell>
          <cell r="G64" t="str">
            <v>TN</v>
          </cell>
          <cell r="H64" t="str">
            <v>33AAKFV0429L1Z0</v>
          </cell>
          <cell r="I64">
            <v>33201182945</v>
          </cell>
          <cell r="J64" t="str">
            <v>AAKFV0429L</v>
          </cell>
          <cell r="K64" t="str">
            <v>CHEV11832C</v>
          </cell>
          <cell r="L64" t="str">
            <v>VVV ENTERPRISES</v>
          </cell>
          <cell r="M64">
            <v>6305</v>
          </cell>
        </row>
        <row r="65">
          <cell r="A65">
            <v>121952</v>
          </cell>
          <cell r="B65">
            <v>1000</v>
          </cell>
          <cell r="C65" t="str">
            <v>Sri Lakshmi Venkateshwara Ent</v>
          </cell>
          <cell r="D65" t="str">
            <v>Net</v>
          </cell>
          <cell r="E65">
            <v>1</v>
          </cell>
          <cell r="F65">
            <v>1400</v>
          </cell>
          <cell r="G65" t="str">
            <v>KA</v>
          </cell>
          <cell r="H65" t="str">
            <v>29ACFFS5303P1ZM</v>
          </cell>
          <cell r="I65">
            <v>29951101943</v>
          </cell>
          <cell r="J65" t="str">
            <v>ACFFS5303P</v>
          </cell>
          <cell r="M65">
            <v>6307</v>
          </cell>
        </row>
        <row r="66">
          <cell r="A66">
            <v>121953</v>
          </cell>
          <cell r="B66">
            <v>1000</v>
          </cell>
          <cell r="C66" t="str">
            <v>Ratna Homeneeds</v>
          </cell>
          <cell r="D66" t="str">
            <v>Gross</v>
          </cell>
          <cell r="E66">
            <v>1</v>
          </cell>
          <cell r="F66">
            <v>2515</v>
          </cell>
          <cell r="G66" t="str">
            <v>TN</v>
          </cell>
          <cell r="H66" t="str">
            <v>33AAOFR9106J1ZW</v>
          </cell>
          <cell r="I66">
            <v>33720928325</v>
          </cell>
          <cell r="J66" t="str">
            <v>AAOFR9106J</v>
          </cell>
          <cell r="K66" t="str">
            <v>CHER12986B</v>
          </cell>
          <cell r="L66" t="str">
            <v>RATHNA HOME NEEDS</v>
          </cell>
          <cell r="M66">
            <v>6310</v>
          </cell>
        </row>
        <row r="67">
          <cell r="A67">
            <v>121954</v>
          </cell>
          <cell r="B67">
            <v>1000</v>
          </cell>
          <cell r="C67" t="str">
            <v>Graced Enterprises</v>
          </cell>
          <cell r="D67" t="str">
            <v>Gross</v>
          </cell>
          <cell r="E67">
            <v>1</v>
          </cell>
          <cell r="F67">
            <v>1800</v>
          </cell>
          <cell r="G67" t="str">
            <v>TN</v>
          </cell>
          <cell r="H67" t="str">
            <v>33AALFG7703P1ZZ</v>
          </cell>
          <cell r="I67">
            <v>33921608282</v>
          </cell>
          <cell r="J67" t="str">
            <v>AALFG7703P</v>
          </cell>
          <cell r="L67" t="str">
            <v>GRACED ENTERPRISES</v>
          </cell>
          <cell r="M67">
            <v>6315</v>
          </cell>
        </row>
        <row r="68">
          <cell r="A68">
            <v>121955</v>
          </cell>
          <cell r="B68">
            <v>1000</v>
          </cell>
          <cell r="C68" t="str">
            <v>Mint SuperMart LBS NAGAR</v>
          </cell>
          <cell r="D68" t="str">
            <v>Net</v>
          </cell>
          <cell r="E68">
            <v>1</v>
          </cell>
          <cell r="F68">
            <v>1920</v>
          </cell>
          <cell r="G68" t="str">
            <v>KA</v>
          </cell>
          <cell r="H68" t="str">
            <v>29AAWFM3291R1Z0</v>
          </cell>
          <cell r="I68">
            <v>29841119221</v>
          </cell>
          <cell r="J68" t="str">
            <v>AAWFM3291R</v>
          </cell>
          <cell r="L68" t="str">
            <v>OLESSERY NARAKKAD ABOOBACKER SHAJIR</v>
          </cell>
          <cell r="M68">
            <v>6317</v>
          </cell>
        </row>
        <row r="69">
          <cell r="A69">
            <v>121956</v>
          </cell>
          <cell r="B69">
            <v>1000</v>
          </cell>
          <cell r="C69" t="str">
            <v>Jeyam Enterprises</v>
          </cell>
          <cell r="D69" t="str">
            <v>Gross</v>
          </cell>
          <cell r="E69">
            <v>1</v>
          </cell>
          <cell r="F69">
            <v>1751</v>
          </cell>
          <cell r="G69" t="str">
            <v>TN</v>
          </cell>
          <cell r="H69" t="str">
            <v>33AAJFJ3091P1ZX</v>
          </cell>
          <cell r="I69">
            <v>33540990504</v>
          </cell>
          <cell r="J69" t="str">
            <v>AAJFJ3091P</v>
          </cell>
          <cell r="L69" t="str">
            <v>JEYAM ENTERPRISES</v>
          </cell>
          <cell r="M69">
            <v>6319</v>
          </cell>
        </row>
        <row r="70">
          <cell r="A70">
            <v>121957</v>
          </cell>
          <cell r="B70">
            <v>1000</v>
          </cell>
          <cell r="C70" t="str">
            <v>Kumar Agency - Chidambaram</v>
          </cell>
          <cell r="D70" t="str">
            <v>Gross</v>
          </cell>
          <cell r="E70">
            <v>1</v>
          </cell>
          <cell r="F70">
            <v>1440</v>
          </cell>
          <cell r="G70" t="str">
            <v>TN</v>
          </cell>
          <cell r="H70" t="str">
            <v>33AAEFK2485M1Z3</v>
          </cell>
          <cell r="I70">
            <v>33334381594</v>
          </cell>
          <cell r="J70" t="str">
            <v>AAEFK2485M</v>
          </cell>
          <cell r="K70" t="str">
            <v>CHEK11161D</v>
          </cell>
          <cell r="L70" t="str">
            <v>KUMAR AGENCY</v>
          </cell>
          <cell r="M70">
            <v>6322</v>
          </cell>
        </row>
        <row r="71">
          <cell r="A71">
            <v>121958</v>
          </cell>
          <cell r="B71">
            <v>1000</v>
          </cell>
          <cell r="C71" t="str">
            <v>Divine Mart, Chrompet</v>
          </cell>
          <cell r="D71" t="str">
            <v>Gross</v>
          </cell>
          <cell r="E71">
            <v>1</v>
          </cell>
          <cell r="F71">
            <v>2000</v>
          </cell>
          <cell r="G71" t="str">
            <v>TN</v>
          </cell>
          <cell r="H71" t="str">
            <v>33AAJFD4192P1ZZ</v>
          </cell>
          <cell r="I71">
            <v>33820890440</v>
          </cell>
          <cell r="J71" t="str">
            <v>AAJFD4192P</v>
          </cell>
          <cell r="L71" t="str">
            <v>DIVINE MART</v>
          </cell>
          <cell r="M71">
            <v>6323</v>
          </cell>
        </row>
        <row r="72">
          <cell r="A72">
            <v>121959</v>
          </cell>
          <cell r="B72">
            <v>1000</v>
          </cell>
          <cell r="C72" t="str">
            <v>Kaavya Home Needs-Trichy</v>
          </cell>
          <cell r="D72" t="str">
            <v>Gross</v>
          </cell>
          <cell r="E72">
            <v>1</v>
          </cell>
          <cell r="F72">
            <v>2078</v>
          </cell>
          <cell r="G72" t="str">
            <v>TN</v>
          </cell>
          <cell r="H72" t="str">
            <v>33AAMFK2373G1ZD</v>
          </cell>
          <cell r="I72">
            <v>33211369034</v>
          </cell>
          <cell r="J72" t="str">
            <v>AAMFK2373G</v>
          </cell>
          <cell r="L72" t="str">
            <v>KAAVYA HOME NEEDS</v>
          </cell>
          <cell r="M72">
            <v>6324</v>
          </cell>
        </row>
        <row r="73">
          <cell r="A73">
            <v>122954</v>
          </cell>
          <cell r="B73">
            <v>1000</v>
          </cell>
          <cell r="C73" t="str">
            <v>Nikhil Enterprises, Mahindra City</v>
          </cell>
          <cell r="D73" t="str">
            <v>Gross</v>
          </cell>
          <cell r="E73">
            <v>1</v>
          </cell>
          <cell r="F73">
            <v>1900</v>
          </cell>
          <cell r="G73" t="str">
            <v>TN</v>
          </cell>
          <cell r="H73" t="str">
            <v>33AMJPK5932G1Z3</v>
          </cell>
          <cell r="I73">
            <v>33581608760</v>
          </cell>
          <cell r="J73" t="str">
            <v>AMJPK5932G</v>
          </cell>
          <cell r="K73" t="str">
            <v>CHEK12611E</v>
          </cell>
          <cell r="L73" t="str">
            <v>KANAGARATHINAM</v>
          </cell>
          <cell r="M73">
            <v>6327</v>
          </cell>
        </row>
        <row r="74">
          <cell r="A74">
            <v>121960</v>
          </cell>
          <cell r="B74">
            <v>1000</v>
          </cell>
          <cell r="C74" t="str">
            <v>Prince Super Store</v>
          </cell>
          <cell r="D74" t="str">
            <v>Gross</v>
          </cell>
          <cell r="E74">
            <v>1</v>
          </cell>
          <cell r="F74">
            <v>1900</v>
          </cell>
          <cell r="G74" t="str">
            <v>TN</v>
          </cell>
          <cell r="H74" t="str">
            <v>33BQBPS0831B1ZG</v>
          </cell>
          <cell r="I74">
            <v>33680990912</v>
          </cell>
          <cell r="J74" t="str">
            <v>BQBPS0831B</v>
          </cell>
          <cell r="K74" t="str">
            <v>CHES41473F</v>
          </cell>
          <cell r="L74" t="str">
            <v>SHAHUL HAMEED SHIRAJUDDIN</v>
          </cell>
          <cell r="M74">
            <v>6331</v>
          </cell>
        </row>
        <row r="75">
          <cell r="A75">
            <v>121961</v>
          </cell>
          <cell r="B75">
            <v>1000</v>
          </cell>
          <cell r="C75" t="str">
            <v>Arunachalam Hotels P Ltd</v>
          </cell>
          <cell r="D75" t="str">
            <v>Gross</v>
          </cell>
          <cell r="E75">
            <v>1</v>
          </cell>
          <cell r="F75">
            <v>1800</v>
          </cell>
          <cell r="G75" t="str">
            <v>TN</v>
          </cell>
          <cell r="H75" t="str">
            <v>33AAECA4570G1ZY</v>
          </cell>
          <cell r="I75">
            <v>33654522359</v>
          </cell>
          <cell r="J75" t="str">
            <v>AAECA4570G</v>
          </cell>
          <cell r="K75" t="str">
            <v>CHEA12764D</v>
          </cell>
          <cell r="L75" t="str">
            <v>ARUNACHALAM HOTELS PVT LT</v>
          </cell>
          <cell r="M75">
            <v>6334</v>
          </cell>
        </row>
        <row r="76">
          <cell r="A76">
            <v>121962</v>
          </cell>
          <cell r="B76">
            <v>1000</v>
          </cell>
          <cell r="C76" t="str">
            <v>Capricorne Enterprises</v>
          </cell>
          <cell r="D76" t="str">
            <v>Gross</v>
          </cell>
          <cell r="E76">
            <v>1</v>
          </cell>
          <cell r="F76">
            <v>1400</v>
          </cell>
          <cell r="G76" t="str">
            <v>TN</v>
          </cell>
          <cell r="H76" t="str">
            <v>33DIDPS6337G1Z5</v>
          </cell>
          <cell r="I76">
            <v>33491390220</v>
          </cell>
          <cell r="J76" t="str">
            <v>DIDPS6337G</v>
          </cell>
          <cell r="L76" t="str">
            <v>SURAJ KUMAR</v>
          </cell>
          <cell r="M76">
            <v>6335</v>
          </cell>
        </row>
        <row r="77">
          <cell r="A77">
            <v>121963</v>
          </cell>
          <cell r="B77">
            <v>1000</v>
          </cell>
          <cell r="C77" t="str">
            <v>RBN Homeneeds</v>
          </cell>
          <cell r="D77" t="str">
            <v>Gross</v>
          </cell>
          <cell r="E77">
            <v>1</v>
          </cell>
          <cell r="F77">
            <v>2200</v>
          </cell>
          <cell r="G77" t="str">
            <v>AP</v>
          </cell>
          <cell r="H77" t="str">
            <v>37AOFPR4917N1ZA</v>
          </cell>
          <cell r="I77">
            <v>37473413418</v>
          </cell>
          <cell r="J77" t="str">
            <v>AOFPR4917N</v>
          </cell>
          <cell r="L77" t="str">
            <v>NAIDU KOLLUR BOLOGA RAJIVPRASAD</v>
          </cell>
          <cell r="M77">
            <v>6336</v>
          </cell>
        </row>
        <row r="78">
          <cell r="A78">
            <v>121964</v>
          </cell>
          <cell r="B78">
            <v>1000</v>
          </cell>
          <cell r="C78" t="str">
            <v>AG Enterprises</v>
          </cell>
          <cell r="D78" t="str">
            <v>Net</v>
          </cell>
          <cell r="E78">
            <v>1</v>
          </cell>
          <cell r="F78">
            <v>1935</v>
          </cell>
          <cell r="G78" t="str">
            <v>KA</v>
          </cell>
          <cell r="H78" t="str">
            <v>29AAYFA7441H1ZV</v>
          </cell>
          <cell r="I78">
            <v>29291172922</v>
          </cell>
          <cell r="J78" t="str">
            <v>AAYFA7441H</v>
          </cell>
          <cell r="M78">
            <v>6337</v>
          </cell>
        </row>
        <row r="79">
          <cell r="A79">
            <v>121965</v>
          </cell>
          <cell r="B79">
            <v>1000</v>
          </cell>
          <cell r="C79" t="str">
            <v xml:space="preserve">The Gooroo's </v>
          </cell>
          <cell r="D79" t="str">
            <v>Gross</v>
          </cell>
          <cell r="E79">
            <v>1</v>
          </cell>
          <cell r="F79">
            <v>2040</v>
          </cell>
          <cell r="G79" t="str">
            <v>TN</v>
          </cell>
          <cell r="H79" t="str">
            <v>33ALUPK1343B1ZF</v>
          </cell>
          <cell r="I79">
            <v>33550929049</v>
          </cell>
          <cell r="J79" t="str">
            <v>ALUPK1343B</v>
          </cell>
          <cell r="K79" t="str">
            <v>CHEG13401D</v>
          </cell>
          <cell r="L79" t="str">
            <v>THE GOOROO S</v>
          </cell>
          <cell r="M79">
            <v>6339</v>
          </cell>
        </row>
        <row r="80">
          <cell r="A80">
            <v>121966</v>
          </cell>
          <cell r="B80">
            <v>1000</v>
          </cell>
          <cell r="C80" t="str">
            <v>Graced Enterprises - Sriperumbudur</v>
          </cell>
          <cell r="D80" t="str">
            <v>Gross</v>
          </cell>
          <cell r="E80">
            <v>1</v>
          </cell>
          <cell r="F80">
            <v>1900</v>
          </cell>
          <cell r="G80" t="str">
            <v>TN</v>
          </cell>
          <cell r="H80" t="str">
            <v>33AALFG7703P1ZZ</v>
          </cell>
          <cell r="I80">
            <v>33921608282</v>
          </cell>
          <cell r="J80" t="str">
            <v>AALFG7703P</v>
          </cell>
          <cell r="L80" t="str">
            <v>GRACED ENTERPRISES</v>
          </cell>
          <cell r="M80">
            <v>6340</v>
          </cell>
        </row>
        <row r="81">
          <cell r="A81">
            <v>121967</v>
          </cell>
          <cell r="B81">
            <v>1000</v>
          </cell>
          <cell r="C81" t="str">
            <v xml:space="preserve">Sri Vellavan Enterprises </v>
          </cell>
          <cell r="D81" t="str">
            <v>Gross</v>
          </cell>
          <cell r="E81">
            <v>1</v>
          </cell>
          <cell r="F81">
            <v>1500</v>
          </cell>
          <cell r="G81" t="str">
            <v>TN</v>
          </cell>
          <cell r="H81" t="str">
            <v>33ACMFS5830J1ZU</v>
          </cell>
          <cell r="I81">
            <v>33140846970</v>
          </cell>
          <cell r="J81" t="str">
            <v>ACMFS5830J</v>
          </cell>
          <cell r="L81" t="str">
            <v>SRI VELAVAN ENTERPRISES</v>
          </cell>
          <cell r="M81">
            <v>6341</v>
          </cell>
        </row>
        <row r="82">
          <cell r="A82">
            <v>121968</v>
          </cell>
          <cell r="B82">
            <v>1000</v>
          </cell>
          <cell r="C82" t="str">
            <v>Fresh &amp; More</v>
          </cell>
          <cell r="D82" t="str">
            <v>Gross</v>
          </cell>
          <cell r="E82">
            <v>1</v>
          </cell>
          <cell r="F82">
            <v>2070</v>
          </cell>
          <cell r="G82" t="str">
            <v>TN</v>
          </cell>
          <cell r="H82" t="str">
            <v>33AADFF5999C1ZD</v>
          </cell>
          <cell r="I82">
            <v>33471354341</v>
          </cell>
          <cell r="J82" t="str">
            <v>AADFF5999C</v>
          </cell>
          <cell r="L82" t="str">
            <v>FRESH &amp; MORE</v>
          </cell>
          <cell r="M82">
            <v>6342</v>
          </cell>
        </row>
        <row r="83">
          <cell r="A83">
            <v>121969</v>
          </cell>
          <cell r="B83">
            <v>1000</v>
          </cell>
          <cell r="C83" t="str">
            <v xml:space="preserve">Deep Indigo </v>
          </cell>
          <cell r="D83" t="str">
            <v>Gross</v>
          </cell>
          <cell r="E83">
            <v>1</v>
          </cell>
          <cell r="F83">
            <v>1900</v>
          </cell>
          <cell r="G83" t="str">
            <v>TN</v>
          </cell>
          <cell r="H83" t="str">
            <v>33AJZPP5772A1ZU</v>
          </cell>
          <cell r="I83">
            <v>33120927491</v>
          </cell>
          <cell r="J83" t="str">
            <v>AJZPP5772A</v>
          </cell>
          <cell r="K83" t="str">
            <v>CHEN08599D</v>
          </cell>
          <cell r="L83" t="str">
            <v>NAVANEETHA KRISHNAN PRITKUMAR</v>
          </cell>
          <cell r="M83">
            <v>6343</v>
          </cell>
        </row>
        <row r="84">
          <cell r="A84">
            <v>121970</v>
          </cell>
          <cell r="B84">
            <v>1000</v>
          </cell>
          <cell r="C84" t="str">
            <v>Ram Aryas Agencies</v>
          </cell>
          <cell r="D84" t="str">
            <v>Gross</v>
          </cell>
          <cell r="E84">
            <v>1</v>
          </cell>
          <cell r="F84">
            <v>1834</v>
          </cell>
          <cell r="G84" t="str">
            <v>TN</v>
          </cell>
          <cell r="H84" t="str">
            <v>33AAQFR7871N1ZA</v>
          </cell>
          <cell r="I84">
            <v>33503826515</v>
          </cell>
          <cell r="J84" t="str">
            <v>AAQFR7871N</v>
          </cell>
          <cell r="K84" t="str">
            <v>CHER13837F</v>
          </cell>
          <cell r="L84" t="str">
            <v>RAM ARYAS AGENCIES</v>
          </cell>
          <cell r="M84">
            <v>6344</v>
          </cell>
        </row>
        <row r="85">
          <cell r="A85">
            <v>121971</v>
          </cell>
          <cell r="B85">
            <v>1000</v>
          </cell>
          <cell r="C85" t="str">
            <v>Rais Enterprises</v>
          </cell>
          <cell r="D85" t="str">
            <v>Net</v>
          </cell>
          <cell r="E85">
            <v>1</v>
          </cell>
          <cell r="F85">
            <v>3553</v>
          </cell>
          <cell r="G85" t="str">
            <v>TN</v>
          </cell>
          <cell r="H85" t="str">
            <v>33AARFR0257P1ZN</v>
          </cell>
          <cell r="I85">
            <v>33861405197</v>
          </cell>
          <cell r="J85" t="str">
            <v>AARFR0257P</v>
          </cell>
          <cell r="K85" t="str">
            <v>CHER14105A</v>
          </cell>
          <cell r="L85" t="str">
            <v>RAIS ENTERPRISES</v>
          </cell>
          <cell r="M85">
            <v>6346</v>
          </cell>
        </row>
        <row r="86">
          <cell r="A86">
            <v>121972</v>
          </cell>
          <cell r="B86">
            <v>1000</v>
          </cell>
          <cell r="C86" t="str">
            <v>Sukasri retails - Okkiam Karapakkam</v>
          </cell>
          <cell r="D86" t="str">
            <v>Gross</v>
          </cell>
          <cell r="E86">
            <v>1.25</v>
          </cell>
          <cell r="F86">
            <v>2000</v>
          </cell>
          <cell r="G86" t="str">
            <v>TN</v>
          </cell>
          <cell r="H86" t="str">
            <v>33BGZPS7383A1ZU</v>
          </cell>
          <cell r="I86">
            <v>33940927913</v>
          </cell>
          <cell r="J86" t="str">
            <v>BGZPS7383A</v>
          </cell>
          <cell r="L86" t="str">
            <v>KARUNAKARAN SHOBA</v>
          </cell>
          <cell r="M86">
            <v>6348</v>
          </cell>
        </row>
        <row r="87">
          <cell r="A87">
            <v>121973</v>
          </cell>
          <cell r="B87">
            <v>1000</v>
          </cell>
          <cell r="C87" t="str">
            <v>Sana Super Market</v>
          </cell>
          <cell r="D87" t="str">
            <v>Gross</v>
          </cell>
          <cell r="E87">
            <v>1.25</v>
          </cell>
          <cell r="F87">
            <v>1700</v>
          </cell>
          <cell r="G87" t="str">
            <v>TN</v>
          </cell>
          <cell r="H87" t="str">
            <v>33BBVPA2245N1ZG</v>
          </cell>
          <cell r="I87">
            <v>33550964648</v>
          </cell>
          <cell r="J87" t="str">
            <v>BBVPA2245N</v>
          </cell>
          <cell r="L87" t="str">
            <v>SATHICK AHMED BILAL</v>
          </cell>
          <cell r="M87">
            <v>6349</v>
          </cell>
        </row>
        <row r="88">
          <cell r="A88">
            <v>121974</v>
          </cell>
          <cell r="B88">
            <v>1000</v>
          </cell>
          <cell r="C88" t="str">
            <v>Sri Sai Foods</v>
          </cell>
          <cell r="D88" t="str">
            <v>Gross</v>
          </cell>
          <cell r="E88">
            <v>1</v>
          </cell>
          <cell r="F88">
            <v>3500</v>
          </cell>
          <cell r="G88" t="str">
            <v>TN</v>
          </cell>
          <cell r="H88" t="str">
            <v>33BELPS3715Q1ZV</v>
          </cell>
          <cell r="I88">
            <v>33271370650</v>
          </cell>
          <cell r="J88" t="str">
            <v>BELPS3715Q</v>
          </cell>
          <cell r="L88" t="str">
            <v>PARAMESWARAN SATHISH KUMAR</v>
          </cell>
          <cell r="M88">
            <v>6350</v>
          </cell>
        </row>
        <row r="89">
          <cell r="A89">
            <v>121976</v>
          </cell>
          <cell r="B89">
            <v>1000</v>
          </cell>
          <cell r="C89" t="str">
            <v>Divine Mart</v>
          </cell>
          <cell r="D89" t="str">
            <v>Gross</v>
          </cell>
          <cell r="E89">
            <v>1</v>
          </cell>
          <cell r="F89">
            <v>3500</v>
          </cell>
          <cell r="G89" t="str">
            <v>TN</v>
          </cell>
          <cell r="H89" t="str">
            <v>33AAJFD4192P1ZZ</v>
          </cell>
          <cell r="I89">
            <v>33820890440</v>
          </cell>
          <cell r="J89" t="str">
            <v>AAJFD4192P</v>
          </cell>
          <cell r="L89" t="str">
            <v>DIVINE MART</v>
          </cell>
          <cell r="M89">
            <v>6355</v>
          </cell>
        </row>
        <row r="90">
          <cell r="A90">
            <v>121977</v>
          </cell>
          <cell r="B90">
            <v>1000</v>
          </cell>
          <cell r="C90" t="str">
            <v>Shrisha Enterprises</v>
          </cell>
          <cell r="D90" t="str">
            <v>Gross</v>
          </cell>
          <cell r="E90">
            <v>1</v>
          </cell>
          <cell r="F90">
            <v>1316</v>
          </cell>
          <cell r="G90" t="str">
            <v>TN</v>
          </cell>
          <cell r="H90" t="str">
            <v>33AKVPJ3911G1Z5</v>
          </cell>
          <cell r="I90">
            <v>33310948484</v>
          </cell>
          <cell r="J90" t="str">
            <v>AKVPJ3911G</v>
          </cell>
          <cell r="K90" t="str">
            <v>CHED08736A</v>
          </cell>
          <cell r="L90" t="str">
            <v>DHINESHKUMAR JAYA PRIYA</v>
          </cell>
          <cell r="M90">
            <v>6356</v>
          </cell>
        </row>
        <row r="91">
          <cell r="A91">
            <v>121978</v>
          </cell>
          <cell r="B91">
            <v>1000</v>
          </cell>
          <cell r="C91" t="str">
            <v>Nethralaya Ventures P Ltd, MM Nagar</v>
          </cell>
          <cell r="D91" t="str">
            <v>Gross</v>
          </cell>
          <cell r="E91">
            <v>1.25</v>
          </cell>
          <cell r="F91">
            <v>1500</v>
          </cell>
          <cell r="G91" t="str">
            <v>TN</v>
          </cell>
          <cell r="H91" t="str">
            <v>33AALFN0326R1ZZ</v>
          </cell>
          <cell r="I91">
            <v>33951609769</v>
          </cell>
          <cell r="J91" t="str">
            <v>AALFN0326R</v>
          </cell>
          <cell r="K91" t="str">
            <v>CHEN08706F</v>
          </cell>
          <cell r="L91" t="str">
            <v>NETHRALAYA RETAIL VENTURES LLP</v>
          </cell>
          <cell r="M91">
            <v>6357</v>
          </cell>
        </row>
        <row r="92">
          <cell r="A92">
            <v>121979</v>
          </cell>
          <cell r="B92">
            <v>1000</v>
          </cell>
          <cell r="C92" t="str">
            <v>Sri Sai Foods, Tnagar</v>
          </cell>
          <cell r="D92" t="str">
            <v>Gross</v>
          </cell>
          <cell r="E92">
            <v>1.25</v>
          </cell>
          <cell r="F92">
            <v>3300</v>
          </cell>
          <cell r="G92" t="str">
            <v>TN</v>
          </cell>
          <cell r="H92" t="str">
            <v>33BELPS3715Q1ZV</v>
          </cell>
          <cell r="I92">
            <v>33271370650</v>
          </cell>
          <cell r="J92" t="str">
            <v>BELPS3715Q</v>
          </cell>
          <cell r="L92" t="str">
            <v>PARAMESWARAN SATHISH KUMAR</v>
          </cell>
          <cell r="M92">
            <v>6358</v>
          </cell>
        </row>
        <row r="93">
          <cell r="A93">
            <v>121980</v>
          </cell>
          <cell r="B93">
            <v>1000</v>
          </cell>
          <cell r="C93" t="str">
            <v>VNS Superrmart</v>
          </cell>
          <cell r="D93" t="str">
            <v>Net</v>
          </cell>
          <cell r="E93">
            <v>1</v>
          </cell>
          <cell r="F93">
            <v>2804</v>
          </cell>
          <cell r="G93" t="str">
            <v>TN</v>
          </cell>
          <cell r="H93" t="str">
            <v>33AAIFV0387R1ZH</v>
          </cell>
          <cell r="I93">
            <v>33881349702</v>
          </cell>
          <cell r="J93" t="str">
            <v>AAIFV0387R</v>
          </cell>
          <cell r="K93" t="str">
            <v>CHEV10865B</v>
          </cell>
          <cell r="L93" t="str">
            <v>VNS SUPERR MART</v>
          </cell>
          <cell r="M93">
            <v>6359</v>
          </cell>
        </row>
        <row r="94">
          <cell r="A94">
            <v>121981</v>
          </cell>
          <cell r="B94">
            <v>1000</v>
          </cell>
          <cell r="C94" t="str">
            <v xml:space="preserve">Sun Enterprises, Hoodi </v>
          </cell>
          <cell r="D94" t="str">
            <v>Net</v>
          </cell>
          <cell r="E94">
            <v>1.25</v>
          </cell>
          <cell r="F94">
            <v>1500</v>
          </cell>
          <cell r="G94" t="str">
            <v>KA</v>
          </cell>
          <cell r="H94" t="str">
            <v>29ABTFS3179C1ZN</v>
          </cell>
          <cell r="I94">
            <v>29570573211</v>
          </cell>
          <cell r="J94" t="str">
            <v>ABTFS3179C</v>
          </cell>
          <cell r="M94">
            <v>6360</v>
          </cell>
        </row>
        <row r="95">
          <cell r="A95">
            <v>121982</v>
          </cell>
          <cell r="B95">
            <v>1000</v>
          </cell>
          <cell r="C95" t="str">
            <v xml:space="preserve">Fine Mart P Ltd, Salaiyur </v>
          </cell>
          <cell r="D95" t="str">
            <v>Gross</v>
          </cell>
          <cell r="E95">
            <v>1.25</v>
          </cell>
          <cell r="F95">
            <v>1602</v>
          </cell>
          <cell r="G95" t="str">
            <v>TN</v>
          </cell>
          <cell r="H95" t="str">
            <v>33AACCF4532D1Z7</v>
          </cell>
          <cell r="I95">
            <v>33196260658</v>
          </cell>
          <cell r="J95" t="str">
            <v>AACCF4532D</v>
          </cell>
          <cell r="L95" t="str">
            <v>FINE MART PRIVATE LIMITED</v>
          </cell>
          <cell r="M95">
            <v>6365</v>
          </cell>
        </row>
        <row r="96">
          <cell r="A96">
            <v>121983</v>
          </cell>
          <cell r="B96">
            <v>1000</v>
          </cell>
          <cell r="C96" t="str">
            <v>Silicon Enterprises, Mangalore</v>
          </cell>
          <cell r="D96" t="str">
            <v>Net</v>
          </cell>
          <cell r="E96">
            <v>1.25</v>
          </cell>
          <cell r="F96">
            <v>1905</v>
          </cell>
          <cell r="G96" t="str">
            <v>KA</v>
          </cell>
          <cell r="H96" t="str">
            <v>29ACPFS9835G1ZA</v>
          </cell>
          <cell r="I96">
            <v>29401219858</v>
          </cell>
          <cell r="J96" t="str">
            <v>ACPFS9835G</v>
          </cell>
          <cell r="M96">
            <v>6366</v>
          </cell>
        </row>
        <row r="97">
          <cell r="A97">
            <v>121984</v>
          </cell>
          <cell r="B97">
            <v>1000</v>
          </cell>
          <cell r="C97" t="str">
            <v>Capricorne Enterprises</v>
          </cell>
          <cell r="D97" t="str">
            <v>Gross</v>
          </cell>
          <cell r="E97">
            <v>1.25</v>
          </cell>
          <cell r="F97">
            <v>2200</v>
          </cell>
          <cell r="G97" t="str">
            <v>TN</v>
          </cell>
          <cell r="H97" t="str">
            <v>33DIDPS6337G1Z5</v>
          </cell>
          <cell r="I97">
            <v>33491390220</v>
          </cell>
          <cell r="J97" t="str">
            <v>DIDPS6337G</v>
          </cell>
          <cell r="L97" t="str">
            <v>SURAJ KUMAR</v>
          </cell>
          <cell r="M97">
            <v>6367</v>
          </cell>
        </row>
        <row r="98">
          <cell r="A98">
            <v>121986</v>
          </cell>
          <cell r="B98">
            <v>1000</v>
          </cell>
          <cell r="C98" t="str">
            <v>A2 Evergreen Supermarket</v>
          </cell>
          <cell r="D98" t="str">
            <v>Gross</v>
          </cell>
          <cell r="E98">
            <v>1.25</v>
          </cell>
          <cell r="F98">
            <v>1450</v>
          </cell>
          <cell r="G98" t="str">
            <v>TN</v>
          </cell>
          <cell r="H98" t="str">
            <v>33AMTPG8081G2ZQ</v>
          </cell>
          <cell r="I98">
            <v>33131704019</v>
          </cell>
          <cell r="J98" t="str">
            <v>AMTPG8081G</v>
          </cell>
          <cell r="K98" t="str">
            <v>CHEA187944</v>
          </cell>
          <cell r="L98" t="str">
            <v>ADIMOOLAM GANESAN</v>
          </cell>
          <cell r="M98">
            <v>6369</v>
          </cell>
        </row>
        <row r="99">
          <cell r="A99">
            <v>121987</v>
          </cell>
          <cell r="B99">
            <v>1000</v>
          </cell>
          <cell r="C99" t="str">
            <v>Jayaram Traders</v>
          </cell>
          <cell r="D99" t="str">
            <v>Gross</v>
          </cell>
          <cell r="E99">
            <v>1.25</v>
          </cell>
          <cell r="F99">
            <v>2021</v>
          </cell>
          <cell r="G99" t="str">
            <v>TN</v>
          </cell>
          <cell r="H99" t="str">
            <v>33FNKPS1059F1ZV</v>
          </cell>
          <cell r="I99">
            <v>33790948317</v>
          </cell>
          <cell r="J99" t="str">
            <v>FNKPS1059F</v>
          </cell>
          <cell r="K99" t="str">
            <v>CHES43678F</v>
          </cell>
          <cell r="L99" t="str">
            <v>SATHISHKUMAR</v>
          </cell>
          <cell r="M99">
            <v>6371</v>
          </cell>
        </row>
        <row r="100">
          <cell r="A100">
            <v>121988</v>
          </cell>
          <cell r="B100">
            <v>1000</v>
          </cell>
          <cell r="C100" t="str">
            <v>Green Future, Thiruvallur</v>
          </cell>
          <cell r="D100" t="str">
            <v>Gross</v>
          </cell>
          <cell r="E100">
            <v>1.25</v>
          </cell>
          <cell r="F100">
            <v>2100</v>
          </cell>
          <cell r="G100" t="str">
            <v>TN</v>
          </cell>
          <cell r="H100" t="str">
            <v>33BGXPS8358D1ZP</v>
          </cell>
          <cell r="I100">
            <v>33396277135</v>
          </cell>
          <cell r="J100" t="str">
            <v>BGXPS8358D</v>
          </cell>
          <cell r="K100" t="str">
            <v>CHEB09268A</v>
          </cell>
          <cell r="L100" t="str">
            <v>BALASUBRAMANIAN SENTHIL VELMURUGAN</v>
          </cell>
          <cell r="M100">
            <v>6374</v>
          </cell>
        </row>
        <row r="101">
          <cell r="A101">
            <v>121989</v>
          </cell>
          <cell r="B101">
            <v>1000</v>
          </cell>
          <cell r="C101" t="str">
            <v>Vaibhav Mart, Egmore</v>
          </cell>
          <cell r="D101" t="str">
            <v>Gross</v>
          </cell>
          <cell r="E101">
            <v>1.25</v>
          </cell>
          <cell r="F101">
            <v>1400</v>
          </cell>
          <cell r="G101" t="str">
            <v>TN</v>
          </cell>
          <cell r="H101" t="str">
            <v>33AAMFV1810B1ZO</v>
          </cell>
          <cell r="I101">
            <v>33626285787</v>
          </cell>
          <cell r="J101" t="str">
            <v>AAMFV1810B</v>
          </cell>
          <cell r="L101" t="str">
            <v>VAIBHAV MART</v>
          </cell>
          <cell r="M101">
            <v>6375</v>
          </cell>
        </row>
        <row r="102">
          <cell r="A102">
            <v>121990</v>
          </cell>
          <cell r="B102">
            <v>1000</v>
          </cell>
          <cell r="C102" t="str">
            <v>Capricorne Enterprises</v>
          </cell>
          <cell r="D102" t="str">
            <v>Gross</v>
          </cell>
          <cell r="E102">
            <v>1.25</v>
          </cell>
          <cell r="F102">
            <v>1681</v>
          </cell>
          <cell r="G102" t="str">
            <v>TN</v>
          </cell>
          <cell r="H102" t="str">
            <v>33DIDPS6337G1Z5</v>
          </cell>
          <cell r="I102">
            <v>33491390220</v>
          </cell>
          <cell r="J102" t="str">
            <v>DIDPS6337G</v>
          </cell>
          <cell r="L102" t="str">
            <v>SURAJ KUMAR</v>
          </cell>
          <cell r="M102">
            <v>6376</v>
          </cell>
        </row>
        <row r="103">
          <cell r="A103">
            <v>121991</v>
          </cell>
          <cell r="B103">
            <v>1000</v>
          </cell>
          <cell r="C103" t="str">
            <v>Sri Enterprises, Vepery</v>
          </cell>
          <cell r="D103" t="str">
            <v>Gross</v>
          </cell>
          <cell r="E103">
            <v>1.25</v>
          </cell>
          <cell r="F103">
            <v>1500</v>
          </cell>
          <cell r="G103" t="str">
            <v>TN</v>
          </cell>
          <cell r="H103" t="str">
            <v>33BHBPS6140N1Z4</v>
          </cell>
          <cell r="I103">
            <v>33986291021</v>
          </cell>
          <cell r="J103" t="str">
            <v>BHBPS6140N</v>
          </cell>
          <cell r="L103" t="str">
            <v>SWAROOPCHANDJAIN SURESHJAIN</v>
          </cell>
          <cell r="M103">
            <v>6377</v>
          </cell>
        </row>
        <row r="104">
          <cell r="A104">
            <v>121992</v>
          </cell>
          <cell r="B104">
            <v>1000</v>
          </cell>
          <cell r="C104" t="str">
            <v>The Food Tree</v>
          </cell>
          <cell r="D104" t="str">
            <v>Net</v>
          </cell>
          <cell r="E104">
            <v>1.25</v>
          </cell>
          <cell r="F104">
            <v>1650</v>
          </cell>
          <cell r="G104" t="str">
            <v>KA</v>
          </cell>
          <cell r="H104" t="str">
            <v>29ABLPK3298E1ZA</v>
          </cell>
          <cell r="I104">
            <v>29421259811</v>
          </cell>
          <cell r="J104" t="str">
            <v>ABLPK3298E</v>
          </cell>
          <cell r="L104" t="str">
            <v>SAJANI SUDHIR KANCHAN</v>
          </cell>
          <cell r="M104">
            <v>6378</v>
          </cell>
        </row>
        <row r="105">
          <cell r="A105">
            <v>121993</v>
          </cell>
          <cell r="B105">
            <v>1000</v>
          </cell>
          <cell r="C105" t="str">
            <v>Kavia Homeneeds, Trichy 2</v>
          </cell>
          <cell r="D105" t="str">
            <v>Gross</v>
          </cell>
          <cell r="E105">
            <v>1.25</v>
          </cell>
          <cell r="F105">
            <v>2273</v>
          </cell>
          <cell r="G105" t="str">
            <v>TN</v>
          </cell>
          <cell r="H105" t="str">
            <v>33AAMFK2373G1ZD</v>
          </cell>
          <cell r="I105">
            <v>33211369034</v>
          </cell>
          <cell r="J105" t="str">
            <v>AAMFK2373G</v>
          </cell>
          <cell r="L105" t="str">
            <v>KAAVYA HOME NEEDS</v>
          </cell>
          <cell r="M105">
            <v>6379</v>
          </cell>
        </row>
        <row r="106">
          <cell r="A106">
            <v>121994</v>
          </cell>
          <cell r="B106">
            <v>1000</v>
          </cell>
          <cell r="C106" t="str">
            <v xml:space="preserve">Arrvee Enterprises, </v>
          </cell>
          <cell r="D106" t="str">
            <v>Gross</v>
          </cell>
          <cell r="E106">
            <v>1.25</v>
          </cell>
          <cell r="F106">
            <v>1500</v>
          </cell>
          <cell r="G106" t="str">
            <v>TN</v>
          </cell>
          <cell r="H106" t="str">
            <v>33ABCFA0051A1ZK</v>
          </cell>
          <cell r="I106">
            <v>33976302715</v>
          </cell>
          <cell r="J106" t="str">
            <v>ABCFA0051A</v>
          </cell>
          <cell r="L106" t="str">
            <v>ARRVEE RETAIL</v>
          </cell>
          <cell r="M106">
            <v>6380</v>
          </cell>
        </row>
        <row r="107">
          <cell r="A107">
            <v>121995</v>
          </cell>
          <cell r="B107">
            <v>1000</v>
          </cell>
          <cell r="C107" t="str">
            <v>Valbaa Enterprises , Ramapuram</v>
          </cell>
          <cell r="D107" t="str">
            <v>Gross</v>
          </cell>
          <cell r="E107">
            <v>1.25</v>
          </cell>
          <cell r="F107">
            <v>1873</v>
          </cell>
          <cell r="G107" t="str">
            <v>TN</v>
          </cell>
          <cell r="H107" t="str">
            <v>33AAMFV4731D1ZA</v>
          </cell>
          <cell r="I107">
            <v>33216306528</v>
          </cell>
          <cell r="J107" t="str">
            <v>AAMFV4731D</v>
          </cell>
          <cell r="L107" t="str">
            <v>VALBAA ENTERPRISE LLP</v>
          </cell>
          <cell r="M107">
            <v>6381</v>
          </cell>
        </row>
        <row r="108">
          <cell r="A108">
            <v>121996</v>
          </cell>
          <cell r="B108">
            <v>1000</v>
          </cell>
          <cell r="C108" t="str">
            <v>Nikkil  Enterpises, Mahindra City II</v>
          </cell>
          <cell r="D108" t="str">
            <v>Gross</v>
          </cell>
          <cell r="E108">
            <v>1.25</v>
          </cell>
          <cell r="F108">
            <v>1780</v>
          </cell>
          <cell r="G108" t="str">
            <v>TN</v>
          </cell>
          <cell r="H108" t="str">
            <v>33AMJPK5932G1Z3</v>
          </cell>
          <cell r="I108">
            <v>33581608760</v>
          </cell>
          <cell r="J108" t="str">
            <v>AMJPK5932G</v>
          </cell>
          <cell r="K108" t="str">
            <v>CHEK12611E</v>
          </cell>
          <cell r="L108" t="str">
            <v>KANAGARATHINAM</v>
          </cell>
          <cell r="M108">
            <v>6382</v>
          </cell>
        </row>
        <row r="109">
          <cell r="A109">
            <v>121997</v>
          </cell>
          <cell r="B109">
            <v>1000</v>
          </cell>
          <cell r="C109" t="str">
            <v>Sriraaj Foods</v>
          </cell>
          <cell r="D109" t="str">
            <v>Gross</v>
          </cell>
          <cell r="E109">
            <v>1.25</v>
          </cell>
          <cell r="F109">
            <v>2500</v>
          </cell>
          <cell r="G109" t="str">
            <v>TN</v>
          </cell>
          <cell r="H109" t="str">
            <v>33ACVFS6020M1ZN</v>
          </cell>
          <cell r="I109">
            <v>33106326619</v>
          </cell>
          <cell r="J109" t="str">
            <v>ACVFS6020M</v>
          </cell>
          <cell r="L109" t="str">
            <v>SRIRAAJ FOODS AND BEVERAGES</v>
          </cell>
          <cell r="M109">
            <v>6383</v>
          </cell>
        </row>
        <row r="110">
          <cell r="A110">
            <v>121998</v>
          </cell>
          <cell r="B110">
            <v>1000</v>
          </cell>
          <cell r="C110" t="str">
            <v>Shoppers  Delight</v>
          </cell>
          <cell r="D110" t="str">
            <v>Net</v>
          </cell>
          <cell r="E110">
            <v>1.25</v>
          </cell>
          <cell r="F110">
            <v>1105</v>
          </cell>
          <cell r="G110" t="str">
            <v>KA</v>
          </cell>
          <cell r="H110" t="str">
            <v>29ACWFS3460J1ZB</v>
          </cell>
          <cell r="I110">
            <v>29841289844</v>
          </cell>
          <cell r="J110" t="str">
            <v>ACWFS3460J</v>
          </cell>
          <cell r="M110">
            <v>6385</v>
          </cell>
        </row>
        <row r="111">
          <cell r="A111">
            <v>121999</v>
          </cell>
          <cell r="B111">
            <v>1000</v>
          </cell>
          <cell r="C111" t="str">
            <v>Nalla Trades, Madurai</v>
          </cell>
          <cell r="D111" t="str">
            <v>Gross</v>
          </cell>
          <cell r="E111">
            <v>1.25</v>
          </cell>
          <cell r="F111">
            <v>1483</v>
          </cell>
          <cell r="G111" t="str">
            <v>TN</v>
          </cell>
          <cell r="H111" t="str">
            <v>33AAHPV3698N1ZT</v>
          </cell>
          <cell r="I111">
            <v>33606330127</v>
          </cell>
          <cell r="J111" t="str">
            <v>AAHPV3698N</v>
          </cell>
          <cell r="L111" t="str">
            <v>NALLA TRADES</v>
          </cell>
          <cell r="M111">
            <v>6386</v>
          </cell>
        </row>
        <row r="112">
          <cell r="A112">
            <v>122000</v>
          </cell>
          <cell r="B112">
            <v>1000</v>
          </cell>
          <cell r="C112" t="str">
            <v>Valbaa Enterprise LLP, Adambakkam</v>
          </cell>
          <cell r="D112" t="str">
            <v>Gross</v>
          </cell>
          <cell r="E112">
            <v>1.25</v>
          </cell>
          <cell r="F112">
            <v>1822</v>
          </cell>
          <cell r="G112" t="str">
            <v>TN</v>
          </cell>
          <cell r="H112" t="str">
            <v>33AAMFV4731D1ZA</v>
          </cell>
          <cell r="I112">
            <v>33216306528</v>
          </cell>
          <cell r="J112" t="str">
            <v>AAMFV4731D</v>
          </cell>
          <cell r="L112" t="str">
            <v>VALBAA ENTERPRISE LLP</v>
          </cell>
          <cell r="M112">
            <v>6387</v>
          </cell>
        </row>
        <row r="113">
          <cell r="A113">
            <v>122001</v>
          </cell>
          <cell r="B113">
            <v>1000</v>
          </cell>
          <cell r="C113" t="str">
            <v>Bokha Enterprises, Tirupur</v>
          </cell>
          <cell r="D113" t="str">
            <v>Gross</v>
          </cell>
          <cell r="E113">
            <v>1.25</v>
          </cell>
          <cell r="F113">
            <v>2627</v>
          </cell>
          <cell r="G113" t="str">
            <v>TN</v>
          </cell>
          <cell r="H113" t="str">
            <v>33AIVPA3619G1ZD</v>
          </cell>
          <cell r="I113">
            <v>33456334526</v>
          </cell>
          <cell r="J113" t="str">
            <v>AIVPA3619G</v>
          </cell>
          <cell r="L113" t="str">
            <v>BOKHA ENTERPRISES</v>
          </cell>
          <cell r="M113">
            <v>6388</v>
          </cell>
        </row>
        <row r="114">
          <cell r="A114">
            <v>122002</v>
          </cell>
          <cell r="B114">
            <v>1000</v>
          </cell>
          <cell r="C114" t="str">
            <v>Yogaine Foods, Madurai</v>
          </cell>
          <cell r="D114" t="str">
            <v>Gross</v>
          </cell>
          <cell r="E114">
            <v>1.25</v>
          </cell>
          <cell r="F114">
            <v>1481</v>
          </cell>
          <cell r="G114" t="str">
            <v>TN</v>
          </cell>
          <cell r="H114" t="str">
            <v>33AGNPT9113C1ZE</v>
          </cell>
          <cell r="I114">
            <v>33816233448</v>
          </cell>
          <cell r="J114" t="str">
            <v>AGNPT9113C</v>
          </cell>
          <cell r="L114" t="str">
            <v>THANGARAJA BALAKRISHNAN</v>
          </cell>
          <cell r="M114">
            <v>6390</v>
          </cell>
        </row>
        <row r="115">
          <cell r="A115">
            <v>122003</v>
          </cell>
          <cell r="B115">
            <v>1000</v>
          </cell>
          <cell r="C115" t="str">
            <v>Sree Sai Agecies</v>
          </cell>
          <cell r="D115" t="str">
            <v>Gross</v>
          </cell>
          <cell r="E115">
            <v>1.25</v>
          </cell>
          <cell r="F115">
            <v>1560</v>
          </cell>
          <cell r="G115" t="str">
            <v>TN</v>
          </cell>
          <cell r="H115" t="str">
            <v>33ACXFS2297J1ZC</v>
          </cell>
          <cell r="I115">
            <v>33946352638</v>
          </cell>
          <cell r="J115" t="str">
            <v>ACXFS2297J</v>
          </cell>
          <cell r="L115" t="str">
            <v>SREE SAI AGENCIES</v>
          </cell>
          <cell r="M115">
            <v>6391</v>
          </cell>
        </row>
        <row r="116">
          <cell r="A116">
            <v>122004</v>
          </cell>
          <cell r="B116">
            <v>1000</v>
          </cell>
          <cell r="C116" t="str">
            <v>Sri Venkateswara Enterprises, Defence Colony</v>
          </cell>
          <cell r="D116" t="str">
            <v>Net</v>
          </cell>
          <cell r="E116">
            <v>1.25</v>
          </cell>
          <cell r="F116">
            <v>700</v>
          </cell>
          <cell r="G116" t="str">
            <v>KA</v>
          </cell>
          <cell r="H116" t="str">
            <v>29AAQPA5212L1ZK</v>
          </cell>
          <cell r="I116">
            <v>29771310010</v>
          </cell>
          <cell r="J116" t="str">
            <v>AAQPA5212L</v>
          </cell>
          <cell r="L116" t="str">
            <v>YERNOOL RAJENDRA ANIL</v>
          </cell>
          <cell r="M116">
            <v>6392</v>
          </cell>
        </row>
        <row r="117">
          <cell r="A117">
            <v>122005</v>
          </cell>
          <cell r="B117">
            <v>1000</v>
          </cell>
          <cell r="C117" t="str">
            <v>Pinewood Export</v>
          </cell>
          <cell r="D117" t="str">
            <v>Gross</v>
          </cell>
          <cell r="E117">
            <v>1</v>
          </cell>
          <cell r="F117">
            <v>2456</v>
          </cell>
          <cell r="G117" t="str">
            <v>KE</v>
          </cell>
          <cell r="H117" t="str">
            <v>32AFZPG9268G1ZV</v>
          </cell>
          <cell r="I117">
            <v>32010877708</v>
          </cell>
          <cell r="J117" t="str">
            <v>AFZPG9268G</v>
          </cell>
          <cell r="L117" t="str">
            <v>SANIL KUMAR GLADSTON</v>
          </cell>
          <cell r="M117">
            <v>6393</v>
          </cell>
        </row>
        <row r="118">
          <cell r="A118">
            <v>122006</v>
          </cell>
          <cell r="B118">
            <v>1000</v>
          </cell>
          <cell r="C118" t="str">
            <v>AMA Traders</v>
          </cell>
          <cell r="D118" t="str">
            <v>Gross</v>
          </cell>
          <cell r="E118">
            <v>1.25</v>
          </cell>
          <cell r="F118">
            <v>2353</v>
          </cell>
          <cell r="G118" t="str">
            <v>TN</v>
          </cell>
          <cell r="H118" t="str">
            <v>33BBCPA1592F1Z8</v>
          </cell>
          <cell r="I118">
            <v>33216360169</v>
          </cell>
          <cell r="J118" t="str">
            <v>BBCPA1592F</v>
          </cell>
          <cell r="L118" t="str">
            <v>A M A TRADERS PROP OF ARUN. T</v>
          </cell>
          <cell r="M118">
            <v>6394</v>
          </cell>
        </row>
        <row r="119">
          <cell r="A119">
            <v>122007</v>
          </cell>
          <cell r="B119">
            <v>1000</v>
          </cell>
          <cell r="C119" t="str">
            <v>Mahalakshmi Enterprises II - Anna Nagar</v>
          </cell>
          <cell r="D119" t="str">
            <v>Gross</v>
          </cell>
          <cell r="E119">
            <v>1.25</v>
          </cell>
          <cell r="F119">
            <v>1849</v>
          </cell>
          <cell r="G119" t="str">
            <v>TN</v>
          </cell>
          <cell r="H119" t="str">
            <v>33AALFM3443J1Z8</v>
          </cell>
          <cell r="I119">
            <v>33411465633</v>
          </cell>
          <cell r="J119" t="str">
            <v>AALFM3443J</v>
          </cell>
          <cell r="L119" t="str">
            <v>MAHALAKSHMI ENTERPRISES</v>
          </cell>
          <cell r="M119">
            <v>6395</v>
          </cell>
        </row>
        <row r="120">
          <cell r="A120">
            <v>122008</v>
          </cell>
          <cell r="B120">
            <v>1000</v>
          </cell>
          <cell r="C120" t="str">
            <v>Sri Maheswari Enterprises - Bounce</v>
          </cell>
          <cell r="D120" t="str">
            <v>Net</v>
          </cell>
          <cell r="E120">
            <v>1.25</v>
          </cell>
          <cell r="F120">
            <v>2382</v>
          </cell>
          <cell r="G120" t="str">
            <v>KA</v>
          </cell>
          <cell r="H120" t="str">
            <v>29AXIPK4288R1ZD</v>
          </cell>
          <cell r="I120">
            <v>29851325777</v>
          </cell>
          <cell r="J120" t="str">
            <v>AXIPK4288R</v>
          </cell>
          <cell r="L120" t="str">
            <v>VINUTHA NANDA KUMAR</v>
          </cell>
          <cell r="M120">
            <v>6396</v>
          </cell>
        </row>
        <row r="121">
          <cell r="A121">
            <v>122009</v>
          </cell>
          <cell r="B121">
            <v>1000</v>
          </cell>
          <cell r="C121" t="str">
            <v>Dwaraka Enterprises</v>
          </cell>
          <cell r="D121" t="str">
            <v>Gross</v>
          </cell>
          <cell r="E121">
            <v>1.25</v>
          </cell>
          <cell r="F121">
            <v>947</v>
          </cell>
          <cell r="G121" t="str">
            <v>TN</v>
          </cell>
          <cell r="H121" t="str">
            <v>33AJDPV9302L1ZX</v>
          </cell>
          <cell r="I121">
            <v>33536368483</v>
          </cell>
          <cell r="J121" t="str">
            <v>AJDPV9302L</v>
          </cell>
          <cell r="L121" t="str">
            <v>VISWANATHANGOMATHI</v>
          </cell>
          <cell r="M121">
            <v>6397</v>
          </cell>
        </row>
        <row r="122">
          <cell r="A122">
            <v>122010</v>
          </cell>
          <cell r="B122">
            <v>1000</v>
          </cell>
          <cell r="C122" t="str">
            <v>Chandragiri Enterprises</v>
          </cell>
          <cell r="D122" t="str">
            <v>Net</v>
          </cell>
          <cell r="E122">
            <v>1.25</v>
          </cell>
          <cell r="F122">
            <v>1844</v>
          </cell>
          <cell r="G122" t="str">
            <v>KA</v>
          </cell>
          <cell r="H122" t="str">
            <v>29AALFC1714A1ZW</v>
          </cell>
          <cell r="J122" t="str">
            <v>AALFC1714A</v>
          </cell>
          <cell r="M122">
            <v>6398</v>
          </cell>
        </row>
        <row r="123">
          <cell r="A123">
            <v>122011</v>
          </cell>
          <cell r="B123">
            <v>1000</v>
          </cell>
          <cell r="C123" t="str">
            <v>S.N.V.Holdings  Race Course Road</v>
          </cell>
          <cell r="D123" t="str">
            <v>Gross</v>
          </cell>
          <cell r="E123">
            <v>1.25</v>
          </cell>
          <cell r="F123">
            <v>3121</v>
          </cell>
          <cell r="G123" t="str">
            <v>TN</v>
          </cell>
          <cell r="H123" t="str">
            <v>33AAJCS2395A1ZK</v>
          </cell>
          <cell r="I123">
            <v>33422002280</v>
          </cell>
          <cell r="J123" t="str">
            <v>AAJCS2395A</v>
          </cell>
          <cell r="K123" t="str">
            <v>CMBS08854G</v>
          </cell>
          <cell r="L123" t="str">
            <v>SNV HOLDINGS PRIVATE LIMITED</v>
          </cell>
          <cell r="M123">
            <v>6399</v>
          </cell>
        </row>
        <row r="124">
          <cell r="A124">
            <v>122012</v>
          </cell>
          <cell r="B124">
            <v>1000</v>
          </cell>
          <cell r="C124" t="str">
            <v>Goodlife Enterprises</v>
          </cell>
          <cell r="D124" t="str">
            <v>Gross</v>
          </cell>
          <cell r="E124">
            <v>1.25</v>
          </cell>
          <cell r="F124">
            <v>1700</v>
          </cell>
          <cell r="G124" t="str">
            <v>TN</v>
          </cell>
          <cell r="H124" t="str">
            <v>33AAOFG7157J1Z0</v>
          </cell>
          <cell r="I124">
            <v>33826347175</v>
          </cell>
          <cell r="J124" t="str">
            <v>AAOFG7157J</v>
          </cell>
          <cell r="L124" t="str">
            <v>GOODLIFE ENTERPRISES</v>
          </cell>
          <cell r="M124">
            <v>6400</v>
          </cell>
        </row>
        <row r="125">
          <cell r="A125">
            <v>122013</v>
          </cell>
          <cell r="B125">
            <v>1000</v>
          </cell>
          <cell r="C125" t="str">
            <v>Sri Chandrasekara Enterprises</v>
          </cell>
          <cell r="D125" t="str">
            <v>Gross</v>
          </cell>
          <cell r="E125">
            <v>1.25</v>
          </cell>
          <cell r="F125">
            <v>1720</v>
          </cell>
          <cell r="G125" t="str">
            <v>TN</v>
          </cell>
          <cell r="H125" t="str">
            <v>33ADAFS5313F1ZJ</v>
          </cell>
          <cell r="I125">
            <v>33546375563</v>
          </cell>
          <cell r="J125" t="str">
            <v>ADAFS5313F</v>
          </cell>
          <cell r="L125" t="str">
            <v>SRI CHANDRASEKARA ENTERPRISES</v>
          </cell>
          <cell r="M125">
            <v>6401</v>
          </cell>
        </row>
        <row r="126">
          <cell r="A126">
            <v>122014</v>
          </cell>
          <cell r="B126">
            <v>1000</v>
          </cell>
          <cell r="C126" t="str">
            <v>Food Plus Super Store, Banasankari</v>
          </cell>
          <cell r="D126" t="str">
            <v>Net</v>
          </cell>
          <cell r="E126">
            <v>1.25</v>
          </cell>
          <cell r="F126">
            <v>2601</v>
          </cell>
          <cell r="G126" t="str">
            <v>KA</v>
          </cell>
          <cell r="H126" t="str">
            <v>29AATPF4618E1ZJ</v>
          </cell>
          <cell r="I126">
            <v>29901125105</v>
          </cell>
          <cell r="J126" t="str">
            <v>AATPF4618E</v>
          </cell>
          <cell r="L126" t="str">
            <v>FORHAD AHMED</v>
          </cell>
          <cell r="M126">
            <v>6402</v>
          </cell>
        </row>
        <row r="127">
          <cell r="A127">
            <v>122015</v>
          </cell>
          <cell r="B127">
            <v>1000</v>
          </cell>
          <cell r="C127" t="str">
            <v>Food Plus Super Store, Gubalala</v>
          </cell>
          <cell r="D127" t="str">
            <v>Net</v>
          </cell>
          <cell r="E127">
            <v>1.25</v>
          </cell>
          <cell r="F127">
            <v>1183</v>
          </cell>
          <cell r="G127" t="str">
            <v>KA</v>
          </cell>
          <cell r="H127" t="str">
            <v>29AATPF4618E1ZJ</v>
          </cell>
          <cell r="I127">
            <v>29901125105</v>
          </cell>
          <cell r="J127" t="str">
            <v>AATPF4618E</v>
          </cell>
          <cell r="L127" t="str">
            <v>FORHAD AHMED</v>
          </cell>
          <cell r="M127">
            <v>6403</v>
          </cell>
        </row>
        <row r="128">
          <cell r="A128">
            <v>122465</v>
          </cell>
          <cell r="B128">
            <v>1000</v>
          </cell>
          <cell r="C128" t="str">
            <v>Sri Siddaganga Stores</v>
          </cell>
          <cell r="D128" t="str">
            <v>Net</v>
          </cell>
          <cell r="E128">
            <v>1.25</v>
          </cell>
          <cell r="F128">
            <v>1515</v>
          </cell>
          <cell r="G128" t="str">
            <v>KA</v>
          </cell>
          <cell r="H128" t="str">
            <v>29AHGPG9818H1ZZ</v>
          </cell>
          <cell r="I128">
            <v>29841334270</v>
          </cell>
          <cell r="J128" t="str">
            <v>AHGPG9818H</v>
          </cell>
          <cell r="L128" t="str">
            <v>H VISHWANATH GOUDA</v>
          </cell>
          <cell r="M128">
            <v>6405</v>
          </cell>
        </row>
        <row r="129">
          <cell r="A129">
            <v>122016</v>
          </cell>
          <cell r="B129">
            <v>1000</v>
          </cell>
          <cell r="C129" t="str">
            <v>Horizon Enterprises</v>
          </cell>
          <cell r="D129" t="str">
            <v>Net</v>
          </cell>
          <cell r="E129">
            <v>1.25</v>
          </cell>
          <cell r="F129">
            <v>2225</v>
          </cell>
          <cell r="G129" t="str">
            <v>KA</v>
          </cell>
          <cell r="H129" t="str">
            <v>29AAJFH4739G1Z2</v>
          </cell>
          <cell r="I129">
            <v>29561347131</v>
          </cell>
          <cell r="J129" t="str">
            <v>AAJFH4739G</v>
          </cell>
          <cell r="L129" t="str">
            <v>UMAR ANEES</v>
          </cell>
          <cell r="M129">
            <v>6406</v>
          </cell>
        </row>
        <row r="130">
          <cell r="A130">
            <v>122466</v>
          </cell>
          <cell r="B130">
            <v>1000</v>
          </cell>
          <cell r="C130" t="str">
            <v>Veggies</v>
          </cell>
          <cell r="D130" t="str">
            <v>Net</v>
          </cell>
          <cell r="E130">
            <v>1.25</v>
          </cell>
          <cell r="F130">
            <v>500</v>
          </cell>
          <cell r="G130" t="str">
            <v>KA</v>
          </cell>
          <cell r="H130" t="str">
            <v>29CUHPP4376B1ZD</v>
          </cell>
          <cell r="I130">
            <v>29971348409</v>
          </cell>
          <cell r="J130" t="str">
            <v>CUHPP4376B</v>
          </cell>
          <cell r="L130" t="str">
            <v>D PRAKASH</v>
          </cell>
          <cell r="M130">
            <v>6407</v>
          </cell>
        </row>
        <row r="131">
          <cell r="A131">
            <v>122017</v>
          </cell>
          <cell r="B131">
            <v>1000</v>
          </cell>
          <cell r="C131" t="str">
            <v>Betsy's Super Market</v>
          </cell>
          <cell r="D131" t="str">
            <v>Net</v>
          </cell>
          <cell r="E131">
            <v>1.25</v>
          </cell>
          <cell r="F131">
            <v>757</v>
          </cell>
          <cell r="G131" t="str">
            <v>KA</v>
          </cell>
          <cell r="H131" t="str">
            <v>29CUHPP4376B1ZD</v>
          </cell>
          <cell r="I131">
            <v>29971348409</v>
          </cell>
          <cell r="J131" t="str">
            <v>CUHPP4376B</v>
          </cell>
          <cell r="L131" t="str">
            <v>D PRAKASH</v>
          </cell>
          <cell r="M131">
            <v>6408</v>
          </cell>
        </row>
        <row r="132">
          <cell r="A132">
            <v>122018</v>
          </cell>
          <cell r="B132">
            <v>1000</v>
          </cell>
          <cell r="C132" t="str">
            <v>Sun Rise Retail Mart</v>
          </cell>
          <cell r="D132" t="str">
            <v>Net</v>
          </cell>
          <cell r="E132">
            <v>1.25</v>
          </cell>
          <cell r="F132">
            <v>1100</v>
          </cell>
          <cell r="G132" t="str">
            <v>KA</v>
          </cell>
          <cell r="H132" t="str">
            <v>29ADBFS2163A1ZF</v>
          </cell>
          <cell r="J132" t="str">
            <v>ADBFS2163A</v>
          </cell>
          <cell r="M132">
            <v>6409</v>
          </cell>
        </row>
        <row r="133">
          <cell r="A133">
            <v>122467</v>
          </cell>
          <cell r="B133">
            <v>1000</v>
          </cell>
          <cell r="C133" t="str">
            <v>Bobby's Retail</v>
          </cell>
          <cell r="D133" t="str">
            <v>Net</v>
          </cell>
          <cell r="E133">
            <v>1.25</v>
          </cell>
          <cell r="F133">
            <v>283</v>
          </cell>
          <cell r="G133" t="str">
            <v>KA</v>
          </cell>
          <cell r="J133">
            <v>0</v>
          </cell>
          <cell r="M133">
            <v>6411</v>
          </cell>
        </row>
        <row r="134">
          <cell r="A134">
            <v>122020</v>
          </cell>
          <cell r="B134">
            <v>1000</v>
          </cell>
          <cell r="C134" t="str">
            <v>Vetrivel Enterprieses</v>
          </cell>
          <cell r="D134" t="str">
            <v>Gross</v>
          </cell>
          <cell r="E134">
            <v>1.25</v>
          </cell>
          <cell r="F134">
            <v>1340</v>
          </cell>
          <cell r="G134" t="str">
            <v>TN</v>
          </cell>
          <cell r="H134" t="str">
            <v>33AANFV6337N1ZI</v>
          </cell>
          <cell r="I134">
            <v>33396372474</v>
          </cell>
          <cell r="J134" t="str">
            <v>AANFV6337N</v>
          </cell>
          <cell r="L134" t="str">
            <v>VETRIVEL ENTERPRISES</v>
          </cell>
          <cell r="M134">
            <v>6412</v>
          </cell>
        </row>
        <row r="135">
          <cell r="A135">
            <v>122021</v>
          </cell>
          <cell r="B135">
            <v>1000</v>
          </cell>
          <cell r="C135" t="str">
            <v>Vedic Retail</v>
          </cell>
          <cell r="D135" t="str">
            <v>Net</v>
          </cell>
          <cell r="E135">
            <v>1.25</v>
          </cell>
          <cell r="F135">
            <v>1313</v>
          </cell>
          <cell r="G135" t="str">
            <v>KA</v>
          </cell>
          <cell r="H135" t="str">
            <v>29AANFV9545Q1ZT</v>
          </cell>
          <cell r="I135">
            <v>29831350523</v>
          </cell>
          <cell r="J135" t="str">
            <v>AANFV9545Q</v>
          </cell>
          <cell r="L135" t="str">
            <v>REKHA S</v>
          </cell>
          <cell r="M135">
            <v>6413</v>
          </cell>
        </row>
        <row r="136">
          <cell r="A136">
            <v>122022</v>
          </cell>
          <cell r="B136">
            <v>1000</v>
          </cell>
          <cell r="C136" t="str">
            <v xml:space="preserve"> SAMREEN FRESH 'N' GREEN</v>
          </cell>
          <cell r="D136" t="str">
            <v>Gross</v>
          </cell>
          <cell r="E136">
            <v>1.25</v>
          </cell>
          <cell r="F136">
            <v>1500</v>
          </cell>
          <cell r="G136" t="str">
            <v>TN</v>
          </cell>
          <cell r="H136" t="str">
            <v>33AAFPF2403D1ZN</v>
          </cell>
          <cell r="I136">
            <v>33836413267</v>
          </cell>
          <cell r="J136" t="str">
            <v>AAFPF2403D</v>
          </cell>
          <cell r="L136" t="str">
            <v>FAIZUL NAWAZSHAIKDAWOOD</v>
          </cell>
          <cell r="M136">
            <v>6414</v>
          </cell>
        </row>
        <row r="137">
          <cell r="A137">
            <v>122023</v>
          </cell>
          <cell r="B137">
            <v>1000</v>
          </cell>
          <cell r="C137" t="str">
            <v>Sri Sai Enterprises</v>
          </cell>
          <cell r="D137" t="str">
            <v>Net</v>
          </cell>
          <cell r="E137">
            <v>1.25</v>
          </cell>
          <cell r="F137">
            <v>1000</v>
          </cell>
          <cell r="G137" t="str">
            <v>KA</v>
          </cell>
          <cell r="J137">
            <v>0</v>
          </cell>
          <cell r="M137">
            <v>6415</v>
          </cell>
        </row>
        <row r="138">
          <cell r="A138">
            <v>122024</v>
          </cell>
          <cell r="B138">
            <v>1000</v>
          </cell>
          <cell r="C138" t="str">
            <v>Nirmala Enterprises</v>
          </cell>
          <cell r="D138" t="str">
            <v>Net</v>
          </cell>
          <cell r="E138">
            <v>1.25</v>
          </cell>
          <cell r="F138">
            <v>1048</v>
          </cell>
          <cell r="G138" t="str">
            <v>KA</v>
          </cell>
          <cell r="H138" t="str">
            <v>29ACUPM4452A1ZF</v>
          </cell>
          <cell r="I138">
            <v>29791363737</v>
          </cell>
          <cell r="J138" t="str">
            <v>ACUPM4452A</v>
          </cell>
          <cell r="L138" t="str">
            <v>GIRISH DINKAR MULAY</v>
          </cell>
          <cell r="M138">
            <v>6416</v>
          </cell>
        </row>
        <row r="139">
          <cell r="A139">
            <v>122025</v>
          </cell>
          <cell r="B139">
            <v>1000</v>
          </cell>
          <cell r="C139" t="str">
            <v xml:space="preserve"> Harshini Enterprises</v>
          </cell>
          <cell r="D139" t="str">
            <v>Gross</v>
          </cell>
          <cell r="E139">
            <v>1.25</v>
          </cell>
          <cell r="F139">
            <v>1850</v>
          </cell>
          <cell r="G139" t="str">
            <v>TN</v>
          </cell>
          <cell r="H139" t="str">
            <v>33AAJFH6329Q1ZU</v>
          </cell>
          <cell r="I139">
            <v>33296414970</v>
          </cell>
          <cell r="J139" t="str">
            <v>AAJFH6329Q</v>
          </cell>
          <cell r="L139" t="str">
            <v>HARSHINI ENTERPRISES</v>
          </cell>
          <cell r="M139">
            <v>6417</v>
          </cell>
        </row>
        <row r="140">
          <cell r="A140">
            <v>122468</v>
          </cell>
          <cell r="B140">
            <v>1000</v>
          </cell>
          <cell r="C140" t="str">
            <v xml:space="preserve">Sri Venkateswara Enterprises  - INDIRA Nagar </v>
          </cell>
          <cell r="D140" t="str">
            <v>Net</v>
          </cell>
          <cell r="E140">
            <v>1</v>
          </cell>
          <cell r="F140">
            <v>1670</v>
          </cell>
          <cell r="G140" t="str">
            <v>KA</v>
          </cell>
          <cell r="H140" t="str">
            <v>29AAQPA5212L1ZK</v>
          </cell>
          <cell r="I140">
            <v>29771310010</v>
          </cell>
          <cell r="J140" t="str">
            <v>AAQPA5212L</v>
          </cell>
          <cell r="L140" t="str">
            <v>YERNOOL RAJENDRA ANIL</v>
          </cell>
          <cell r="M140">
            <v>6420</v>
          </cell>
        </row>
        <row r="141">
          <cell r="A141">
            <v>122026</v>
          </cell>
          <cell r="B141">
            <v>1000</v>
          </cell>
          <cell r="C141" t="str">
            <v>SHRAVYA ENTERPRISE - RT Nagar</v>
          </cell>
          <cell r="D141" t="str">
            <v>Net</v>
          </cell>
          <cell r="E141">
            <v>1.25</v>
          </cell>
          <cell r="F141">
            <v>1000</v>
          </cell>
          <cell r="G141" t="str">
            <v>KA</v>
          </cell>
          <cell r="H141" t="str">
            <v>29AGTPV3089P1ZX</v>
          </cell>
          <cell r="J141" t="str">
            <v>AGTPV3089P</v>
          </cell>
          <cell r="M141">
            <v>6421</v>
          </cell>
        </row>
        <row r="142">
          <cell r="A142">
            <v>122469</v>
          </cell>
          <cell r="B142">
            <v>1000</v>
          </cell>
          <cell r="C142" t="str">
            <v>Sona Foods - Espana</v>
          </cell>
          <cell r="D142" t="str">
            <v>Net</v>
          </cell>
          <cell r="E142">
            <v>1.25</v>
          </cell>
          <cell r="F142">
            <v>550</v>
          </cell>
          <cell r="G142" t="str">
            <v>KA</v>
          </cell>
          <cell r="H142" t="str">
            <v>29ABCFS3927R1ZD</v>
          </cell>
          <cell r="I142">
            <v>29230393851</v>
          </cell>
          <cell r="J142" t="str">
            <v>ABCFS3927R</v>
          </cell>
          <cell r="M142">
            <v>6422</v>
          </cell>
        </row>
        <row r="143">
          <cell r="A143">
            <v>122027</v>
          </cell>
          <cell r="B143">
            <v>1000</v>
          </cell>
          <cell r="C143" t="str">
            <v>ARTYZ</v>
          </cell>
          <cell r="D143" t="str">
            <v>Gross</v>
          </cell>
          <cell r="E143">
            <v>1</v>
          </cell>
          <cell r="F143">
            <v>2000</v>
          </cell>
          <cell r="G143" t="str">
            <v>KE</v>
          </cell>
          <cell r="I143">
            <v>32071078135</v>
          </cell>
          <cell r="J143">
            <v>0</v>
          </cell>
          <cell r="M143">
            <v>6423</v>
          </cell>
        </row>
        <row r="144">
          <cell r="A144">
            <v>122028</v>
          </cell>
          <cell r="B144">
            <v>1000</v>
          </cell>
          <cell r="C144" t="str">
            <v>PKD  Agencies</v>
          </cell>
          <cell r="D144" t="str">
            <v>Net</v>
          </cell>
          <cell r="E144">
            <v>1.25</v>
          </cell>
          <cell r="F144">
            <v>1188</v>
          </cell>
          <cell r="G144" t="str">
            <v>KA</v>
          </cell>
          <cell r="H144" t="str">
            <v>29CKFPK3931B1ZD</v>
          </cell>
          <cell r="I144">
            <v>29861372671</v>
          </cell>
          <cell r="J144" t="str">
            <v>CKFPK3931B</v>
          </cell>
          <cell r="L144" t="str">
            <v>MAHALINGAM KEERTHIKA</v>
          </cell>
          <cell r="M144">
            <v>6424</v>
          </cell>
        </row>
        <row r="145">
          <cell r="A145">
            <v>122029</v>
          </cell>
          <cell r="B145">
            <v>1000</v>
          </cell>
          <cell r="C145" t="str">
            <v>Sun Enterprises , Jakkur</v>
          </cell>
          <cell r="D145" t="str">
            <v>Net</v>
          </cell>
          <cell r="E145">
            <v>1.25</v>
          </cell>
          <cell r="F145">
            <v>1800</v>
          </cell>
          <cell r="G145" t="str">
            <v>KA</v>
          </cell>
          <cell r="H145" t="str">
            <v>29ABTFS3179C1ZN</v>
          </cell>
          <cell r="I145">
            <v>29570573211</v>
          </cell>
          <cell r="J145" t="str">
            <v>ABTFS3179C</v>
          </cell>
          <cell r="M145">
            <v>6426</v>
          </cell>
        </row>
        <row r="146">
          <cell r="A146">
            <v>122030</v>
          </cell>
          <cell r="B146">
            <v>1000</v>
          </cell>
          <cell r="C146" t="str">
            <v>Sona Foods   - HRBR</v>
          </cell>
          <cell r="D146" t="str">
            <v>Net</v>
          </cell>
          <cell r="E146">
            <v>1.25</v>
          </cell>
          <cell r="F146">
            <v>2250</v>
          </cell>
          <cell r="G146" t="str">
            <v>KA</v>
          </cell>
          <cell r="H146" t="str">
            <v>29ABCFS3927R1ZD</v>
          </cell>
          <cell r="I146">
            <v>29230393851</v>
          </cell>
          <cell r="J146" t="str">
            <v>ABCFS3927R</v>
          </cell>
          <cell r="M146">
            <v>6427</v>
          </cell>
        </row>
        <row r="147">
          <cell r="A147">
            <v>122031</v>
          </cell>
          <cell r="B147">
            <v>1000</v>
          </cell>
          <cell r="C147" t="str">
            <v>Jeba Jeyam Enterprises, Kirugamakkam</v>
          </cell>
          <cell r="D147" t="str">
            <v>Gross</v>
          </cell>
          <cell r="E147">
            <v>1.25</v>
          </cell>
          <cell r="F147">
            <v>1770</v>
          </cell>
          <cell r="G147" t="str">
            <v>TN</v>
          </cell>
          <cell r="H147" t="str">
            <v>33AYBPD0768K1ZL</v>
          </cell>
          <cell r="I147">
            <v>33516429110</v>
          </cell>
          <cell r="J147" t="str">
            <v>AYBPD0768K</v>
          </cell>
          <cell r="L147" t="str">
            <v>JEBA JEYAM ENTERPRISES</v>
          </cell>
          <cell r="M147">
            <v>6428</v>
          </cell>
        </row>
        <row r="148">
          <cell r="A148">
            <v>122032</v>
          </cell>
          <cell r="B148">
            <v>1000</v>
          </cell>
          <cell r="C148" t="str">
            <v>SMAA Enterprises</v>
          </cell>
          <cell r="D148" t="str">
            <v>Net</v>
          </cell>
          <cell r="E148">
            <v>1.25</v>
          </cell>
          <cell r="F148">
            <v>3179</v>
          </cell>
          <cell r="G148" t="str">
            <v>KA</v>
          </cell>
          <cell r="H148" t="str">
            <v>29AGLPA3352N1Z4</v>
          </cell>
          <cell r="J148" t="str">
            <v>AGLPA3352N</v>
          </cell>
          <cell r="M148">
            <v>6429</v>
          </cell>
        </row>
        <row r="149">
          <cell r="A149">
            <v>122033</v>
          </cell>
          <cell r="B149">
            <v>1000</v>
          </cell>
          <cell r="C149" t="str">
            <v>Suchayee - Electronic City (2)</v>
          </cell>
          <cell r="D149" t="str">
            <v>Net</v>
          </cell>
          <cell r="E149">
            <v>1.25</v>
          </cell>
          <cell r="F149">
            <v>1617</v>
          </cell>
          <cell r="G149" t="str">
            <v>KA</v>
          </cell>
          <cell r="H149" t="str">
            <v>29BOSPP2773Q1ZN</v>
          </cell>
          <cell r="I149">
            <v>29830617882</v>
          </cell>
          <cell r="J149" t="str">
            <v>BOSPP2773Q</v>
          </cell>
          <cell r="M149">
            <v>6430</v>
          </cell>
        </row>
        <row r="150">
          <cell r="A150">
            <v>122034</v>
          </cell>
          <cell r="B150">
            <v>1000</v>
          </cell>
          <cell r="C150" t="str">
            <v>Food Plus Super Store, Jaya Nagar</v>
          </cell>
          <cell r="D150" t="str">
            <v>Net</v>
          </cell>
          <cell r="E150">
            <v>1.25</v>
          </cell>
          <cell r="F150">
            <v>1720</v>
          </cell>
          <cell r="G150" t="str">
            <v>KA</v>
          </cell>
          <cell r="H150" t="str">
            <v>29AATPF4618E1ZJ</v>
          </cell>
          <cell r="I150">
            <v>29901125105</v>
          </cell>
          <cell r="J150" t="str">
            <v>AATPF4618E</v>
          </cell>
          <cell r="L150" t="str">
            <v>FORHAD AHMED</v>
          </cell>
          <cell r="M150">
            <v>6431</v>
          </cell>
        </row>
        <row r="151">
          <cell r="A151">
            <v>122035</v>
          </cell>
          <cell r="B151">
            <v>1000</v>
          </cell>
          <cell r="C151" t="str">
            <v>Om Sai Ram Enterprises</v>
          </cell>
          <cell r="D151" t="str">
            <v>Net</v>
          </cell>
          <cell r="E151">
            <v>1.25</v>
          </cell>
          <cell r="F151">
            <v>2300</v>
          </cell>
          <cell r="G151" t="str">
            <v>KA</v>
          </cell>
          <cell r="H151" t="str">
            <v>29AAFFO1983R1ZC</v>
          </cell>
          <cell r="I151">
            <v>29951398375</v>
          </cell>
          <cell r="J151" t="str">
            <v>AAFFO1983R</v>
          </cell>
          <cell r="L151" t="str">
            <v>GAYATHRI</v>
          </cell>
          <cell r="M151">
            <v>6432</v>
          </cell>
        </row>
        <row r="152">
          <cell r="A152">
            <v>122036</v>
          </cell>
          <cell r="B152">
            <v>1000</v>
          </cell>
          <cell r="C152" t="str">
            <v>Chanakya Sons &amp; Enterprises</v>
          </cell>
          <cell r="D152" t="str">
            <v>Net</v>
          </cell>
          <cell r="E152">
            <v>1.25</v>
          </cell>
          <cell r="F152">
            <v>581</v>
          </cell>
          <cell r="G152" t="str">
            <v>KA</v>
          </cell>
          <cell r="H152" t="str">
            <v>29AHOPL5824A1ZA</v>
          </cell>
          <cell r="I152">
            <v>29581388345</v>
          </cell>
          <cell r="J152" t="str">
            <v>AHOPL5824A</v>
          </cell>
          <cell r="L152" t="str">
            <v>VALLURI LALITA</v>
          </cell>
          <cell r="M152">
            <v>6433</v>
          </cell>
        </row>
        <row r="153">
          <cell r="A153">
            <v>122037</v>
          </cell>
          <cell r="B153">
            <v>1000</v>
          </cell>
          <cell r="C153" t="str">
            <v>Sri Sai Agencies</v>
          </cell>
          <cell r="D153" t="str">
            <v>Gross</v>
          </cell>
          <cell r="E153">
            <v>1.25</v>
          </cell>
          <cell r="F153">
            <v>2300</v>
          </cell>
          <cell r="G153" t="str">
            <v>TN</v>
          </cell>
          <cell r="H153" t="str">
            <v>33AIEPV4993P1ZB</v>
          </cell>
          <cell r="I153">
            <v>33746453919</v>
          </cell>
          <cell r="J153" t="str">
            <v>AIEPV4993P</v>
          </cell>
          <cell r="L153" t="str">
            <v>JAYAKRISHNA VIDYA</v>
          </cell>
          <cell r="M153">
            <v>6434</v>
          </cell>
        </row>
        <row r="154">
          <cell r="A154">
            <v>122038</v>
          </cell>
          <cell r="B154">
            <v>1000</v>
          </cell>
          <cell r="C154" t="str">
            <v>Rathna Traders</v>
          </cell>
          <cell r="D154" t="str">
            <v>Net</v>
          </cell>
          <cell r="E154">
            <v>1.25</v>
          </cell>
          <cell r="F154">
            <v>1617</v>
          </cell>
          <cell r="G154" t="str">
            <v>KA</v>
          </cell>
          <cell r="H154" t="str">
            <v>29AHQPN6108D1Z5</v>
          </cell>
          <cell r="I154">
            <v>29151412686</v>
          </cell>
          <cell r="J154" t="str">
            <v>AHQPN6108D</v>
          </cell>
          <cell r="L154" t="str">
            <v>NISHAN EMMANUEL J</v>
          </cell>
          <cell r="M154">
            <v>6435</v>
          </cell>
        </row>
        <row r="155">
          <cell r="A155">
            <v>122039</v>
          </cell>
          <cell r="B155">
            <v>1000</v>
          </cell>
          <cell r="C155" t="str">
            <v>Magizhchiea Magizhchi Private(MMDA)</v>
          </cell>
          <cell r="D155" t="str">
            <v>Gross</v>
          </cell>
          <cell r="E155">
            <v>1.25</v>
          </cell>
          <cell r="F155">
            <v>1900</v>
          </cell>
          <cell r="G155" t="str">
            <v>TN</v>
          </cell>
          <cell r="H155" t="str">
            <v>33AAKCM5799H1ZX</v>
          </cell>
          <cell r="I155">
            <v>33646446363</v>
          </cell>
          <cell r="J155" t="str">
            <v>AAKCM5799H</v>
          </cell>
          <cell r="L155" t="str">
            <v>MAGIZHCHIEA MAGIZHCHI PRIVATE LIMITED</v>
          </cell>
          <cell r="M155">
            <v>6436</v>
          </cell>
        </row>
        <row r="156">
          <cell r="A156">
            <v>122040</v>
          </cell>
          <cell r="B156">
            <v>1000</v>
          </cell>
          <cell r="C156" t="str">
            <v>Magizhchiea Magizhchi ( KK Nagar)</v>
          </cell>
          <cell r="D156" t="str">
            <v>Gross</v>
          </cell>
          <cell r="E156">
            <v>1.25</v>
          </cell>
          <cell r="F156">
            <v>2046</v>
          </cell>
          <cell r="G156" t="str">
            <v>TN</v>
          </cell>
          <cell r="H156" t="str">
            <v>33AAKCM5799H1ZX</v>
          </cell>
          <cell r="I156">
            <v>33646446363</v>
          </cell>
          <cell r="J156" t="str">
            <v>AAKCM5799H</v>
          </cell>
          <cell r="L156" t="str">
            <v>MAGIZHCHIEA MAGIZHCHI PRIVATE LIMITED</v>
          </cell>
          <cell r="M156">
            <v>6437</v>
          </cell>
        </row>
        <row r="157">
          <cell r="A157">
            <v>122470</v>
          </cell>
          <cell r="B157">
            <v>1000</v>
          </cell>
          <cell r="C157" t="str">
            <v>SNV Holding LLB</v>
          </cell>
          <cell r="D157" t="str">
            <v>Net</v>
          </cell>
          <cell r="E157">
            <v>1</v>
          </cell>
          <cell r="F157">
            <v>1200</v>
          </cell>
          <cell r="G157" t="str">
            <v>TN</v>
          </cell>
          <cell r="H157" t="str">
            <v>33ADDFS8253R1ZE</v>
          </cell>
          <cell r="J157" t="str">
            <v>ADDFS8253R</v>
          </cell>
          <cell r="M157">
            <v>6438</v>
          </cell>
        </row>
        <row r="158">
          <cell r="A158">
            <v>122041</v>
          </cell>
          <cell r="B158">
            <v>1000</v>
          </cell>
          <cell r="C158" t="str">
            <v>Welcare Mart</v>
          </cell>
          <cell r="D158" t="str">
            <v>Gross</v>
          </cell>
          <cell r="E158">
            <v>1.25</v>
          </cell>
          <cell r="F158">
            <v>1353</v>
          </cell>
          <cell r="G158" t="str">
            <v>TN</v>
          </cell>
          <cell r="H158" t="str">
            <v>33AJBPJ2540C1Z0</v>
          </cell>
          <cell r="I158">
            <v>33676448203</v>
          </cell>
          <cell r="J158" t="str">
            <v>AJBPJ2540C</v>
          </cell>
          <cell r="L158" t="str">
            <v>ARUNACHALAM JAYALAKSHMI</v>
          </cell>
          <cell r="M158">
            <v>6439</v>
          </cell>
        </row>
        <row r="159">
          <cell r="A159">
            <v>122042</v>
          </cell>
          <cell r="B159">
            <v>1000</v>
          </cell>
          <cell r="C159" t="str">
            <v>Kaavya Home (Cantonment)trichy</v>
          </cell>
          <cell r="D159" t="str">
            <v>Gross</v>
          </cell>
          <cell r="E159">
            <v>1.25</v>
          </cell>
          <cell r="F159">
            <v>850</v>
          </cell>
          <cell r="G159" t="str">
            <v>TN</v>
          </cell>
          <cell r="H159" t="str">
            <v>33AAMFK2373G1ZD</v>
          </cell>
          <cell r="I159">
            <v>33211369034</v>
          </cell>
          <cell r="J159" t="str">
            <v>AAMFK2373G</v>
          </cell>
          <cell r="L159" t="str">
            <v>KAAVYA HOME NEEDS</v>
          </cell>
          <cell r="M159">
            <v>6440</v>
          </cell>
        </row>
        <row r="160">
          <cell r="A160">
            <v>122043</v>
          </cell>
          <cell r="B160">
            <v>1000</v>
          </cell>
          <cell r="C160" t="str">
            <v>Shree enterprises - MKB Nagar</v>
          </cell>
          <cell r="D160" t="str">
            <v>Gross</v>
          </cell>
          <cell r="E160">
            <v>1.25</v>
          </cell>
          <cell r="F160">
            <v>1623</v>
          </cell>
          <cell r="G160" t="str">
            <v>TN</v>
          </cell>
          <cell r="H160" t="str">
            <v>33BHBPS6140N1Z4</v>
          </cell>
          <cell r="I160">
            <v>33986291021</v>
          </cell>
          <cell r="J160" t="str">
            <v>BHBPS6140N</v>
          </cell>
          <cell r="L160" t="str">
            <v>SWAROOPCHANDJAIN SURESHJAIN</v>
          </cell>
          <cell r="M160">
            <v>6441</v>
          </cell>
        </row>
        <row r="161">
          <cell r="A161">
            <v>122044</v>
          </cell>
          <cell r="B161">
            <v>1000</v>
          </cell>
          <cell r="C161" t="str">
            <v>SSR Associate, Karaikal</v>
          </cell>
          <cell r="D161" t="str">
            <v>Gross</v>
          </cell>
          <cell r="E161">
            <v>1.25</v>
          </cell>
          <cell r="F161">
            <v>1400</v>
          </cell>
          <cell r="G161" t="str">
            <v>TN</v>
          </cell>
          <cell r="H161" t="str">
            <v>34ADIFS1554L1ZT</v>
          </cell>
          <cell r="I161">
            <v>34410025506</v>
          </cell>
          <cell r="J161" t="str">
            <v>ADIFS1554L</v>
          </cell>
          <cell r="M161">
            <v>6442</v>
          </cell>
        </row>
        <row r="162">
          <cell r="A162">
            <v>122045</v>
          </cell>
          <cell r="B162">
            <v>1000</v>
          </cell>
          <cell r="C162" t="str">
            <v>Sri Murugan Agency</v>
          </cell>
          <cell r="D162" t="str">
            <v>Gross</v>
          </cell>
          <cell r="E162">
            <v>1.25</v>
          </cell>
          <cell r="F162">
            <v>1569</v>
          </cell>
          <cell r="G162" t="str">
            <v>TN</v>
          </cell>
          <cell r="H162" t="str">
            <v>33ATZPS5555J1ZR</v>
          </cell>
          <cell r="I162">
            <v>33281366328</v>
          </cell>
          <cell r="J162" t="str">
            <v>ATZPS5555J</v>
          </cell>
          <cell r="L162" t="str">
            <v>SUNDARAM VENKATESAN</v>
          </cell>
          <cell r="M162">
            <v>6443</v>
          </cell>
        </row>
        <row r="163">
          <cell r="A163">
            <v>119682</v>
          </cell>
          <cell r="B163">
            <v>1000</v>
          </cell>
          <cell r="C163" t="str">
            <v>Siri Enterprise</v>
          </cell>
          <cell r="D163" t="str">
            <v>Net</v>
          </cell>
          <cell r="E163">
            <v>1.25</v>
          </cell>
          <cell r="F163">
            <v>1800</v>
          </cell>
          <cell r="G163" t="str">
            <v>KA</v>
          </cell>
          <cell r="M163">
            <v>6444</v>
          </cell>
        </row>
        <row r="164">
          <cell r="A164">
            <v>122046</v>
          </cell>
          <cell r="B164">
            <v>1000</v>
          </cell>
          <cell r="C164" t="str">
            <v>Graced Retails</v>
          </cell>
          <cell r="D164" t="str">
            <v>Gross</v>
          </cell>
          <cell r="E164">
            <v>1.25</v>
          </cell>
          <cell r="F164">
            <v>1950</v>
          </cell>
          <cell r="G164" t="str">
            <v>TN</v>
          </cell>
          <cell r="H164" t="str">
            <v>33AAAPE6556F1Z3</v>
          </cell>
          <cell r="I164">
            <v>33586486527</v>
          </cell>
          <cell r="J164" t="str">
            <v>AAAPE6556F</v>
          </cell>
          <cell r="L164" t="str">
            <v>CHINNADURAI THIRUPATHI</v>
          </cell>
          <cell r="M164">
            <v>6445</v>
          </cell>
        </row>
        <row r="165">
          <cell r="A165">
            <v>122047</v>
          </cell>
          <cell r="B165">
            <v>1000</v>
          </cell>
          <cell r="C165" t="str">
            <v>Graced Retails II</v>
          </cell>
          <cell r="D165" t="str">
            <v>Gross</v>
          </cell>
          <cell r="E165">
            <v>1.25</v>
          </cell>
          <cell r="F165">
            <v>1900</v>
          </cell>
          <cell r="G165" t="str">
            <v>TN</v>
          </cell>
          <cell r="H165" t="str">
            <v>33AAAPE6556F1Z3</v>
          </cell>
          <cell r="I165">
            <v>33586486527</v>
          </cell>
          <cell r="J165" t="str">
            <v>AAAPE6556F</v>
          </cell>
          <cell r="L165" t="str">
            <v>CHINNADURAI THIRUPATHI</v>
          </cell>
          <cell r="M165">
            <v>6447</v>
          </cell>
        </row>
        <row r="166">
          <cell r="A166">
            <v>119753</v>
          </cell>
          <cell r="B166">
            <v>1000</v>
          </cell>
          <cell r="C166" t="str">
            <v>Gowtham Enterprises</v>
          </cell>
          <cell r="D166" t="str">
            <v>Gross</v>
          </cell>
          <cell r="E166">
            <v>1.25</v>
          </cell>
          <cell r="F166">
            <v>980</v>
          </cell>
          <cell r="G166" t="str">
            <v>TN</v>
          </cell>
          <cell r="H166" t="str">
            <v>33AABPJ7920M1ZO</v>
          </cell>
          <cell r="J166" t="str">
            <v>AABPJ7920M</v>
          </cell>
          <cell r="M166">
            <v>6448</v>
          </cell>
        </row>
        <row r="167">
          <cell r="A167">
            <v>122955</v>
          </cell>
          <cell r="B167">
            <v>1000</v>
          </cell>
          <cell r="C167" t="str">
            <v>Sri Venkateswara Retail</v>
          </cell>
          <cell r="D167" t="str">
            <v>Gross</v>
          </cell>
          <cell r="E167">
            <v>1.25</v>
          </cell>
          <cell r="F167">
            <v>3500</v>
          </cell>
          <cell r="G167" t="str">
            <v>TN</v>
          </cell>
          <cell r="H167" t="str">
            <v>33AJFPV8626B1Z7</v>
          </cell>
          <cell r="J167" t="str">
            <v>AJFPV8626B</v>
          </cell>
          <cell r="M167">
            <v>6449</v>
          </cell>
        </row>
        <row r="168">
          <cell r="A168">
            <v>123727</v>
          </cell>
          <cell r="B168">
            <v>1000</v>
          </cell>
          <cell r="C168" t="str">
            <v>JJ Agencies</v>
          </cell>
          <cell r="D168" t="str">
            <v>Gross</v>
          </cell>
          <cell r="E168">
            <v>1.25</v>
          </cell>
          <cell r="F168">
            <v>1791</v>
          </cell>
          <cell r="G168" t="str">
            <v>TN</v>
          </cell>
        </row>
        <row r="169">
          <cell r="A169">
            <v>300540</v>
          </cell>
          <cell r="B169">
            <v>1000</v>
          </cell>
          <cell r="C169" t="str">
            <v>FRL-SF-Sahakar Nagar</v>
          </cell>
          <cell r="D169" t="str">
            <v>Net</v>
          </cell>
          <cell r="E169">
            <v>1</v>
          </cell>
          <cell r="F169">
            <v>1760</v>
          </cell>
          <cell r="G169" t="str">
            <v>KA</v>
          </cell>
          <cell r="H169" t="str">
            <v>29AADCB1093N1ZC</v>
          </cell>
          <cell r="I169">
            <v>29380587817</v>
          </cell>
          <cell r="J169" t="str">
            <v>AADCB1093N</v>
          </cell>
          <cell r="L169" t="str">
            <v>BHARTI RETAIL LIMITED</v>
          </cell>
          <cell r="M169">
            <v>7002</v>
          </cell>
        </row>
        <row r="170">
          <cell r="A170">
            <v>300556</v>
          </cell>
          <cell r="B170">
            <v>1000</v>
          </cell>
          <cell r="C170" t="str">
            <v>FRL-SF-Anandnagar</v>
          </cell>
          <cell r="D170" t="str">
            <v>Net</v>
          </cell>
          <cell r="E170">
            <v>1</v>
          </cell>
          <cell r="F170">
            <v>1800</v>
          </cell>
          <cell r="G170" t="str">
            <v>KA</v>
          </cell>
          <cell r="H170" t="str">
            <v>29AADCB1093N1ZC</v>
          </cell>
          <cell r="I170">
            <v>29380587817</v>
          </cell>
          <cell r="J170" t="str">
            <v>AADCB1093N</v>
          </cell>
          <cell r="L170" t="str">
            <v>BHARTI RETAIL LIMITED</v>
          </cell>
          <cell r="M170">
            <v>7003</v>
          </cell>
        </row>
        <row r="171">
          <cell r="A171">
            <v>300519</v>
          </cell>
          <cell r="B171">
            <v>1000</v>
          </cell>
          <cell r="C171" t="str">
            <v>FRL-SF-RR Nagar</v>
          </cell>
          <cell r="D171" t="str">
            <v>Net</v>
          </cell>
          <cell r="E171">
            <v>1</v>
          </cell>
          <cell r="F171">
            <v>1750</v>
          </cell>
          <cell r="G171" t="str">
            <v>KA</v>
          </cell>
          <cell r="H171" t="str">
            <v>29AADCB1093N1ZC</v>
          </cell>
          <cell r="I171">
            <v>29380587817</v>
          </cell>
          <cell r="J171" t="str">
            <v>AADCB1093N</v>
          </cell>
          <cell r="L171" t="str">
            <v>BHARTI RETAIL LIMITED</v>
          </cell>
          <cell r="M171">
            <v>7004</v>
          </cell>
        </row>
        <row r="172">
          <cell r="A172">
            <v>300509</v>
          </cell>
          <cell r="B172">
            <v>1000</v>
          </cell>
          <cell r="C172" t="str">
            <v>FRL-SF-MEI Layout</v>
          </cell>
          <cell r="D172" t="str">
            <v>Net</v>
          </cell>
          <cell r="E172">
            <v>1</v>
          </cell>
          <cell r="F172">
            <v>1300</v>
          </cell>
          <cell r="G172" t="str">
            <v>KA</v>
          </cell>
          <cell r="H172" t="str">
            <v>29AADCB1093N1ZC</v>
          </cell>
          <cell r="I172">
            <v>29380587817</v>
          </cell>
          <cell r="J172" t="str">
            <v>AADCB1093N</v>
          </cell>
          <cell r="L172" t="str">
            <v>BHARTI RETAIL LIMITED</v>
          </cell>
          <cell r="M172">
            <v>7005</v>
          </cell>
        </row>
        <row r="173">
          <cell r="A173">
            <v>300603</v>
          </cell>
          <cell r="B173">
            <v>1000</v>
          </cell>
          <cell r="C173" t="str">
            <v>FRL-SF-Magadi Road</v>
          </cell>
          <cell r="D173" t="str">
            <v>Net</v>
          </cell>
          <cell r="E173">
            <v>1</v>
          </cell>
          <cell r="F173">
            <v>1741</v>
          </cell>
          <cell r="G173" t="str">
            <v>KA</v>
          </cell>
          <cell r="H173" t="str">
            <v>29AADCB1093N1ZC</v>
          </cell>
          <cell r="I173">
            <v>29380587817</v>
          </cell>
          <cell r="J173" t="str">
            <v>AADCB1093N</v>
          </cell>
          <cell r="L173" t="str">
            <v>BHARTI RETAIL LIMITED</v>
          </cell>
          <cell r="M173">
            <v>7006</v>
          </cell>
        </row>
        <row r="174">
          <cell r="A174">
            <v>300595</v>
          </cell>
          <cell r="B174">
            <v>1000</v>
          </cell>
          <cell r="C174" t="str">
            <v>FRL-SF-Nagar Bhavi - 2</v>
          </cell>
          <cell r="D174" t="str">
            <v>Net</v>
          </cell>
          <cell r="E174">
            <v>1</v>
          </cell>
          <cell r="F174">
            <v>2400</v>
          </cell>
          <cell r="G174" t="str">
            <v>KA</v>
          </cell>
          <cell r="H174" t="str">
            <v>29AADCB1093N1ZC</v>
          </cell>
          <cell r="I174">
            <v>29380587817</v>
          </cell>
          <cell r="J174" t="str">
            <v>AADCB1093N</v>
          </cell>
          <cell r="L174" t="str">
            <v>BHARTI RETAIL LIMITED</v>
          </cell>
          <cell r="M174">
            <v>7007</v>
          </cell>
        </row>
        <row r="175">
          <cell r="A175">
            <v>300552</v>
          </cell>
          <cell r="B175">
            <v>1000</v>
          </cell>
          <cell r="C175" t="str">
            <v>FRL-SF-HBR Layout</v>
          </cell>
          <cell r="D175" t="str">
            <v>Net</v>
          </cell>
          <cell r="E175">
            <v>1</v>
          </cell>
          <cell r="F175">
            <v>1875</v>
          </cell>
          <cell r="G175" t="str">
            <v>KA</v>
          </cell>
          <cell r="H175" t="str">
            <v>29AADCB1093N1ZC</v>
          </cell>
          <cell r="I175">
            <v>29380587817</v>
          </cell>
          <cell r="J175" t="str">
            <v>AADCB1093N</v>
          </cell>
          <cell r="L175" t="str">
            <v>BHARTI RETAIL LIMITED</v>
          </cell>
          <cell r="M175">
            <v>7008</v>
          </cell>
        </row>
        <row r="176">
          <cell r="A176">
            <v>300549</v>
          </cell>
          <cell r="B176">
            <v>1000</v>
          </cell>
          <cell r="C176" t="str">
            <v>FRL-SF-Hanumagiri</v>
          </cell>
          <cell r="D176" t="str">
            <v>Net</v>
          </cell>
          <cell r="E176">
            <v>1</v>
          </cell>
          <cell r="F176">
            <v>1100</v>
          </cell>
          <cell r="G176" t="str">
            <v>KA</v>
          </cell>
          <cell r="H176" t="str">
            <v>29AADCB1093N1ZC</v>
          </cell>
          <cell r="I176">
            <v>29380587817</v>
          </cell>
          <cell r="J176" t="str">
            <v>AADCB1093N</v>
          </cell>
          <cell r="L176" t="str">
            <v>BHARTI RETAIL LIMITED</v>
          </cell>
          <cell r="M176">
            <v>7009</v>
          </cell>
        </row>
        <row r="177">
          <cell r="A177">
            <v>300594</v>
          </cell>
          <cell r="B177">
            <v>1000</v>
          </cell>
          <cell r="C177" t="str">
            <v>FRL-SF-RPC Layout</v>
          </cell>
          <cell r="D177" t="str">
            <v>Net</v>
          </cell>
          <cell r="E177">
            <v>1</v>
          </cell>
          <cell r="F177">
            <v>1200</v>
          </cell>
          <cell r="G177" t="str">
            <v>KA</v>
          </cell>
          <cell r="H177" t="str">
            <v>29AADCB1093N1ZC</v>
          </cell>
          <cell r="I177">
            <v>29380587817</v>
          </cell>
          <cell r="J177" t="str">
            <v>AADCB1093N</v>
          </cell>
          <cell r="L177" t="str">
            <v>BHARTI RETAIL LIMITED</v>
          </cell>
          <cell r="M177">
            <v>7011</v>
          </cell>
        </row>
        <row r="178">
          <cell r="A178">
            <v>300599</v>
          </cell>
          <cell r="B178">
            <v>1000</v>
          </cell>
          <cell r="C178" t="str">
            <v>FRL-SF-Anjanapura</v>
          </cell>
          <cell r="D178" t="str">
            <v>Net</v>
          </cell>
          <cell r="E178">
            <v>1</v>
          </cell>
          <cell r="F178">
            <v>2007</v>
          </cell>
          <cell r="G178" t="str">
            <v>KA</v>
          </cell>
          <cell r="H178" t="str">
            <v>29AADCB1093N1ZC</v>
          </cell>
          <cell r="I178">
            <v>29380587817</v>
          </cell>
          <cell r="J178" t="str">
            <v>AADCB1093N</v>
          </cell>
          <cell r="L178" t="str">
            <v>BHARTI RETAIL LIMITED</v>
          </cell>
          <cell r="M178">
            <v>7012</v>
          </cell>
        </row>
        <row r="179">
          <cell r="A179">
            <v>300607</v>
          </cell>
          <cell r="B179">
            <v>1000</v>
          </cell>
          <cell r="C179" t="str">
            <v>FRL-SF-Kumarswamy Layout</v>
          </cell>
          <cell r="D179" t="str">
            <v>Net</v>
          </cell>
          <cell r="E179">
            <v>1</v>
          </cell>
          <cell r="F179">
            <v>1325</v>
          </cell>
          <cell r="G179" t="str">
            <v>KA</v>
          </cell>
          <cell r="H179" t="str">
            <v>29AADCB1093N1ZC</v>
          </cell>
          <cell r="I179">
            <v>29380587817</v>
          </cell>
          <cell r="J179" t="str">
            <v>AADCB1093N</v>
          </cell>
          <cell r="L179" t="str">
            <v>BHARTI RETAIL LIMITED</v>
          </cell>
          <cell r="M179">
            <v>7013</v>
          </cell>
        </row>
        <row r="180">
          <cell r="A180">
            <v>300804</v>
          </cell>
          <cell r="B180">
            <v>1000</v>
          </cell>
          <cell r="C180" t="str">
            <v>FRL-SF-Kumarswamy Golden Enclave</v>
          </cell>
          <cell r="D180" t="str">
            <v>Net</v>
          </cell>
          <cell r="E180">
            <v>1</v>
          </cell>
          <cell r="F180">
            <v>1325</v>
          </cell>
          <cell r="G180" t="str">
            <v>KA</v>
          </cell>
          <cell r="H180" t="str">
            <v>29AADCB1093N1ZC</v>
          </cell>
          <cell r="I180">
            <v>29380587817</v>
          </cell>
          <cell r="J180" t="str">
            <v>AADCB1093N</v>
          </cell>
          <cell r="L180" t="str">
            <v>BHARTI RETAIL LIMITED</v>
          </cell>
          <cell r="M180">
            <v>7014</v>
          </cell>
        </row>
        <row r="181">
          <cell r="A181">
            <v>121044</v>
          </cell>
          <cell r="B181">
            <v>1000</v>
          </cell>
          <cell r="C181" t="str">
            <v>LJRL GE-Old Airport</v>
          </cell>
          <cell r="D181" t="str">
            <v>Gross</v>
          </cell>
          <cell r="E181">
            <v>1</v>
          </cell>
          <cell r="F181">
            <v>2650</v>
          </cell>
          <cell r="G181" t="str">
            <v>KA</v>
          </cell>
          <cell r="H181" t="str">
            <v>29AACCL0661M1Z9</v>
          </cell>
          <cell r="I181">
            <v>29431318345</v>
          </cell>
          <cell r="J181" t="str">
            <v>AACCL0661M</v>
          </cell>
          <cell r="L181" t="str">
            <v>LORD JAGANNATH RETAILS PRIVATE LIMITED</v>
          </cell>
          <cell r="M181">
            <v>7501</v>
          </cell>
        </row>
        <row r="182">
          <cell r="A182">
            <v>122549</v>
          </cell>
          <cell r="B182">
            <v>1000</v>
          </cell>
          <cell r="C182" t="str">
            <v>Food Plus super store cubala</v>
          </cell>
          <cell r="D182" t="str">
            <v>Net</v>
          </cell>
          <cell r="E182">
            <v>1.25</v>
          </cell>
          <cell r="F182">
            <v>0</v>
          </cell>
          <cell r="G182" t="str">
            <v>KA</v>
          </cell>
        </row>
        <row r="183">
          <cell r="A183">
            <v>122956</v>
          </cell>
          <cell r="B183">
            <v>1000</v>
          </cell>
          <cell r="C183" t="str">
            <v>Sun enterprises, Malleswaram</v>
          </cell>
          <cell r="D183" t="str">
            <v>Net</v>
          </cell>
          <cell r="E183">
            <v>1.25</v>
          </cell>
          <cell r="F183">
            <v>2400</v>
          </cell>
          <cell r="G183" t="str">
            <v>KA</v>
          </cell>
        </row>
        <row r="184">
          <cell r="A184">
            <v>123474</v>
          </cell>
          <cell r="B184">
            <v>1000</v>
          </cell>
          <cell r="C184" t="str">
            <v>QRS Retails</v>
          </cell>
          <cell r="D184" t="str">
            <v>Net</v>
          </cell>
          <cell r="E184">
            <v>1.25</v>
          </cell>
          <cell r="F184">
            <v>4500</v>
          </cell>
          <cell r="G184" t="str">
            <v>KE</v>
          </cell>
        </row>
        <row r="185">
          <cell r="A185">
            <v>123475</v>
          </cell>
          <cell r="B185">
            <v>1000</v>
          </cell>
          <cell r="C185" t="str">
            <v>Home Made Supermarket</v>
          </cell>
          <cell r="D185" t="str">
            <v>Net</v>
          </cell>
          <cell r="E185">
            <v>1.25</v>
          </cell>
          <cell r="F185">
            <v>1764</v>
          </cell>
          <cell r="G185" t="str">
            <v>KE</v>
          </cell>
        </row>
        <row r="186">
          <cell r="A186">
            <v>123724</v>
          </cell>
          <cell r="B186">
            <v>1000</v>
          </cell>
          <cell r="C186" t="str">
            <v>Fresh Mart, sulurpet</v>
          </cell>
          <cell r="D186" t="str">
            <v>Gross</v>
          </cell>
          <cell r="E186">
            <v>1.25</v>
          </cell>
          <cell r="F186">
            <v>1500</v>
          </cell>
          <cell r="G186" t="str">
            <v>AP</v>
          </cell>
        </row>
        <row r="187">
          <cell r="A187">
            <v>123725</v>
          </cell>
          <cell r="B187">
            <v>1000</v>
          </cell>
          <cell r="C187" t="str">
            <v>Canary Eranakulam</v>
          </cell>
          <cell r="D187" t="str">
            <v>Net</v>
          </cell>
          <cell r="E187">
            <v>1.25</v>
          </cell>
          <cell r="F187">
            <v>0</v>
          </cell>
          <cell r="G187" t="str">
            <v>KE</v>
          </cell>
        </row>
        <row r="188">
          <cell r="A188">
            <v>123728</v>
          </cell>
          <cell r="B188">
            <v>1000</v>
          </cell>
          <cell r="C188" t="str">
            <v>SK Supermart</v>
          </cell>
          <cell r="D188" t="str">
            <v>Gross</v>
          </cell>
          <cell r="E188">
            <v>1.25</v>
          </cell>
          <cell r="F188">
            <v>1370</v>
          </cell>
          <cell r="G188" t="str">
            <v>TN</v>
          </cell>
        </row>
        <row r="189">
          <cell r="A189">
            <v>124556</v>
          </cell>
          <cell r="B189">
            <v>1000</v>
          </cell>
          <cell r="C189" t="str">
            <v>Staple Store Iyyambakkam</v>
          </cell>
          <cell r="D189" t="str">
            <v>Gross</v>
          </cell>
          <cell r="E189">
            <v>1.25</v>
          </cell>
          <cell r="F189">
            <v>1450</v>
          </cell>
          <cell r="G189" t="str">
            <v>TN</v>
          </cell>
        </row>
        <row r="190">
          <cell r="A190">
            <v>123729</v>
          </cell>
          <cell r="B190">
            <v>1000</v>
          </cell>
          <cell r="C190" t="str">
            <v>Apsara Provision, Trichy IV</v>
          </cell>
          <cell r="D190" t="str">
            <v>Gross</v>
          </cell>
          <cell r="E190">
            <v>1.25</v>
          </cell>
          <cell r="F190">
            <v>1680</v>
          </cell>
          <cell r="G190" t="str">
            <v>TN</v>
          </cell>
        </row>
        <row r="191">
          <cell r="A191">
            <v>125589</v>
          </cell>
          <cell r="B191">
            <v>1000</v>
          </cell>
          <cell r="C191" t="str">
            <v>Prisha Enterprises,Virgumbakkam</v>
          </cell>
          <cell r="D191" t="str">
            <v>Gross</v>
          </cell>
          <cell r="E191">
            <v>1.25</v>
          </cell>
          <cell r="G191" t="str">
            <v>TN</v>
          </cell>
        </row>
        <row r="192">
          <cell r="A192">
            <v>125198</v>
          </cell>
          <cell r="B192">
            <v>1000</v>
          </cell>
          <cell r="C192" t="str">
            <v>Bhamris Enterprises, Madhavaram</v>
          </cell>
          <cell r="D192" t="str">
            <v>Gross</v>
          </cell>
          <cell r="E192">
            <v>1.25</v>
          </cell>
          <cell r="F192">
            <v>1900</v>
          </cell>
          <cell r="G192" t="str">
            <v>TN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COP_P&amp;L"/>
      <sheetName val="C3_Make DC Cost"/>
      <sheetName val="C2_City_MC wise volume"/>
      <sheetName val="Assortment"/>
      <sheetName val="A3_Outward freight"/>
      <sheetName val="A4_Make to Supply DC"/>
      <sheetName val="A5_Admin _ Misc Expense_details"/>
      <sheetName val="A4_Manpower cost"/>
      <sheetName val="A1_Bulk_ Sales"/>
      <sheetName val="A1_Export_Sales"/>
      <sheetName val="C2_City_MC wise Sales"/>
      <sheetName val="A1_MC wise Sales Mix"/>
      <sheetName val="Sheet4"/>
      <sheetName val="Salesman_Target"/>
      <sheetName val="Sheet1"/>
      <sheetName val="A3_Salesman_Efficiency"/>
      <sheetName val="Sheet2"/>
      <sheetName val="City wise store and coverage"/>
      <sheetName val="A2_Mumbai_distribution"/>
      <sheetName val="A2_ROM_distribution "/>
      <sheetName val="A2_M.P_distribution"/>
      <sheetName val="Sheet3"/>
    </sheetNames>
    <sheetDataSet>
      <sheetData sheetId="0">
        <row r="2">
          <cell r="C2">
            <v>0.05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 Summary"/>
      <sheetName val="P&amp;L Combined"/>
      <sheetName val="Combined Fund Requirement"/>
      <sheetName val="HO---&gt;"/>
      <sheetName val="A-1 HO Manpower"/>
      <sheetName val="A-2 HO Marketing"/>
      <sheetName val="A-3 HO Capex DC"/>
      <sheetName val="A-4 HO Capex Make Unit"/>
      <sheetName val="A-5 HO Opex"/>
      <sheetName val="A-6 HO Working Capital"/>
      <sheetName val="GT---&gt;"/>
      <sheetName val="P&amp;L GT"/>
      <sheetName val="Guidelines GT"/>
      <sheetName val="A-1 GT"/>
      <sheetName val="A-2 GT"/>
      <sheetName val="C-3 GT"/>
      <sheetName val="C-4 GT"/>
      <sheetName val="O-5 GT"/>
      <sheetName val="A-6 GT"/>
      <sheetName val="GT_Current"/>
      <sheetName val="Guidelines"/>
      <sheetName val="A-1 GT_Current"/>
      <sheetName val="A-2 GT_Current"/>
      <sheetName val="C-2 GT_Current"/>
      <sheetName val="Franchisee---&gt;"/>
      <sheetName val="P&amp;L F"/>
      <sheetName val="Guidelines F"/>
      <sheetName val="A-1 F"/>
      <sheetName val="A-2 F"/>
      <sheetName val="C-3 F"/>
      <sheetName val="C-4 F"/>
      <sheetName val="C-5 F"/>
      <sheetName val="C-6 F"/>
      <sheetName val="A-7 F"/>
      <sheetName val="A-8 F"/>
      <sheetName val="C-9 F"/>
      <sheetName val="O-10 F"/>
      <sheetName val="A-11 F"/>
      <sheetName val="TPT 1"/>
      <sheetName val="TPT 2"/>
      <sheetName val="TPT 3"/>
      <sheetName val="TPT 4"/>
      <sheetName val="TPT 5"/>
      <sheetName val="TPT 6"/>
      <sheetName val="TPT 7"/>
      <sheetName val="TPT 8"/>
      <sheetName val="TPT 9"/>
      <sheetName val="TPT 10"/>
      <sheetName val="TPT 11"/>
      <sheetName val="TPT 12"/>
      <sheetName val="TPT 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2">
          <cell r="G32">
            <v>0.02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_P&amp;L"/>
      <sheetName val="Employee Cost"/>
      <sheetName val="P&amp;L-New Nilgiris_GROSS"/>
      <sheetName val="Combined"/>
      <sheetName val="P&amp;L_New Nilgiris"/>
      <sheetName val="Balance sheet"/>
      <sheetName val="Cash flow"/>
      <sheetName val="GM Buildup"/>
      <sheetName val="Sales Buildup"/>
      <sheetName val="Bottomup Sales"/>
      <sheetName val="Manpower_Nilgiris"/>
      <sheetName val="Marketing Spends"/>
      <sheetName val="GT"/>
      <sheetName val="E-commerce"/>
      <sheetName val="IT Cost"/>
      <sheetName val="Potential Sales"/>
      <sheetName val="Admin Expenses"/>
    </sheetNames>
    <sheetDataSet>
      <sheetData sheetId="0">
        <row r="9">
          <cell r="H9">
            <v>0.26366027938787934</v>
          </cell>
        </row>
      </sheetData>
      <sheetData sheetId="1"/>
      <sheetData sheetId="2"/>
      <sheetData sheetId="3"/>
      <sheetData sheetId="4"/>
      <sheetData sheetId="5"/>
      <sheetData sheetId="6">
        <row r="7">
          <cell r="H7">
            <v>663.36154036662026</v>
          </cell>
        </row>
      </sheetData>
      <sheetData sheetId="7">
        <row r="54">
          <cell r="C54">
            <v>0.12008623430348239</v>
          </cell>
          <cell r="D54">
            <v>0.11721002661076245</v>
          </cell>
        </row>
        <row r="55">
          <cell r="C55">
            <v>0.3154092993470986</v>
          </cell>
          <cell r="D55">
            <v>6.4795398678346869E-2</v>
          </cell>
        </row>
        <row r="56">
          <cell r="C56">
            <v>7.1432615680883826E-2</v>
          </cell>
          <cell r="D56">
            <v>-0.21063821899551408</v>
          </cell>
        </row>
        <row r="57">
          <cell r="C57">
            <v>0.14523001321836554</v>
          </cell>
          <cell r="D57">
            <v>0.35785607190065055</v>
          </cell>
        </row>
        <row r="58">
          <cell r="C58">
            <v>7.6454862295155843E-2</v>
          </cell>
          <cell r="D58">
            <v>-9.1454621594641211E-2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 Summary"/>
      <sheetName val="P&amp;L Combined"/>
      <sheetName val="Combined Fund Requirement"/>
      <sheetName val="HO---&gt;"/>
      <sheetName val="A-1 HO Manpower"/>
      <sheetName val="A-2 HO Marketing"/>
      <sheetName val="A-3 HO Capex DC"/>
      <sheetName val="A-4 HO Capex Make Unit"/>
      <sheetName val="A-5 HO Opex"/>
      <sheetName val="A-6 HO Working Capital"/>
      <sheetName val="GT---&gt;"/>
      <sheetName val="P&amp;L GT"/>
      <sheetName val="Guidelines GT"/>
      <sheetName val="A-1 GT"/>
      <sheetName val="A-2 GT"/>
      <sheetName val="C-3 GT"/>
      <sheetName val="C-4 GT"/>
      <sheetName val="O-5 GT"/>
      <sheetName val="A-6 GT"/>
      <sheetName val="GT_Current"/>
      <sheetName val="Guidelines"/>
      <sheetName val="A-1 GT_Current"/>
      <sheetName val="A-2 GT_Current"/>
      <sheetName val="C-2 GT_Current"/>
      <sheetName val="Franchisee---&gt;"/>
      <sheetName val="P&amp;L F"/>
      <sheetName val="Guidelines F"/>
      <sheetName val="A-1 F"/>
      <sheetName val="A-2 F"/>
      <sheetName val="C-3 F"/>
      <sheetName val="C-4 F"/>
      <sheetName val="C-5 F"/>
      <sheetName val="C-6 F"/>
      <sheetName val="A-7 F"/>
      <sheetName val="A-8 F"/>
      <sheetName val="C-9 F"/>
      <sheetName val="O-10 F"/>
      <sheetName val="A-11 F"/>
      <sheetName val="TPT 1"/>
      <sheetName val="TPT 2"/>
      <sheetName val="TPT 3"/>
      <sheetName val="TPT 4"/>
      <sheetName val="TPT 5"/>
      <sheetName val="TPT 6"/>
      <sheetName val="TPT 7"/>
      <sheetName val="TPT 8"/>
      <sheetName val="TPT 9"/>
      <sheetName val="TPT 10"/>
      <sheetName val="TPT 11"/>
      <sheetName val="TPT 12"/>
      <sheetName val="TPT 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56"/>
  <sheetViews>
    <sheetView showGridLines="0" topLeftCell="A3" zoomScale="80" zoomScaleNormal="80" workbookViewId="0">
      <selection activeCell="Y4" sqref="Y4:AB4"/>
    </sheetView>
  </sheetViews>
  <sheetFormatPr defaultRowHeight="14.5" x14ac:dyDescent="0.35"/>
  <cols>
    <col min="1" max="1" width="7.7265625" bestFit="1" customWidth="1"/>
    <col min="2" max="3" width="9.453125" hidden="1" customWidth="1"/>
    <col min="4" max="11" width="8.54296875" hidden="1" customWidth="1"/>
    <col min="12" max="23" width="10" hidden="1" customWidth="1"/>
    <col min="24" max="25" width="10.54296875" bestFit="1" customWidth="1"/>
    <col min="26" max="26" width="7.1796875" bestFit="1" customWidth="1"/>
    <col min="27" max="27" width="10.54296875" bestFit="1" customWidth="1"/>
    <col min="28" max="28" width="16.7265625" bestFit="1" customWidth="1"/>
    <col min="29" max="29" width="28" bestFit="1" customWidth="1"/>
    <col min="31" max="31" width="9.81640625" bestFit="1" customWidth="1"/>
  </cols>
  <sheetData>
    <row r="1" spans="1:48" ht="18.5" x14ac:dyDescent="0.45">
      <c r="A1" s="56" t="s">
        <v>188</v>
      </c>
    </row>
    <row r="2" spans="1:48" ht="18.5" x14ac:dyDescent="0.45">
      <c r="B2" s="57"/>
      <c r="C2" s="57"/>
      <c r="D2" s="58" t="s">
        <v>189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60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</row>
    <row r="3" spans="1:48" s="65" customFormat="1" x14ac:dyDescent="0.35">
      <c r="A3" s="61" t="s">
        <v>190</v>
      </c>
      <c r="B3" s="62" t="s">
        <v>191</v>
      </c>
      <c r="C3" s="63" t="s">
        <v>192</v>
      </c>
      <c r="D3" s="62" t="s">
        <v>193</v>
      </c>
      <c r="E3" s="64" t="s">
        <v>194</v>
      </c>
      <c r="F3" s="64" t="s">
        <v>195</v>
      </c>
      <c r="G3" s="64" t="s">
        <v>196</v>
      </c>
      <c r="H3" s="64" t="s">
        <v>197</v>
      </c>
      <c r="I3" s="64" t="s">
        <v>198</v>
      </c>
      <c r="J3" s="64" t="s">
        <v>199</v>
      </c>
      <c r="K3" s="64" t="s">
        <v>200</v>
      </c>
      <c r="L3" s="64" t="s">
        <v>201</v>
      </c>
      <c r="M3" s="64" t="s">
        <v>202</v>
      </c>
      <c r="N3" s="64" t="s">
        <v>203</v>
      </c>
      <c r="O3" s="64" t="s">
        <v>204</v>
      </c>
      <c r="P3" s="64" t="s">
        <v>205</v>
      </c>
      <c r="Q3" s="64" t="s">
        <v>206</v>
      </c>
      <c r="R3" s="64" t="s">
        <v>207</v>
      </c>
      <c r="S3" s="64" t="s">
        <v>208</v>
      </c>
      <c r="T3" s="64" t="s">
        <v>209</v>
      </c>
      <c r="U3" s="64" t="s">
        <v>210</v>
      </c>
      <c r="V3" s="64" t="s">
        <v>211</v>
      </c>
      <c r="W3" s="63" t="s">
        <v>212</v>
      </c>
      <c r="Y3" s="66" t="s">
        <v>1</v>
      </c>
      <c r="Z3" s="66" t="s">
        <v>2</v>
      </c>
      <c r="AA3" s="65" t="s">
        <v>3</v>
      </c>
      <c r="AB3" s="65" t="s">
        <v>4</v>
      </c>
    </row>
    <row r="4" spans="1:48" x14ac:dyDescent="0.35">
      <c r="A4" s="67" t="s">
        <v>213</v>
      </c>
      <c r="B4" s="68">
        <v>9</v>
      </c>
      <c r="C4" s="69">
        <v>6</v>
      </c>
      <c r="D4" s="68">
        <v>0</v>
      </c>
      <c r="E4" s="70">
        <v>0</v>
      </c>
      <c r="F4" s="70">
        <v>1</v>
      </c>
      <c r="G4" s="70">
        <f>3-3</f>
        <v>0</v>
      </c>
      <c r="H4" s="70">
        <f>4-2</f>
        <v>2</v>
      </c>
      <c r="I4" s="70">
        <f>6-4</f>
        <v>2</v>
      </c>
      <c r="J4" s="70">
        <f>6-5</f>
        <v>1</v>
      </c>
      <c r="K4" s="70">
        <f>6-5</f>
        <v>1</v>
      </c>
      <c r="L4" s="70">
        <f>6-5</f>
        <v>1</v>
      </c>
      <c r="M4" s="70">
        <f>6-5</f>
        <v>1</v>
      </c>
      <c r="N4" s="70">
        <v>3</v>
      </c>
      <c r="O4" s="70">
        <v>2</v>
      </c>
      <c r="P4" s="70">
        <f>4-2</f>
        <v>2</v>
      </c>
      <c r="Q4" s="70">
        <f>5-3</f>
        <v>2</v>
      </c>
      <c r="R4" s="70">
        <v>4</v>
      </c>
      <c r="S4" s="70">
        <v>3</v>
      </c>
      <c r="T4" s="70">
        <f>5-3</f>
        <v>2</v>
      </c>
      <c r="U4" s="70">
        <v>5</v>
      </c>
      <c r="V4" s="70">
        <v>4</v>
      </c>
      <c r="W4" s="69">
        <v>3</v>
      </c>
      <c r="X4" s="57" t="s">
        <v>174</v>
      </c>
      <c r="Y4" s="57">
        <f>SUM(H4:K4)</f>
        <v>6</v>
      </c>
      <c r="Z4">
        <f>SUM(L4:O4)</f>
        <v>7</v>
      </c>
      <c r="AA4">
        <f>SUM(P4:S4)</f>
        <v>11</v>
      </c>
      <c r="AB4">
        <f>SUM(T4:W4)</f>
        <v>14</v>
      </c>
    </row>
    <row r="5" spans="1:48" x14ac:dyDescent="0.35">
      <c r="A5" s="67" t="s">
        <v>214</v>
      </c>
      <c r="B5" s="68">
        <v>4</v>
      </c>
      <c r="C5" s="69">
        <v>4</v>
      </c>
      <c r="D5" s="68">
        <v>0</v>
      </c>
      <c r="E5" s="70">
        <v>0</v>
      </c>
      <c r="F5" s="70">
        <v>0</v>
      </c>
      <c r="G5" s="70">
        <v>0</v>
      </c>
      <c r="H5" s="70">
        <v>0</v>
      </c>
      <c r="I5" s="70">
        <v>0</v>
      </c>
      <c r="J5" s="70">
        <v>0</v>
      </c>
      <c r="K5" s="70">
        <v>1</v>
      </c>
      <c r="L5" s="70">
        <v>0</v>
      </c>
      <c r="M5" s="70">
        <v>1</v>
      </c>
      <c r="N5" s="70">
        <v>0</v>
      </c>
      <c r="O5" s="70">
        <v>1</v>
      </c>
      <c r="P5" s="70">
        <v>0</v>
      </c>
      <c r="Q5" s="70">
        <v>1</v>
      </c>
      <c r="R5" s="70">
        <v>0</v>
      </c>
      <c r="S5" s="70">
        <v>1</v>
      </c>
      <c r="T5" s="70">
        <v>0</v>
      </c>
      <c r="U5" s="70">
        <v>1</v>
      </c>
      <c r="V5" s="70">
        <v>0</v>
      </c>
      <c r="W5" s="69">
        <v>0</v>
      </c>
      <c r="X5" s="57" t="s">
        <v>178</v>
      </c>
      <c r="Y5" s="57">
        <f t="shared" ref="Y5:Y17" si="0">SUM(H5:K5)</f>
        <v>1</v>
      </c>
      <c r="Z5">
        <f t="shared" ref="Z5:Z17" si="1">SUM(L5:O5)</f>
        <v>2</v>
      </c>
      <c r="AA5">
        <f t="shared" ref="AA5:AA17" si="2">SUM(P5:S5)</f>
        <v>2</v>
      </c>
      <c r="AB5">
        <f t="shared" ref="AB5:AB17" si="3">SUM(T5:W5)</f>
        <v>1</v>
      </c>
    </row>
    <row r="6" spans="1:48" x14ac:dyDescent="0.35">
      <c r="A6" s="67" t="s">
        <v>215</v>
      </c>
      <c r="B6" s="68">
        <v>55</v>
      </c>
      <c r="C6" s="69">
        <v>55</v>
      </c>
      <c r="D6" s="68">
        <v>0</v>
      </c>
      <c r="E6" s="70">
        <v>1</v>
      </c>
      <c r="F6" s="70">
        <v>2</v>
      </c>
      <c r="G6" s="70">
        <f>2-2</f>
        <v>0</v>
      </c>
      <c r="H6" s="70">
        <f>3-2</f>
        <v>1</v>
      </c>
      <c r="I6" s="70">
        <f>4-3</f>
        <v>1</v>
      </c>
      <c r="J6" s="70">
        <f>4-3</f>
        <v>1</v>
      </c>
      <c r="K6" s="70">
        <f>4-2</f>
        <v>2</v>
      </c>
      <c r="L6" s="70">
        <f>4-2</f>
        <v>2</v>
      </c>
      <c r="M6" s="70">
        <f>4-2</f>
        <v>2</v>
      </c>
      <c r="N6" s="70">
        <v>2</v>
      </c>
      <c r="O6" s="70">
        <v>1</v>
      </c>
      <c r="P6" s="70">
        <v>2</v>
      </c>
      <c r="Q6" s="70">
        <v>2</v>
      </c>
      <c r="R6" s="70">
        <v>2</v>
      </c>
      <c r="S6" s="70">
        <v>1</v>
      </c>
      <c r="T6" s="70">
        <v>2</v>
      </c>
      <c r="U6" s="70">
        <v>2</v>
      </c>
      <c r="V6" s="70">
        <v>2</v>
      </c>
      <c r="W6" s="69">
        <v>2</v>
      </c>
      <c r="X6" s="57" t="s">
        <v>175</v>
      </c>
      <c r="Y6" s="57">
        <f t="shared" si="0"/>
        <v>5</v>
      </c>
      <c r="Z6">
        <f t="shared" si="1"/>
        <v>7</v>
      </c>
      <c r="AA6">
        <f t="shared" si="2"/>
        <v>7</v>
      </c>
      <c r="AB6">
        <f t="shared" si="3"/>
        <v>8</v>
      </c>
    </row>
    <row r="7" spans="1:48" x14ac:dyDescent="0.35">
      <c r="A7" s="67" t="s">
        <v>216</v>
      </c>
      <c r="B7" s="68">
        <v>4</v>
      </c>
      <c r="C7" s="69">
        <v>2</v>
      </c>
      <c r="D7" s="68">
        <v>0</v>
      </c>
      <c r="E7" s="70">
        <v>0</v>
      </c>
      <c r="F7" s="70">
        <v>1</v>
      </c>
      <c r="G7" s="70">
        <v>0</v>
      </c>
      <c r="H7" s="70">
        <v>2</v>
      </c>
      <c r="I7" s="70">
        <v>0</v>
      </c>
      <c r="J7" s="70">
        <v>2</v>
      </c>
      <c r="K7" s="70">
        <v>2</v>
      </c>
      <c r="L7" s="70">
        <v>2</v>
      </c>
      <c r="M7" s="70">
        <v>2</v>
      </c>
      <c r="N7" s="70">
        <v>2</v>
      </c>
      <c r="O7" s="70">
        <v>0</v>
      </c>
      <c r="P7" s="70">
        <v>1</v>
      </c>
      <c r="Q7" s="70">
        <v>0</v>
      </c>
      <c r="R7" s="70">
        <v>0</v>
      </c>
      <c r="S7" s="70">
        <v>0</v>
      </c>
      <c r="T7" s="70">
        <v>0</v>
      </c>
      <c r="U7" s="70">
        <v>0</v>
      </c>
      <c r="V7" s="70">
        <v>0</v>
      </c>
      <c r="W7" s="69">
        <v>0</v>
      </c>
      <c r="X7" s="57" t="s">
        <v>177</v>
      </c>
      <c r="Y7" s="57">
        <f t="shared" si="0"/>
        <v>6</v>
      </c>
      <c r="Z7">
        <f t="shared" si="1"/>
        <v>6</v>
      </c>
      <c r="AA7">
        <f t="shared" si="2"/>
        <v>1</v>
      </c>
      <c r="AB7">
        <f t="shared" si="3"/>
        <v>0</v>
      </c>
    </row>
    <row r="8" spans="1:48" x14ac:dyDescent="0.35">
      <c r="A8" s="67" t="s">
        <v>217</v>
      </c>
      <c r="B8" s="68">
        <v>1</v>
      </c>
      <c r="C8" s="69">
        <v>1</v>
      </c>
      <c r="D8" s="68">
        <v>0</v>
      </c>
      <c r="E8" s="70">
        <v>0</v>
      </c>
      <c r="F8" s="70">
        <v>0</v>
      </c>
      <c r="G8" s="70">
        <v>1</v>
      </c>
      <c r="H8" s="70">
        <v>0</v>
      </c>
      <c r="I8" s="70">
        <v>0</v>
      </c>
      <c r="J8" s="70">
        <v>1</v>
      </c>
      <c r="K8" s="70">
        <v>0</v>
      </c>
      <c r="L8" s="70">
        <v>0</v>
      </c>
      <c r="M8" s="70">
        <v>0</v>
      </c>
      <c r="N8" s="70">
        <v>1</v>
      </c>
      <c r="O8" s="70">
        <v>0</v>
      </c>
      <c r="P8" s="70">
        <v>0</v>
      </c>
      <c r="Q8" s="70">
        <v>0</v>
      </c>
      <c r="R8" s="70">
        <v>0</v>
      </c>
      <c r="S8" s="70">
        <v>0</v>
      </c>
      <c r="T8" s="70">
        <v>0</v>
      </c>
      <c r="U8" s="70">
        <v>0</v>
      </c>
      <c r="V8" s="70">
        <v>0</v>
      </c>
      <c r="W8" s="69">
        <v>0</v>
      </c>
      <c r="X8" s="57" t="s">
        <v>176</v>
      </c>
      <c r="Y8" s="57">
        <f t="shared" si="0"/>
        <v>1</v>
      </c>
      <c r="Z8">
        <f t="shared" si="1"/>
        <v>1</v>
      </c>
      <c r="AA8">
        <f t="shared" si="2"/>
        <v>0</v>
      </c>
      <c r="AB8">
        <f t="shared" si="3"/>
        <v>0</v>
      </c>
    </row>
    <row r="9" spans="1:48" x14ac:dyDescent="0.35">
      <c r="A9" s="67" t="s">
        <v>218</v>
      </c>
      <c r="B9" s="68">
        <v>1</v>
      </c>
      <c r="C9" s="69">
        <v>2</v>
      </c>
      <c r="D9" s="68">
        <v>0</v>
      </c>
      <c r="E9" s="70">
        <v>1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70">
        <v>0</v>
      </c>
      <c r="U9" s="70">
        <v>0</v>
      </c>
      <c r="V9" s="70">
        <v>0</v>
      </c>
      <c r="W9" s="69">
        <v>0</v>
      </c>
      <c r="X9" s="57" t="s">
        <v>179</v>
      </c>
      <c r="Y9" s="57">
        <f t="shared" si="0"/>
        <v>0</v>
      </c>
      <c r="Z9">
        <f t="shared" si="1"/>
        <v>0</v>
      </c>
      <c r="AA9">
        <f t="shared" si="2"/>
        <v>0</v>
      </c>
      <c r="AB9">
        <f t="shared" si="3"/>
        <v>0</v>
      </c>
    </row>
    <row r="10" spans="1:48" x14ac:dyDescent="0.35">
      <c r="A10" s="67" t="s">
        <v>219</v>
      </c>
      <c r="B10" s="68">
        <v>7</v>
      </c>
      <c r="C10" s="69">
        <v>6</v>
      </c>
      <c r="D10" s="68">
        <v>1</v>
      </c>
      <c r="E10" s="70">
        <v>0</v>
      </c>
      <c r="F10" s="70">
        <v>0</v>
      </c>
      <c r="G10" s="70">
        <v>1</v>
      </c>
      <c r="H10" s="70">
        <v>0</v>
      </c>
      <c r="I10" s="70">
        <v>0</v>
      </c>
      <c r="J10" s="70">
        <v>0</v>
      </c>
      <c r="K10" s="70">
        <v>1</v>
      </c>
      <c r="L10" s="70">
        <v>0</v>
      </c>
      <c r="M10" s="70">
        <v>0</v>
      </c>
      <c r="N10" s="70">
        <v>1</v>
      </c>
      <c r="O10" s="70">
        <v>0</v>
      </c>
      <c r="P10" s="70">
        <v>0</v>
      </c>
      <c r="Q10" s="70">
        <v>1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69">
        <v>0</v>
      </c>
      <c r="X10" s="57" t="s">
        <v>180</v>
      </c>
      <c r="Y10" s="57">
        <f t="shared" si="0"/>
        <v>1</v>
      </c>
      <c r="Z10">
        <f t="shared" si="1"/>
        <v>1</v>
      </c>
      <c r="AA10">
        <f t="shared" si="2"/>
        <v>1</v>
      </c>
      <c r="AB10">
        <f t="shared" si="3"/>
        <v>0</v>
      </c>
    </row>
    <row r="11" spans="1:48" x14ac:dyDescent="0.35">
      <c r="A11" s="67" t="s">
        <v>220</v>
      </c>
      <c r="B11" s="68">
        <v>0</v>
      </c>
      <c r="C11" s="69">
        <v>0</v>
      </c>
      <c r="D11" s="68">
        <v>0</v>
      </c>
      <c r="E11" s="70">
        <v>0</v>
      </c>
      <c r="F11" s="70">
        <v>0</v>
      </c>
      <c r="G11" s="70">
        <v>0</v>
      </c>
      <c r="H11" s="70">
        <v>0</v>
      </c>
      <c r="I11" s="70">
        <v>1</v>
      </c>
      <c r="J11" s="70">
        <v>0</v>
      </c>
      <c r="K11" s="70">
        <f>3-1</f>
        <v>2</v>
      </c>
      <c r="L11" s="70">
        <v>0</v>
      </c>
      <c r="M11" s="70">
        <v>3</v>
      </c>
      <c r="N11" s="70">
        <v>0</v>
      </c>
      <c r="O11" s="70">
        <v>2</v>
      </c>
      <c r="P11" s="70">
        <v>0</v>
      </c>
      <c r="Q11" s="70">
        <f>2-2</f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69">
        <v>0</v>
      </c>
      <c r="X11" s="57" t="s">
        <v>181</v>
      </c>
      <c r="Y11" s="57">
        <f t="shared" si="0"/>
        <v>3</v>
      </c>
      <c r="Z11">
        <f t="shared" si="1"/>
        <v>5</v>
      </c>
      <c r="AA11">
        <f t="shared" si="2"/>
        <v>0</v>
      </c>
      <c r="AB11">
        <f t="shared" si="3"/>
        <v>0</v>
      </c>
    </row>
    <row r="12" spans="1:48" x14ac:dyDescent="0.35">
      <c r="A12" s="67" t="s">
        <v>221</v>
      </c>
      <c r="B12" s="68">
        <v>2</v>
      </c>
      <c r="C12" s="69">
        <v>2</v>
      </c>
      <c r="D12" s="68">
        <v>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70">
        <v>0</v>
      </c>
      <c r="W12" s="69">
        <v>0</v>
      </c>
      <c r="X12" s="57" t="s">
        <v>182</v>
      </c>
      <c r="Y12" s="57">
        <f t="shared" si="0"/>
        <v>0</v>
      </c>
      <c r="Z12">
        <f t="shared" si="1"/>
        <v>0</v>
      </c>
      <c r="AA12">
        <f t="shared" si="2"/>
        <v>0</v>
      </c>
      <c r="AB12">
        <f t="shared" si="3"/>
        <v>0</v>
      </c>
    </row>
    <row r="13" spans="1:48" x14ac:dyDescent="0.35">
      <c r="A13" s="67" t="s">
        <v>222</v>
      </c>
      <c r="B13" s="68">
        <v>3</v>
      </c>
      <c r="C13" s="69">
        <v>3</v>
      </c>
      <c r="D13" s="68">
        <v>1</v>
      </c>
      <c r="E13" s="70">
        <v>0</v>
      </c>
      <c r="F13" s="70">
        <v>0</v>
      </c>
      <c r="G13" s="70">
        <v>2</v>
      </c>
      <c r="H13" s="70">
        <v>0</v>
      </c>
      <c r="I13" s="70">
        <v>2</v>
      </c>
      <c r="J13" s="70">
        <v>2</v>
      </c>
      <c r="K13" s="70">
        <v>2</v>
      </c>
      <c r="L13" s="70">
        <v>2</v>
      </c>
      <c r="M13" s="70">
        <v>2</v>
      </c>
      <c r="N13" s="70">
        <v>2</v>
      </c>
      <c r="O13" s="70">
        <v>2</v>
      </c>
      <c r="P13" s="70">
        <v>0</v>
      </c>
      <c r="Q13" s="70">
        <v>0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69">
        <v>0</v>
      </c>
      <c r="X13" s="57" t="s">
        <v>184</v>
      </c>
      <c r="Y13" s="57">
        <f t="shared" si="0"/>
        <v>6</v>
      </c>
      <c r="Z13">
        <f t="shared" si="1"/>
        <v>8</v>
      </c>
      <c r="AA13">
        <f t="shared" si="2"/>
        <v>0</v>
      </c>
      <c r="AB13">
        <f t="shared" si="3"/>
        <v>0</v>
      </c>
    </row>
    <row r="14" spans="1:48" x14ac:dyDescent="0.35">
      <c r="A14" s="67" t="s">
        <v>223</v>
      </c>
      <c r="B14" s="68">
        <v>2</v>
      </c>
      <c r="C14" s="69">
        <v>2</v>
      </c>
      <c r="D14" s="68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69">
        <v>0</v>
      </c>
      <c r="X14" s="57" t="s">
        <v>186</v>
      </c>
      <c r="Y14" s="57">
        <f t="shared" si="0"/>
        <v>0</v>
      </c>
      <c r="Z14">
        <f t="shared" si="1"/>
        <v>0</v>
      </c>
      <c r="AA14">
        <f t="shared" si="2"/>
        <v>0</v>
      </c>
      <c r="AB14">
        <f t="shared" si="3"/>
        <v>0</v>
      </c>
    </row>
    <row r="15" spans="1:48" x14ac:dyDescent="0.35">
      <c r="A15" s="67" t="s">
        <v>224</v>
      </c>
      <c r="B15" s="68">
        <v>2</v>
      </c>
      <c r="C15" s="69">
        <v>1</v>
      </c>
      <c r="D15" s="68">
        <v>0</v>
      </c>
      <c r="E15" s="70">
        <v>0</v>
      </c>
      <c r="F15" s="70">
        <v>0</v>
      </c>
      <c r="G15" s="70">
        <v>0</v>
      </c>
      <c r="H15" s="70">
        <v>1</v>
      </c>
      <c r="I15" s="70">
        <v>1</v>
      </c>
      <c r="J15" s="70">
        <v>1</v>
      </c>
      <c r="K15" s="70">
        <v>1</v>
      </c>
      <c r="L15" s="70">
        <v>1</v>
      </c>
      <c r="M15" s="70">
        <v>1</v>
      </c>
      <c r="N15" s="70">
        <v>0</v>
      </c>
      <c r="O15" s="70">
        <v>0</v>
      </c>
      <c r="P15" s="70">
        <v>0</v>
      </c>
      <c r="Q15" s="70">
        <v>0</v>
      </c>
      <c r="R15" s="70">
        <v>0</v>
      </c>
      <c r="S15" s="70">
        <v>0</v>
      </c>
      <c r="T15" s="70">
        <v>0</v>
      </c>
      <c r="U15" s="70">
        <v>0</v>
      </c>
      <c r="V15" s="70">
        <v>0</v>
      </c>
      <c r="W15" s="69">
        <v>0</v>
      </c>
      <c r="X15" s="57" t="s">
        <v>185</v>
      </c>
      <c r="Y15" s="57">
        <f t="shared" si="0"/>
        <v>4</v>
      </c>
      <c r="Z15">
        <f t="shared" si="1"/>
        <v>2</v>
      </c>
      <c r="AA15">
        <f t="shared" si="2"/>
        <v>0</v>
      </c>
      <c r="AB15">
        <f t="shared" si="3"/>
        <v>0</v>
      </c>
    </row>
    <row r="16" spans="1:48" x14ac:dyDescent="0.35">
      <c r="A16" s="67" t="s">
        <v>225</v>
      </c>
      <c r="B16" s="68">
        <v>0</v>
      </c>
      <c r="C16" s="69">
        <v>0</v>
      </c>
      <c r="D16" s="68">
        <v>0</v>
      </c>
      <c r="E16" s="70">
        <v>0</v>
      </c>
      <c r="F16" s="70">
        <v>0</v>
      </c>
      <c r="G16" s="70">
        <v>0</v>
      </c>
      <c r="H16" s="70">
        <v>1</v>
      </c>
      <c r="I16" s="70">
        <v>2</v>
      </c>
      <c r="J16" s="70">
        <v>3</v>
      </c>
      <c r="K16" s="70">
        <v>3</v>
      </c>
      <c r="L16" s="70">
        <v>4</v>
      </c>
      <c r="M16" s="70">
        <v>4</v>
      </c>
      <c r="N16" s="70">
        <v>3</v>
      </c>
      <c r="O16" s="70">
        <v>2</v>
      </c>
      <c r="P16" s="70">
        <v>2</v>
      </c>
      <c r="Q16" s="70">
        <v>2</v>
      </c>
      <c r="R16" s="70">
        <v>1</v>
      </c>
      <c r="S16" s="70">
        <v>1</v>
      </c>
      <c r="T16" s="70">
        <v>1</v>
      </c>
      <c r="U16" s="70">
        <v>1</v>
      </c>
      <c r="V16" s="70">
        <v>1</v>
      </c>
      <c r="W16" s="69">
        <v>1</v>
      </c>
      <c r="X16" s="57" t="s">
        <v>187</v>
      </c>
      <c r="Y16" s="57">
        <f t="shared" si="0"/>
        <v>9</v>
      </c>
      <c r="Z16">
        <f t="shared" si="1"/>
        <v>13</v>
      </c>
      <c r="AA16">
        <f t="shared" si="2"/>
        <v>6</v>
      </c>
      <c r="AB16">
        <f t="shared" si="3"/>
        <v>4</v>
      </c>
    </row>
    <row r="17" spans="1:28" x14ac:dyDescent="0.35">
      <c r="A17" s="71" t="s">
        <v>226</v>
      </c>
      <c r="B17" s="72">
        <f>SUM(B4:B16)</f>
        <v>90</v>
      </c>
      <c r="C17" s="73">
        <f t="shared" ref="C17:V17" si="4">SUM(C4:C16)</f>
        <v>84</v>
      </c>
      <c r="D17" s="72">
        <f t="shared" si="4"/>
        <v>2</v>
      </c>
      <c r="E17" s="74">
        <f t="shared" si="4"/>
        <v>2</v>
      </c>
      <c r="F17" s="74">
        <f t="shared" si="4"/>
        <v>4</v>
      </c>
      <c r="G17" s="74">
        <f t="shared" si="4"/>
        <v>4</v>
      </c>
      <c r="H17" s="74">
        <f t="shared" si="4"/>
        <v>7</v>
      </c>
      <c r="I17" s="74">
        <f t="shared" si="4"/>
        <v>9</v>
      </c>
      <c r="J17" s="74">
        <f t="shared" si="4"/>
        <v>11</v>
      </c>
      <c r="K17" s="74">
        <f t="shared" si="4"/>
        <v>15</v>
      </c>
      <c r="L17" s="74">
        <f t="shared" si="4"/>
        <v>12</v>
      </c>
      <c r="M17" s="74">
        <f t="shared" si="4"/>
        <v>16</v>
      </c>
      <c r="N17" s="74">
        <f t="shared" si="4"/>
        <v>14</v>
      </c>
      <c r="O17" s="74">
        <f t="shared" si="4"/>
        <v>10</v>
      </c>
      <c r="P17" s="74">
        <f t="shared" si="4"/>
        <v>7</v>
      </c>
      <c r="Q17" s="74">
        <f t="shared" si="4"/>
        <v>8</v>
      </c>
      <c r="R17" s="74">
        <f t="shared" si="4"/>
        <v>7</v>
      </c>
      <c r="S17" s="74">
        <f t="shared" si="4"/>
        <v>6</v>
      </c>
      <c r="T17" s="74">
        <f t="shared" si="4"/>
        <v>5</v>
      </c>
      <c r="U17" s="74">
        <f t="shared" si="4"/>
        <v>9</v>
      </c>
      <c r="V17" s="74">
        <f t="shared" si="4"/>
        <v>7</v>
      </c>
      <c r="W17" s="73">
        <f>SUM(W4:W16)</f>
        <v>6</v>
      </c>
      <c r="X17" s="57"/>
      <c r="Y17" s="57">
        <f t="shared" si="0"/>
        <v>42</v>
      </c>
      <c r="Z17">
        <f t="shared" si="1"/>
        <v>52</v>
      </c>
      <c r="AA17">
        <f t="shared" si="2"/>
        <v>28</v>
      </c>
      <c r="AB17">
        <f t="shared" si="3"/>
        <v>27</v>
      </c>
    </row>
    <row r="20" spans="1:28" ht="18.5" x14ac:dyDescent="0.45">
      <c r="D20" s="58" t="s">
        <v>227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60"/>
    </row>
    <row r="21" spans="1:28" x14ac:dyDescent="0.35">
      <c r="A21" s="61" t="s">
        <v>190</v>
      </c>
      <c r="B21" s="62" t="s">
        <v>191</v>
      </c>
      <c r="C21" s="63" t="s">
        <v>192</v>
      </c>
      <c r="D21" s="62" t="s">
        <v>193</v>
      </c>
      <c r="E21" s="64" t="s">
        <v>194</v>
      </c>
      <c r="F21" s="64" t="s">
        <v>195</v>
      </c>
      <c r="G21" s="64" t="s">
        <v>196</v>
      </c>
      <c r="H21" s="64" t="s">
        <v>197</v>
      </c>
      <c r="I21" s="64" t="s">
        <v>198</v>
      </c>
      <c r="J21" s="64" t="s">
        <v>199</v>
      </c>
      <c r="K21" s="64" t="s">
        <v>200</v>
      </c>
      <c r="L21" s="64" t="s">
        <v>201</v>
      </c>
      <c r="M21" s="64" t="s">
        <v>202</v>
      </c>
      <c r="N21" s="64" t="s">
        <v>203</v>
      </c>
      <c r="O21" s="64" t="s">
        <v>204</v>
      </c>
      <c r="P21" s="64" t="s">
        <v>205</v>
      </c>
      <c r="Q21" s="64" t="s">
        <v>206</v>
      </c>
      <c r="R21" s="64" t="s">
        <v>207</v>
      </c>
      <c r="S21" s="64" t="s">
        <v>208</v>
      </c>
      <c r="T21" s="64" t="s">
        <v>209</v>
      </c>
      <c r="U21" s="64" t="s">
        <v>210</v>
      </c>
      <c r="V21" s="64" t="s">
        <v>211</v>
      </c>
      <c r="W21" s="63" t="s">
        <v>212</v>
      </c>
      <c r="X21" s="75" t="s">
        <v>228</v>
      </c>
      <c r="Y21" s="76" t="s">
        <v>229</v>
      </c>
    </row>
    <row r="22" spans="1:28" x14ac:dyDescent="0.35">
      <c r="A22" s="77" t="str">
        <f t="shared" ref="A22:C34" si="5">A4</f>
        <v>BLR</v>
      </c>
      <c r="B22" s="78">
        <f t="shared" si="5"/>
        <v>9</v>
      </c>
      <c r="C22" s="79">
        <f t="shared" si="5"/>
        <v>6</v>
      </c>
      <c r="D22" s="80">
        <f t="shared" ref="D22:W34" si="6">C22+D4</f>
        <v>6</v>
      </c>
      <c r="E22" s="81">
        <f t="shared" si="6"/>
        <v>6</v>
      </c>
      <c r="F22" s="81">
        <f t="shared" si="6"/>
        <v>7</v>
      </c>
      <c r="G22" s="81">
        <f t="shared" si="6"/>
        <v>7</v>
      </c>
      <c r="H22" s="81">
        <f t="shared" si="6"/>
        <v>9</v>
      </c>
      <c r="I22" s="81">
        <f t="shared" si="6"/>
        <v>11</v>
      </c>
      <c r="J22" s="81">
        <f t="shared" si="6"/>
        <v>12</v>
      </c>
      <c r="K22" s="81">
        <f t="shared" si="6"/>
        <v>13</v>
      </c>
      <c r="L22" s="81">
        <f t="shared" si="6"/>
        <v>14</v>
      </c>
      <c r="M22" s="81">
        <f t="shared" si="6"/>
        <v>15</v>
      </c>
      <c r="N22" s="81">
        <f t="shared" si="6"/>
        <v>18</v>
      </c>
      <c r="O22" s="81">
        <f t="shared" si="6"/>
        <v>20</v>
      </c>
      <c r="P22" s="81">
        <f t="shared" si="6"/>
        <v>22</v>
      </c>
      <c r="Q22" s="81">
        <f t="shared" si="6"/>
        <v>24</v>
      </c>
      <c r="R22" s="81">
        <f t="shared" si="6"/>
        <v>28</v>
      </c>
      <c r="S22" s="81">
        <f t="shared" si="6"/>
        <v>31</v>
      </c>
      <c r="T22" s="81">
        <f t="shared" si="6"/>
        <v>33</v>
      </c>
      <c r="U22" s="81">
        <f t="shared" si="6"/>
        <v>38</v>
      </c>
      <c r="V22" s="81">
        <f t="shared" si="6"/>
        <v>42</v>
      </c>
      <c r="W22" s="82">
        <f t="shared" si="6"/>
        <v>45</v>
      </c>
      <c r="X22" s="83" t="s">
        <v>213</v>
      </c>
      <c r="Y22" s="84" t="s">
        <v>213</v>
      </c>
    </row>
    <row r="23" spans="1:28" x14ac:dyDescent="0.35">
      <c r="A23" s="77" t="str">
        <f t="shared" si="5"/>
        <v>CBE</v>
      </c>
      <c r="B23" s="78">
        <f t="shared" si="5"/>
        <v>4</v>
      </c>
      <c r="C23" s="79">
        <f t="shared" si="5"/>
        <v>4</v>
      </c>
      <c r="D23" s="80">
        <f t="shared" si="6"/>
        <v>4</v>
      </c>
      <c r="E23" s="81">
        <f t="shared" si="6"/>
        <v>4</v>
      </c>
      <c r="F23" s="81">
        <f t="shared" si="6"/>
        <v>4</v>
      </c>
      <c r="G23" s="81">
        <f t="shared" si="6"/>
        <v>4</v>
      </c>
      <c r="H23" s="81">
        <f t="shared" si="6"/>
        <v>4</v>
      </c>
      <c r="I23" s="81">
        <f t="shared" si="6"/>
        <v>4</v>
      </c>
      <c r="J23" s="81">
        <f t="shared" si="6"/>
        <v>4</v>
      </c>
      <c r="K23" s="81">
        <f t="shared" si="6"/>
        <v>5</v>
      </c>
      <c r="L23" s="81">
        <f t="shared" si="6"/>
        <v>5</v>
      </c>
      <c r="M23" s="81">
        <f t="shared" si="6"/>
        <v>6</v>
      </c>
      <c r="N23" s="81">
        <f t="shared" si="6"/>
        <v>6</v>
      </c>
      <c r="O23" s="81">
        <f t="shared" si="6"/>
        <v>7</v>
      </c>
      <c r="P23" s="81">
        <f t="shared" si="6"/>
        <v>7</v>
      </c>
      <c r="Q23" s="81">
        <f t="shared" si="6"/>
        <v>8</v>
      </c>
      <c r="R23" s="81">
        <f t="shared" si="6"/>
        <v>8</v>
      </c>
      <c r="S23" s="81">
        <f t="shared" si="6"/>
        <v>9</v>
      </c>
      <c r="T23" s="81">
        <f t="shared" si="6"/>
        <v>9</v>
      </c>
      <c r="U23" s="81">
        <f t="shared" si="6"/>
        <v>10</v>
      </c>
      <c r="V23" s="81">
        <f t="shared" si="6"/>
        <v>10</v>
      </c>
      <c r="W23" s="82">
        <f t="shared" si="6"/>
        <v>10</v>
      </c>
      <c r="X23" s="83" t="s">
        <v>214</v>
      </c>
      <c r="Y23" s="84" t="s">
        <v>214</v>
      </c>
    </row>
    <row r="24" spans="1:28" x14ac:dyDescent="0.35">
      <c r="A24" s="77" t="str">
        <f t="shared" si="5"/>
        <v>CHN</v>
      </c>
      <c r="B24" s="78">
        <f t="shared" si="5"/>
        <v>55</v>
      </c>
      <c r="C24" s="79">
        <f t="shared" si="5"/>
        <v>55</v>
      </c>
      <c r="D24" s="80">
        <f t="shared" si="6"/>
        <v>55</v>
      </c>
      <c r="E24" s="81">
        <f t="shared" si="6"/>
        <v>56</v>
      </c>
      <c r="F24" s="81">
        <f t="shared" si="6"/>
        <v>58</v>
      </c>
      <c r="G24" s="81">
        <f t="shared" si="6"/>
        <v>58</v>
      </c>
      <c r="H24" s="81">
        <f t="shared" si="6"/>
        <v>59</v>
      </c>
      <c r="I24" s="81">
        <f t="shared" si="6"/>
        <v>60</v>
      </c>
      <c r="J24" s="81">
        <f t="shared" si="6"/>
        <v>61</v>
      </c>
      <c r="K24" s="81">
        <f t="shared" si="6"/>
        <v>63</v>
      </c>
      <c r="L24" s="81">
        <f t="shared" si="6"/>
        <v>65</v>
      </c>
      <c r="M24" s="81">
        <f t="shared" si="6"/>
        <v>67</v>
      </c>
      <c r="N24" s="81">
        <f t="shared" si="6"/>
        <v>69</v>
      </c>
      <c r="O24" s="81">
        <f t="shared" si="6"/>
        <v>70</v>
      </c>
      <c r="P24" s="81">
        <f t="shared" si="6"/>
        <v>72</v>
      </c>
      <c r="Q24" s="81">
        <f t="shared" si="6"/>
        <v>74</v>
      </c>
      <c r="R24" s="81">
        <f t="shared" si="6"/>
        <v>76</v>
      </c>
      <c r="S24" s="81">
        <f t="shared" si="6"/>
        <v>77</v>
      </c>
      <c r="T24" s="81">
        <f t="shared" si="6"/>
        <v>79</v>
      </c>
      <c r="U24" s="81">
        <f t="shared" si="6"/>
        <v>81</v>
      </c>
      <c r="V24" s="81">
        <f t="shared" si="6"/>
        <v>83</v>
      </c>
      <c r="W24" s="82">
        <f t="shared" si="6"/>
        <v>85</v>
      </c>
      <c r="X24" s="83" t="s">
        <v>215</v>
      </c>
      <c r="Y24" s="84" t="s">
        <v>215</v>
      </c>
    </row>
    <row r="25" spans="1:28" x14ac:dyDescent="0.35">
      <c r="A25" s="77" t="str">
        <f t="shared" si="5"/>
        <v>COC</v>
      </c>
      <c r="B25" s="78">
        <f t="shared" si="5"/>
        <v>4</v>
      </c>
      <c r="C25" s="79">
        <f t="shared" si="5"/>
        <v>2</v>
      </c>
      <c r="D25" s="80">
        <f t="shared" si="6"/>
        <v>2</v>
      </c>
      <c r="E25" s="81">
        <f t="shared" si="6"/>
        <v>2</v>
      </c>
      <c r="F25" s="81">
        <f t="shared" si="6"/>
        <v>3</v>
      </c>
      <c r="G25" s="81">
        <f t="shared" si="6"/>
        <v>3</v>
      </c>
      <c r="H25" s="81">
        <f t="shared" si="6"/>
        <v>5</v>
      </c>
      <c r="I25" s="81">
        <f t="shared" si="6"/>
        <v>5</v>
      </c>
      <c r="J25" s="81">
        <f t="shared" si="6"/>
        <v>7</v>
      </c>
      <c r="K25" s="81">
        <f t="shared" si="6"/>
        <v>9</v>
      </c>
      <c r="L25" s="81">
        <f t="shared" si="6"/>
        <v>11</v>
      </c>
      <c r="M25" s="81">
        <f t="shared" si="6"/>
        <v>13</v>
      </c>
      <c r="N25" s="81">
        <f t="shared" si="6"/>
        <v>15</v>
      </c>
      <c r="O25" s="81">
        <f t="shared" si="6"/>
        <v>15</v>
      </c>
      <c r="P25" s="81">
        <f t="shared" si="6"/>
        <v>16</v>
      </c>
      <c r="Q25" s="81">
        <f t="shared" si="6"/>
        <v>16</v>
      </c>
      <c r="R25" s="81">
        <f t="shared" si="6"/>
        <v>16</v>
      </c>
      <c r="S25" s="81">
        <f t="shared" si="6"/>
        <v>16</v>
      </c>
      <c r="T25" s="81">
        <f t="shared" si="6"/>
        <v>16</v>
      </c>
      <c r="U25" s="81">
        <f t="shared" si="6"/>
        <v>16</v>
      </c>
      <c r="V25" s="81">
        <f t="shared" si="6"/>
        <v>16</v>
      </c>
      <c r="W25" s="82">
        <f t="shared" si="6"/>
        <v>16</v>
      </c>
      <c r="X25" s="83" t="s">
        <v>214</v>
      </c>
      <c r="Y25" s="84" t="s">
        <v>214</v>
      </c>
    </row>
    <row r="26" spans="1:28" x14ac:dyDescent="0.35">
      <c r="A26" s="77" t="str">
        <f t="shared" si="5"/>
        <v>CON</v>
      </c>
      <c r="B26" s="78">
        <f t="shared" si="5"/>
        <v>1</v>
      </c>
      <c r="C26" s="79">
        <f t="shared" si="5"/>
        <v>1</v>
      </c>
      <c r="D26" s="80">
        <f t="shared" si="6"/>
        <v>1</v>
      </c>
      <c r="E26" s="81">
        <f t="shared" si="6"/>
        <v>1</v>
      </c>
      <c r="F26" s="81">
        <f t="shared" si="6"/>
        <v>1</v>
      </c>
      <c r="G26" s="81">
        <f t="shared" si="6"/>
        <v>2</v>
      </c>
      <c r="H26" s="81">
        <f t="shared" si="6"/>
        <v>2</v>
      </c>
      <c r="I26" s="81">
        <f t="shared" si="6"/>
        <v>2</v>
      </c>
      <c r="J26" s="81">
        <f t="shared" si="6"/>
        <v>3</v>
      </c>
      <c r="K26" s="81">
        <f t="shared" si="6"/>
        <v>3</v>
      </c>
      <c r="L26" s="81">
        <f t="shared" si="6"/>
        <v>3</v>
      </c>
      <c r="M26" s="81">
        <f t="shared" si="6"/>
        <v>3</v>
      </c>
      <c r="N26" s="81">
        <f t="shared" si="6"/>
        <v>4</v>
      </c>
      <c r="O26" s="81">
        <f t="shared" si="6"/>
        <v>4</v>
      </c>
      <c r="P26" s="81">
        <f t="shared" si="6"/>
        <v>4</v>
      </c>
      <c r="Q26" s="81">
        <f t="shared" si="6"/>
        <v>4</v>
      </c>
      <c r="R26" s="81">
        <f t="shared" si="6"/>
        <v>4</v>
      </c>
      <c r="S26" s="81">
        <f t="shared" si="6"/>
        <v>4</v>
      </c>
      <c r="T26" s="81">
        <f t="shared" si="6"/>
        <v>4</v>
      </c>
      <c r="U26" s="81">
        <f t="shared" si="6"/>
        <v>4</v>
      </c>
      <c r="V26" s="81">
        <f t="shared" si="6"/>
        <v>4</v>
      </c>
      <c r="W26" s="82">
        <f t="shared" si="6"/>
        <v>4</v>
      </c>
      <c r="X26" s="83" t="s">
        <v>214</v>
      </c>
      <c r="Y26" s="84" t="s">
        <v>214</v>
      </c>
    </row>
    <row r="27" spans="1:28" x14ac:dyDescent="0.35">
      <c r="A27" s="77" t="str">
        <f t="shared" si="5"/>
        <v>MDU</v>
      </c>
      <c r="B27" s="78">
        <f t="shared" si="5"/>
        <v>1</v>
      </c>
      <c r="C27" s="79">
        <f t="shared" si="5"/>
        <v>2</v>
      </c>
      <c r="D27" s="80">
        <f t="shared" si="6"/>
        <v>2</v>
      </c>
      <c r="E27" s="81">
        <f t="shared" si="6"/>
        <v>3</v>
      </c>
      <c r="F27" s="81">
        <f t="shared" si="6"/>
        <v>3</v>
      </c>
      <c r="G27" s="81">
        <f t="shared" si="6"/>
        <v>3</v>
      </c>
      <c r="H27" s="81">
        <f t="shared" si="6"/>
        <v>3</v>
      </c>
      <c r="I27" s="81">
        <f t="shared" si="6"/>
        <v>3</v>
      </c>
      <c r="J27" s="81">
        <f t="shared" si="6"/>
        <v>3</v>
      </c>
      <c r="K27" s="81">
        <f t="shared" si="6"/>
        <v>3</v>
      </c>
      <c r="L27" s="81">
        <f t="shared" si="6"/>
        <v>3</v>
      </c>
      <c r="M27" s="81">
        <f t="shared" si="6"/>
        <v>3</v>
      </c>
      <c r="N27" s="81">
        <f t="shared" si="6"/>
        <v>3</v>
      </c>
      <c r="O27" s="81">
        <f t="shared" si="6"/>
        <v>3</v>
      </c>
      <c r="P27" s="81">
        <f t="shared" si="6"/>
        <v>3</v>
      </c>
      <c r="Q27" s="81">
        <f t="shared" si="6"/>
        <v>3</v>
      </c>
      <c r="R27" s="81">
        <f t="shared" si="6"/>
        <v>3</v>
      </c>
      <c r="S27" s="81">
        <f t="shared" si="6"/>
        <v>3</v>
      </c>
      <c r="T27" s="81">
        <f t="shared" si="6"/>
        <v>3</v>
      </c>
      <c r="U27" s="81">
        <f t="shared" si="6"/>
        <v>3</v>
      </c>
      <c r="V27" s="81">
        <f t="shared" si="6"/>
        <v>3</v>
      </c>
      <c r="W27" s="82">
        <f t="shared" si="6"/>
        <v>3</v>
      </c>
      <c r="X27" s="83" t="s">
        <v>214</v>
      </c>
      <c r="Y27" s="84" t="s">
        <v>214</v>
      </c>
    </row>
    <row r="28" spans="1:28" x14ac:dyDescent="0.35">
      <c r="A28" s="77" t="str">
        <f t="shared" si="5"/>
        <v>MLR</v>
      </c>
      <c r="B28" s="78">
        <f t="shared" si="5"/>
        <v>7</v>
      </c>
      <c r="C28" s="79">
        <f t="shared" si="5"/>
        <v>6</v>
      </c>
      <c r="D28" s="80">
        <f t="shared" si="6"/>
        <v>7</v>
      </c>
      <c r="E28" s="81">
        <f t="shared" si="6"/>
        <v>7</v>
      </c>
      <c r="F28" s="81">
        <f t="shared" si="6"/>
        <v>7</v>
      </c>
      <c r="G28" s="81">
        <f t="shared" si="6"/>
        <v>8</v>
      </c>
      <c r="H28" s="81">
        <f t="shared" si="6"/>
        <v>8</v>
      </c>
      <c r="I28" s="81">
        <f t="shared" si="6"/>
        <v>8</v>
      </c>
      <c r="J28" s="81">
        <f t="shared" si="6"/>
        <v>8</v>
      </c>
      <c r="K28" s="81">
        <f t="shared" si="6"/>
        <v>9</v>
      </c>
      <c r="L28" s="81">
        <f t="shared" si="6"/>
        <v>9</v>
      </c>
      <c r="M28" s="81">
        <f t="shared" si="6"/>
        <v>9</v>
      </c>
      <c r="N28" s="81">
        <f t="shared" si="6"/>
        <v>10</v>
      </c>
      <c r="O28" s="81">
        <f t="shared" si="6"/>
        <v>10</v>
      </c>
      <c r="P28" s="81">
        <f t="shared" si="6"/>
        <v>10</v>
      </c>
      <c r="Q28" s="81">
        <f t="shared" si="6"/>
        <v>11</v>
      </c>
      <c r="R28" s="81">
        <f t="shared" si="6"/>
        <v>11</v>
      </c>
      <c r="S28" s="81">
        <f t="shared" si="6"/>
        <v>11</v>
      </c>
      <c r="T28" s="81">
        <f t="shared" si="6"/>
        <v>11</v>
      </c>
      <c r="U28" s="81">
        <f t="shared" si="6"/>
        <v>11</v>
      </c>
      <c r="V28" s="81">
        <f t="shared" si="6"/>
        <v>11</v>
      </c>
      <c r="W28" s="82">
        <f t="shared" si="6"/>
        <v>11</v>
      </c>
      <c r="X28" s="83" t="s">
        <v>219</v>
      </c>
      <c r="Y28" s="84" t="s">
        <v>213</v>
      </c>
    </row>
    <row r="29" spans="1:28" x14ac:dyDescent="0.35">
      <c r="A29" s="77" t="s">
        <v>220</v>
      </c>
      <c r="B29" s="78">
        <f t="shared" si="5"/>
        <v>0</v>
      </c>
      <c r="C29" s="79">
        <f t="shared" si="5"/>
        <v>0</v>
      </c>
      <c r="D29" s="80">
        <f t="shared" si="6"/>
        <v>0</v>
      </c>
      <c r="E29" s="81">
        <f t="shared" si="6"/>
        <v>0</v>
      </c>
      <c r="F29" s="81">
        <f t="shared" si="6"/>
        <v>0</v>
      </c>
      <c r="G29" s="81">
        <f t="shared" si="6"/>
        <v>0</v>
      </c>
      <c r="H29" s="81">
        <f t="shared" si="6"/>
        <v>0</v>
      </c>
      <c r="I29" s="81">
        <f t="shared" si="6"/>
        <v>1</v>
      </c>
      <c r="J29" s="81">
        <f t="shared" si="6"/>
        <v>1</v>
      </c>
      <c r="K29" s="81">
        <f t="shared" si="6"/>
        <v>3</v>
      </c>
      <c r="L29" s="81">
        <f t="shared" si="6"/>
        <v>3</v>
      </c>
      <c r="M29" s="81">
        <f t="shared" si="6"/>
        <v>6</v>
      </c>
      <c r="N29" s="81">
        <f t="shared" si="6"/>
        <v>6</v>
      </c>
      <c r="O29" s="81">
        <f t="shared" si="6"/>
        <v>8</v>
      </c>
      <c r="P29" s="81">
        <f t="shared" si="6"/>
        <v>8</v>
      </c>
      <c r="Q29" s="81">
        <f t="shared" si="6"/>
        <v>8</v>
      </c>
      <c r="R29" s="81">
        <f t="shared" si="6"/>
        <v>8</v>
      </c>
      <c r="S29" s="81">
        <f t="shared" si="6"/>
        <v>8</v>
      </c>
      <c r="T29" s="81">
        <f t="shared" si="6"/>
        <v>8</v>
      </c>
      <c r="U29" s="81">
        <f t="shared" si="6"/>
        <v>8</v>
      </c>
      <c r="V29" s="81">
        <f t="shared" si="6"/>
        <v>8</v>
      </c>
      <c r="W29" s="82">
        <f t="shared" si="6"/>
        <v>8</v>
      </c>
      <c r="X29" s="83" t="s">
        <v>219</v>
      </c>
      <c r="Y29" s="84" t="s">
        <v>213</v>
      </c>
    </row>
    <row r="30" spans="1:28" x14ac:dyDescent="0.35">
      <c r="A30" s="77" t="str">
        <f>A12</f>
        <v>PONDY</v>
      </c>
      <c r="B30" s="78">
        <f t="shared" si="5"/>
        <v>2</v>
      </c>
      <c r="C30" s="79">
        <f t="shared" si="5"/>
        <v>2</v>
      </c>
      <c r="D30" s="80">
        <f t="shared" si="6"/>
        <v>2</v>
      </c>
      <c r="E30" s="81">
        <f t="shared" si="6"/>
        <v>2</v>
      </c>
      <c r="F30" s="81">
        <f t="shared" si="6"/>
        <v>2</v>
      </c>
      <c r="G30" s="81">
        <f t="shared" si="6"/>
        <v>2</v>
      </c>
      <c r="H30" s="81">
        <f t="shared" si="6"/>
        <v>2</v>
      </c>
      <c r="I30" s="81">
        <f t="shared" si="6"/>
        <v>2</v>
      </c>
      <c r="J30" s="81">
        <f t="shared" si="6"/>
        <v>2</v>
      </c>
      <c r="K30" s="81">
        <f t="shared" si="6"/>
        <v>2</v>
      </c>
      <c r="L30" s="81">
        <f t="shared" si="6"/>
        <v>2</v>
      </c>
      <c r="M30" s="81">
        <f t="shared" si="6"/>
        <v>2</v>
      </c>
      <c r="N30" s="81">
        <f t="shared" si="6"/>
        <v>2</v>
      </c>
      <c r="O30" s="81">
        <f t="shared" si="6"/>
        <v>2</v>
      </c>
      <c r="P30" s="81">
        <f t="shared" si="6"/>
        <v>2</v>
      </c>
      <c r="Q30" s="81">
        <f t="shared" si="6"/>
        <v>2</v>
      </c>
      <c r="R30" s="81">
        <f t="shared" si="6"/>
        <v>2</v>
      </c>
      <c r="S30" s="81">
        <f t="shared" si="6"/>
        <v>2</v>
      </c>
      <c r="T30" s="81">
        <f t="shared" si="6"/>
        <v>2</v>
      </c>
      <c r="U30" s="81">
        <f t="shared" si="6"/>
        <v>2</v>
      </c>
      <c r="V30" s="81">
        <f t="shared" si="6"/>
        <v>2</v>
      </c>
      <c r="W30" s="82">
        <f t="shared" si="6"/>
        <v>2</v>
      </c>
      <c r="X30" s="83" t="s">
        <v>215</v>
      </c>
      <c r="Y30" s="84" t="s">
        <v>215</v>
      </c>
    </row>
    <row r="31" spans="1:28" x14ac:dyDescent="0.35">
      <c r="A31" s="77" t="str">
        <f>A13</f>
        <v>TVM</v>
      </c>
      <c r="B31" s="78">
        <f t="shared" si="5"/>
        <v>3</v>
      </c>
      <c r="C31" s="79">
        <f t="shared" si="5"/>
        <v>3</v>
      </c>
      <c r="D31" s="80">
        <f t="shared" si="6"/>
        <v>4</v>
      </c>
      <c r="E31" s="81">
        <f t="shared" si="6"/>
        <v>4</v>
      </c>
      <c r="F31" s="81">
        <f t="shared" si="6"/>
        <v>4</v>
      </c>
      <c r="G31" s="81">
        <f t="shared" si="6"/>
        <v>6</v>
      </c>
      <c r="H31" s="81">
        <f t="shared" si="6"/>
        <v>6</v>
      </c>
      <c r="I31" s="81">
        <f t="shared" si="6"/>
        <v>8</v>
      </c>
      <c r="J31" s="81">
        <f t="shared" si="6"/>
        <v>10</v>
      </c>
      <c r="K31" s="81">
        <f t="shared" si="6"/>
        <v>12</v>
      </c>
      <c r="L31" s="81">
        <f t="shared" si="6"/>
        <v>14</v>
      </c>
      <c r="M31" s="81">
        <f t="shared" si="6"/>
        <v>16</v>
      </c>
      <c r="N31" s="81">
        <f t="shared" si="6"/>
        <v>18</v>
      </c>
      <c r="O31" s="81">
        <f t="shared" si="6"/>
        <v>20</v>
      </c>
      <c r="P31" s="81">
        <f t="shared" si="6"/>
        <v>20</v>
      </c>
      <c r="Q31" s="81">
        <f t="shared" si="6"/>
        <v>20</v>
      </c>
      <c r="R31" s="81">
        <f t="shared" si="6"/>
        <v>20</v>
      </c>
      <c r="S31" s="81">
        <f t="shared" si="6"/>
        <v>20</v>
      </c>
      <c r="T31" s="81">
        <f t="shared" si="6"/>
        <v>20</v>
      </c>
      <c r="U31" s="81">
        <f t="shared" si="6"/>
        <v>20</v>
      </c>
      <c r="V31" s="81">
        <f t="shared" si="6"/>
        <v>20</v>
      </c>
      <c r="W31" s="82">
        <f t="shared" si="6"/>
        <v>20</v>
      </c>
      <c r="X31" s="83" t="s">
        <v>222</v>
      </c>
      <c r="Y31" s="84" t="s">
        <v>214</v>
      </c>
    </row>
    <row r="32" spans="1:28" x14ac:dyDescent="0.35">
      <c r="A32" s="77" t="str">
        <f>A14</f>
        <v>TVML</v>
      </c>
      <c r="B32" s="78">
        <f t="shared" si="5"/>
        <v>2</v>
      </c>
      <c r="C32" s="79">
        <f t="shared" si="5"/>
        <v>2</v>
      </c>
      <c r="D32" s="80">
        <f t="shared" si="6"/>
        <v>2</v>
      </c>
      <c r="E32" s="81">
        <f t="shared" si="6"/>
        <v>2</v>
      </c>
      <c r="F32" s="81">
        <f t="shared" si="6"/>
        <v>2</v>
      </c>
      <c r="G32" s="81">
        <f t="shared" si="6"/>
        <v>2</v>
      </c>
      <c r="H32" s="81">
        <f t="shared" si="6"/>
        <v>2</v>
      </c>
      <c r="I32" s="81">
        <f t="shared" si="6"/>
        <v>2</v>
      </c>
      <c r="J32" s="81">
        <f t="shared" si="6"/>
        <v>2</v>
      </c>
      <c r="K32" s="81">
        <f t="shared" si="6"/>
        <v>2</v>
      </c>
      <c r="L32" s="81">
        <f t="shared" si="6"/>
        <v>2</v>
      </c>
      <c r="M32" s="81">
        <f t="shared" si="6"/>
        <v>2</v>
      </c>
      <c r="N32" s="81">
        <f t="shared" si="6"/>
        <v>2</v>
      </c>
      <c r="O32" s="81">
        <f t="shared" si="6"/>
        <v>2</v>
      </c>
      <c r="P32" s="81">
        <f t="shared" si="6"/>
        <v>2</v>
      </c>
      <c r="Q32" s="81">
        <f t="shared" si="6"/>
        <v>2</v>
      </c>
      <c r="R32" s="81">
        <f t="shared" si="6"/>
        <v>2</v>
      </c>
      <c r="S32" s="81">
        <f t="shared" si="6"/>
        <v>2</v>
      </c>
      <c r="T32" s="81">
        <f t="shared" si="6"/>
        <v>2</v>
      </c>
      <c r="U32" s="81">
        <f t="shared" si="6"/>
        <v>2</v>
      </c>
      <c r="V32" s="81">
        <f t="shared" si="6"/>
        <v>2</v>
      </c>
      <c r="W32" s="82">
        <f t="shared" si="6"/>
        <v>2</v>
      </c>
      <c r="X32" s="83" t="s">
        <v>215</v>
      </c>
      <c r="Y32" s="84" t="s">
        <v>215</v>
      </c>
    </row>
    <row r="33" spans="1:25" x14ac:dyDescent="0.35">
      <c r="A33" s="77" t="s">
        <v>224</v>
      </c>
      <c r="B33" s="78">
        <f t="shared" si="5"/>
        <v>2</v>
      </c>
      <c r="C33" s="79">
        <f t="shared" si="5"/>
        <v>1</v>
      </c>
      <c r="D33" s="80">
        <f t="shared" si="6"/>
        <v>1</v>
      </c>
      <c r="E33" s="81">
        <f t="shared" si="6"/>
        <v>1</v>
      </c>
      <c r="F33" s="81">
        <f t="shared" si="6"/>
        <v>1</v>
      </c>
      <c r="G33" s="81">
        <f t="shared" si="6"/>
        <v>1</v>
      </c>
      <c r="H33" s="81">
        <f t="shared" si="6"/>
        <v>2</v>
      </c>
      <c r="I33" s="81">
        <f t="shared" si="6"/>
        <v>3</v>
      </c>
      <c r="J33" s="81">
        <f t="shared" si="6"/>
        <v>4</v>
      </c>
      <c r="K33" s="81">
        <f t="shared" si="6"/>
        <v>5</v>
      </c>
      <c r="L33" s="81">
        <f t="shared" si="6"/>
        <v>6</v>
      </c>
      <c r="M33" s="81">
        <f t="shared" si="6"/>
        <v>7</v>
      </c>
      <c r="N33" s="81">
        <f t="shared" si="6"/>
        <v>7</v>
      </c>
      <c r="O33" s="81">
        <f t="shared" si="6"/>
        <v>7</v>
      </c>
      <c r="P33" s="81">
        <f t="shared" si="6"/>
        <v>7</v>
      </c>
      <c r="Q33" s="81">
        <f t="shared" si="6"/>
        <v>7</v>
      </c>
      <c r="R33" s="81">
        <f t="shared" si="6"/>
        <v>7</v>
      </c>
      <c r="S33" s="81">
        <f t="shared" si="6"/>
        <v>7</v>
      </c>
      <c r="T33" s="81">
        <f t="shared" si="6"/>
        <v>7</v>
      </c>
      <c r="U33" s="81">
        <f t="shared" si="6"/>
        <v>7</v>
      </c>
      <c r="V33" s="81">
        <f t="shared" si="6"/>
        <v>7</v>
      </c>
      <c r="W33" s="82">
        <f t="shared" si="6"/>
        <v>7</v>
      </c>
      <c r="X33" s="83" t="s">
        <v>225</v>
      </c>
      <c r="Y33" s="84" t="s">
        <v>230</v>
      </c>
    </row>
    <row r="34" spans="1:25" x14ac:dyDescent="0.35">
      <c r="A34" s="77" t="str">
        <f>A16</f>
        <v>TS</v>
      </c>
      <c r="B34" s="78">
        <f t="shared" si="5"/>
        <v>0</v>
      </c>
      <c r="C34" s="79">
        <f t="shared" si="5"/>
        <v>0</v>
      </c>
      <c r="D34" s="80">
        <f t="shared" si="6"/>
        <v>0</v>
      </c>
      <c r="E34" s="81">
        <f t="shared" si="6"/>
        <v>0</v>
      </c>
      <c r="F34" s="81">
        <f t="shared" si="6"/>
        <v>0</v>
      </c>
      <c r="G34" s="81">
        <f t="shared" si="6"/>
        <v>0</v>
      </c>
      <c r="H34" s="81">
        <f t="shared" si="6"/>
        <v>1</v>
      </c>
      <c r="I34" s="81">
        <f t="shared" si="6"/>
        <v>3</v>
      </c>
      <c r="J34" s="81">
        <f t="shared" si="6"/>
        <v>6</v>
      </c>
      <c r="K34" s="81">
        <f t="shared" si="6"/>
        <v>9</v>
      </c>
      <c r="L34" s="81">
        <f t="shared" si="6"/>
        <v>13</v>
      </c>
      <c r="M34" s="81">
        <f t="shared" si="6"/>
        <v>17</v>
      </c>
      <c r="N34" s="81">
        <f t="shared" si="6"/>
        <v>20</v>
      </c>
      <c r="O34" s="81">
        <f t="shared" si="6"/>
        <v>22</v>
      </c>
      <c r="P34" s="81">
        <f t="shared" si="6"/>
        <v>24</v>
      </c>
      <c r="Q34" s="81">
        <f t="shared" si="6"/>
        <v>26</v>
      </c>
      <c r="R34" s="81">
        <f t="shared" si="6"/>
        <v>27</v>
      </c>
      <c r="S34" s="81">
        <f t="shared" ref="S34:W34" si="7">R34+S16</f>
        <v>28</v>
      </c>
      <c r="T34" s="81">
        <f t="shared" si="7"/>
        <v>29</v>
      </c>
      <c r="U34" s="81">
        <f t="shared" si="7"/>
        <v>30</v>
      </c>
      <c r="V34" s="81">
        <f t="shared" si="7"/>
        <v>31</v>
      </c>
      <c r="W34" s="82">
        <f t="shared" si="7"/>
        <v>32</v>
      </c>
      <c r="X34" s="83" t="s">
        <v>225</v>
      </c>
      <c r="Y34" s="84" t="s">
        <v>230</v>
      </c>
    </row>
    <row r="35" spans="1:25" x14ac:dyDescent="0.35">
      <c r="A35" s="71" t="s">
        <v>226</v>
      </c>
      <c r="B35" s="85">
        <f t="shared" ref="B35:W35" si="8">SUM(B22:B34)</f>
        <v>90</v>
      </c>
      <c r="C35" s="86">
        <f t="shared" si="8"/>
        <v>84</v>
      </c>
      <c r="D35" s="72">
        <f t="shared" si="8"/>
        <v>86</v>
      </c>
      <c r="E35" s="74">
        <f t="shared" si="8"/>
        <v>88</v>
      </c>
      <c r="F35" s="74">
        <f t="shared" si="8"/>
        <v>92</v>
      </c>
      <c r="G35" s="74">
        <f t="shared" si="8"/>
        <v>96</v>
      </c>
      <c r="H35" s="74">
        <f t="shared" si="8"/>
        <v>103</v>
      </c>
      <c r="I35" s="74">
        <f t="shared" si="8"/>
        <v>112</v>
      </c>
      <c r="J35" s="74">
        <f t="shared" si="8"/>
        <v>123</v>
      </c>
      <c r="K35" s="74">
        <f t="shared" si="8"/>
        <v>138</v>
      </c>
      <c r="L35" s="74">
        <f t="shared" si="8"/>
        <v>150</v>
      </c>
      <c r="M35" s="74">
        <f t="shared" si="8"/>
        <v>166</v>
      </c>
      <c r="N35" s="74">
        <f t="shared" si="8"/>
        <v>180</v>
      </c>
      <c r="O35" s="74">
        <f t="shared" si="8"/>
        <v>190</v>
      </c>
      <c r="P35" s="74">
        <f t="shared" si="8"/>
        <v>197</v>
      </c>
      <c r="Q35" s="74">
        <f t="shared" si="8"/>
        <v>205</v>
      </c>
      <c r="R35" s="74">
        <f t="shared" si="8"/>
        <v>212</v>
      </c>
      <c r="S35" s="74">
        <f t="shared" si="8"/>
        <v>218</v>
      </c>
      <c r="T35" s="74">
        <f t="shared" si="8"/>
        <v>223</v>
      </c>
      <c r="U35" s="74">
        <f t="shared" si="8"/>
        <v>232</v>
      </c>
      <c r="V35" s="74">
        <f t="shared" si="8"/>
        <v>239</v>
      </c>
      <c r="W35" s="73">
        <f t="shared" si="8"/>
        <v>245</v>
      </c>
      <c r="X35" s="87"/>
      <c r="Y35" s="88"/>
    </row>
    <row r="37" spans="1:25" x14ac:dyDescent="0.35"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</row>
    <row r="38" spans="1:25" ht="18.5" x14ac:dyDescent="0.45">
      <c r="A38" s="90" t="s">
        <v>231</v>
      </c>
    </row>
    <row r="39" spans="1:25" x14ac:dyDescent="0.35">
      <c r="A39" s="61" t="s">
        <v>190</v>
      </c>
      <c r="B39" s="62" t="s">
        <v>191</v>
      </c>
      <c r="C39" s="63" t="s">
        <v>192</v>
      </c>
      <c r="D39" s="62" t="s">
        <v>193</v>
      </c>
      <c r="E39" s="64" t="s">
        <v>194</v>
      </c>
      <c r="F39" s="64" t="s">
        <v>195</v>
      </c>
      <c r="G39" s="64" t="s">
        <v>196</v>
      </c>
      <c r="H39" s="64" t="s">
        <v>197</v>
      </c>
      <c r="I39" s="64" t="s">
        <v>198</v>
      </c>
      <c r="J39" s="64" t="s">
        <v>199</v>
      </c>
      <c r="K39" s="64" t="s">
        <v>200</v>
      </c>
      <c r="L39" s="64" t="s">
        <v>201</v>
      </c>
      <c r="M39" s="64" t="s">
        <v>202</v>
      </c>
      <c r="N39" s="64" t="s">
        <v>203</v>
      </c>
      <c r="O39" s="64" t="s">
        <v>204</v>
      </c>
      <c r="P39" s="64" t="s">
        <v>205</v>
      </c>
      <c r="Q39" s="64" t="s">
        <v>206</v>
      </c>
      <c r="R39" s="64" t="s">
        <v>207</v>
      </c>
      <c r="S39" s="64" t="s">
        <v>208</v>
      </c>
      <c r="T39" s="64" t="s">
        <v>209</v>
      </c>
      <c r="U39" s="64" t="s">
        <v>210</v>
      </c>
      <c r="V39" s="64" t="s">
        <v>211</v>
      </c>
      <c r="W39" s="63" t="s">
        <v>212</v>
      </c>
    </row>
    <row r="40" spans="1:25" x14ac:dyDescent="0.35">
      <c r="A40" s="77" t="str">
        <f t="shared" ref="A40:A52" si="9">A22</f>
        <v>BLR</v>
      </c>
      <c r="B40" s="78">
        <v>0</v>
      </c>
      <c r="C40" s="79">
        <v>0</v>
      </c>
      <c r="D40" s="78">
        <v>0</v>
      </c>
      <c r="E40" s="91">
        <v>0</v>
      </c>
      <c r="F40" s="91">
        <v>30</v>
      </c>
      <c r="G40" s="91">
        <v>30.6</v>
      </c>
      <c r="H40" s="91">
        <v>91.212000000000003</v>
      </c>
      <c r="I40" s="91">
        <v>153.03624000000002</v>
      </c>
      <c r="J40" s="91">
        <v>186.09696480000002</v>
      </c>
      <c r="K40" s="91">
        <v>219.81890409600004</v>
      </c>
      <c r="L40" s="91">
        <v>254.21528217792005</v>
      </c>
      <c r="M40" s="91">
        <v>284.21528217792002</v>
      </c>
      <c r="N40" s="91">
        <v>379.89958782147841</v>
      </c>
      <c r="O40" s="91">
        <v>447.49757957790797</v>
      </c>
      <c r="P40" s="91">
        <v>516.44753116946617</v>
      </c>
      <c r="Q40" s="91">
        <v>586.77648179285552</v>
      </c>
      <c r="R40" s="91">
        <v>718.51201142871264</v>
      </c>
      <c r="S40" s="91">
        <v>822.88225165728693</v>
      </c>
      <c r="T40" s="91">
        <v>899.33989669043274</v>
      </c>
      <c r="U40" s="91">
        <v>1067.3266946242416</v>
      </c>
      <c r="V40" s="91">
        <v>1208.6732285167263</v>
      </c>
      <c r="W40" s="79">
        <v>1322.8466930870609</v>
      </c>
    </row>
    <row r="41" spans="1:25" x14ac:dyDescent="0.35">
      <c r="A41" s="77" t="str">
        <f t="shared" si="9"/>
        <v>CBE</v>
      </c>
      <c r="B41" s="78">
        <v>0</v>
      </c>
      <c r="C41" s="79">
        <v>0</v>
      </c>
      <c r="D41" s="78">
        <v>0</v>
      </c>
      <c r="E41" s="91">
        <v>0</v>
      </c>
      <c r="F41" s="91">
        <v>0</v>
      </c>
      <c r="G41" s="91">
        <v>0</v>
      </c>
      <c r="H41" s="91">
        <v>0</v>
      </c>
      <c r="I41" s="91">
        <v>0</v>
      </c>
      <c r="J41" s="91">
        <v>0</v>
      </c>
      <c r="K41" s="91">
        <v>30</v>
      </c>
      <c r="L41" s="91">
        <v>30.6</v>
      </c>
      <c r="M41" s="91">
        <v>60.6</v>
      </c>
      <c r="N41" s="91">
        <v>61.812000000000005</v>
      </c>
      <c r="O41" s="91">
        <v>93.048240000000007</v>
      </c>
      <c r="P41" s="91">
        <v>94.909204800000012</v>
      </c>
      <c r="Q41" s="91">
        <v>126.80738889600002</v>
      </c>
      <c r="R41" s="91">
        <v>129.34353667392003</v>
      </c>
      <c r="S41" s="91">
        <v>161.93040740739843</v>
      </c>
      <c r="T41" s="91">
        <v>165.16901555554639</v>
      </c>
      <c r="U41" s="91">
        <v>198.47239586665734</v>
      </c>
      <c r="V41" s="91">
        <v>202.44184378399049</v>
      </c>
      <c r="W41" s="79">
        <v>206.49068065967032</v>
      </c>
    </row>
    <row r="42" spans="1:25" x14ac:dyDescent="0.35">
      <c r="A42" s="77" t="str">
        <f t="shared" si="9"/>
        <v>CHN</v>
      </c>
      <c r="B42" s="78">
        <v>0</v>
      </c>
      <c r="C42" s="79">
        <v>0</v>
      </c>
      <c r="D42" s="78">
        <v>0</v>
      </c>
      <c r="E42" s="91">
        <v>30</v>
      </c>
      <c r="F42" s="91">
        <v>90</v>
      </c>
      <c r="G42" s="91">
        <v>91.8</v>
      </c>
      <c r="H42" s="91">
        <v>123.636</v>
      </c>
      <c r="I42" s="91">
        <v>156.10872000000001</v>
      </c>
      <c r="J42" s="91">
        <v>189.23089440000001</v>
      </c>
      <c r="K42" s="91">
        <v>253.01551228800002</v>
      </c>
      <c r="L42" s="91">
        <v>318.07582253376</v>
      </c>
      <c r="M42" s="91">
        <v>378.07582253376</v>
      </c>
      <c r="N42" s="91">
        <v>445.63733898443519</v>
      </c>
      <c r="O42" s="91">
        <v>484.55008576412388</v>
      </c>
      <c r="P42" s="91">
        <v>554.24108747940636</v>
      </c>
      <c r="Q42" s="91">
        <v>625.32590922899453</v>
      </c>
      <c r="R42" s="91">
        <v>697.83242741357446</v>
      </c>
      <c r="S42" s="91">
        <v>741.78907596184592</v>
      </c>
      <c r="T42" s="91">
        <v>816.62485748108281</v>
      </c>
      <c r="U42" s="91">
        <v>892.95735463070446</v>
      </c>
      <c r="V42" s="91">
        <v>970.81650172331854</v>
      </c>
      <c r="W42" s="79">
        <v>1050.2328317577849</v>
      </c>
    </row>
    <row r="43" spans="1:25" x14ac:dyDescent="0.35">
      <c r="A43" s="77" t="str">
        <f t="shared" si="9"/>
        <v>COC</v>
      </c>
      <c r="B43" s="78">
        <v>0</v>
      </c>
      <c r="C43" s="79">
        <v>0</v>
      </c>
      <c r="D43" s="78">
        <v>0</v>
      </c>
      <c r="E43" s="91">
        <v>0</v>
      </c>
      <c r="F43" s="91">
        <v>30</v>
      </c>
      <c r="G43" s="91">
        <v>30.6</v>
      </c>
      <c r="H43" s="91">
        <v>91.212000000000003</v>
      </c>
      <c r="I43" s="91">
        <v>93.036240000000006</v>
      </c>
      <c r="J43" s="91">
        <v>154.89696480000001</v>
      </c>
      <c r="K43" s="91">
        <v>217.994904096</v>
      </c>
      <c r="L43" s="91">
        <v>282.35480217791996</v>
      </c>
      <c r="M43" s="91">
        <v>342.35480217791996</v>
      </c>
      <c r="N43" s="91">
        <v>409.20189822147836</v>
      </c>
      <c r="O43" s="91">
        <v>417.38593618590795</v>
      </c>
      <c r="P43" s="91">
        <v>455.73365490962613</v>
      </c>
      <c r="Q43" s="91">
        <v>464.84832800781868</v>
      </c>
      <c r="R43" s="91">
        <v>474.14529456797504</v>
      </c>
      <c r="S43" s="91">
        <v>483.62820045933455</v>
      </c>
      <c r="T43" s="91">
        <v>493.30076446852127</v>
      </c>
      <c r="U43" s="91">
        <v>503.16677975789167</v>
      </c>
      <c r="V43" s="91">
        <v>513.23011535304954</v>
      </c>
      <c r="W43" s="79">
        <v>523.4947176601105</v>
      </c>
    </row>
    <row r="44" spans="1:25" x14ac:dyDescent="0.35">
      <c r="A44" s="77" t="str">
        <f t="shared" si="9"/>
        <v>CON</v>
      </c>
      <c r="B44" s="78">
        <v>0</v>
      </c>
      <c r="C44" s="79">
        <v>0</v>
      </c>
      <c r="D44" s="78">
        <v>0</v>
      </c>
      <c r="E44" s="91">
        <v>0</v>
      </c>
      <c r="F44" s="91">
        <v>0</v>
      </c>
      <c r="G44" s="91">
        <v>30</v>
      </c>
      <c r="H44" s="91">
        <v>30.6</v>
      </c>
      <c r="I44" s="91">
        <v>31.212000000000003</v>
      </c>
      <c r="J44" s="91">
        <v>61.836240000000004</v>
      </c>
      <c r="K44" s="91">
        <v>63.072964800000008</v>
      </c>
      <c r="L44" s="91">
        <v>64.334424096000006</v>
      </c>
      <c r="M44" s="91">
        <v>64.334424096000006</v>
      </c>
      <c r="N44" s="91">
        <v>95.621112577920002</v>
      </c>
      <c r="O44" s="91">
        <v>97.533534829478398</v>
      </c>
      <c r="P44" s="91">
        <v>99.484205526067967</v>
      </c>
      <c r="Q44" s="91">
        <v>101.47388963658933</v>
      </c>
      <c r="R44" s="91">
        <v>103.50336742932112</v>
      </c>
      <c r="S44" s="91">
        <v>105.57343477790754</v>
      </c>
      <c r="T44" s="91">
        <v>107.6849034734657</v>
      </c>
      <c r="U44" s="91">
        <v>109.83860154293501</v>
      </c>
      <c r="V44" s="91">
        <v>112.03537357379371</v>
      </c>
      <c r="W44" s="79">
        <v>114.27608104526958</v>
      </c>
    </row>
    <row r="45" spans="1:25" x14ac:dyDescent="0.35">
      <c r="A45" s="77" t="str">
        <f t="shared" si="9"/>
        <v>MDU</v>
      </c>
      <c r="B45" s="78">
        <v>0</v>
      </c>
      <c r="C45" s="79">
        <v>0</v>
      </c>
      <c r="D45" s="78">
        <v>0</v>
      </c>
      <c r="E45" s="91">
        <v>30</v>
      </c>
      <c r="F45" s="91">
        <v>30</v>
      </c>
      <c r="G45" s="91">
        <v>30.6</v>
      </c>
      <c r="H45" s="91">
        <v>31.212000000000003</v>
      </c>
      <c r="I45" s="91">
        <v>31.836240000000004</v>
      </c>
      <c r="J45" s="91">
        <v>32.472964800000007</v>
      </c>
      <c r="K45" s="91">
        <v>33.12242409600001</v>
      </c>
      <c r="L45" s="91">
        <v>33.784872577920012</v>
      </c>
      <c r="M45" s="91">
        <v>33.784872577920012</v>
      </c>
      <c r="N45" s="91">
        <v>34.460570029478411</v>
      </c>
      <c r="O45" s="91">
        <v>35.149781430067982</v>
      </c>
      <c r="P45" s="91">
        <v>35.852777058669339</v>
      </c>
      <c r="Q45" s="91">
        <v>36.569832599842726</v>
      </c>
      <c r="R45" s="91">
        <v>37.30122925183958</v>
      </c>
      <c r="S45" s="91">
        <v>38.047253836876372</v>
      </c>
      <c r="T45" s="91">
        <v>38.8081989136139</v>
      </c>
      <c r="U45" s="91">
        <v>39.58436289188618</v>
      </c>
      <c r="V45" s="91">
        <v>40.376050149723902</v>
      </c>
      <c r="W45" s="79">
        <v>41.183571152718379</v>
      </c>
    </row>
    <row r="46" spans="1:25" x14ac:dyDescent="0.35">
      <c r="A46" s="77" t="str">
        <f t="shared" si="9"/>
        <v>MLR</v>
      </c>
      <c r="B46" s="78">
        <v>0</v>
      </c>
      <c r="C46" s="79">
        <v>0</v>
      </c>
      <c r="D46" s="78">
        <v>30</v>
      </c>
      <c r="E46" s="91">
        <v>30</v>
      </c>
      <c r="F46" s="91">
        <v>30</v>
      </c>
      <c r="G46" s="91">
        <v>60.6</v>
      </c>
      <c r="H46" s="91">
        <v>61.812000000000005</v>
      </c>
      <c r="I46" s="91">
        <v>63.048240000000007</v>
      </c>
      <c r="J46" s="91">
        <v>64.309204800000003</v>
      </c>
      <c r="K46" s="91">
        <v>95.595388896000003</v>
      </c>
      <c r="L46" s="91">
        <v>97.50729667392001</v>
      </c>
      <c r="M46" s="91">
        <v>97.50729667392001</v>
      </c>
      <c r="N46" s="91">
        <v>129.45744260739841</v>
      </c>
      <c r="O46" s="91">
        <v>132.04659145954636</v>
      </c>
      <c r="P46" s="91">
        <v>134.68752328873728</v>
      </c>
      <c r="Q46" s="91">
        <v>167.38127375451202</v>
      </c>
      <c r="R46" s="91">
        <v>170.72889922960226</v>
      </c>
      <c r="S46" s="91">
        <v>174.14347721419432</v>
      </c>
      <c r="T46" s="91">
        <v>177.62634675847821</v>
      </c>
      <c r="U46" s="91">
        <v>181.17887369364777</v>
      </c>
      <c r="V46" s="91">
        <v>184.80245116752073</v>
      </c>
      <c r="W46" s="79">
        <v>188.49850019087114</v>
      </c>
    </row>
    <row r="47" spans="1:25" x14ac:dyDescent="0.35">
      <c r="A47" s="77" t="str">
        <f t="shared" si="9"/>
        <v>MYS</v>
      </c>
      <c r="B47" s="78">
        <v>0</v>
      </c>
      <c r="C47" s="79">
        <v>0</v>
      </c>
      <c r="D47" s="78">
        <v>0</v>
      </c>
      <c r="E47" s="91">
        <v>0</v>
      </c>
      <c r="F47" s="91">
        <v>0</v>
      </c>
      <c r="G47" s="91">
        <v>0</v>
      </c>
      <c r="H47" s="91">
        <v>0</v>
      </c>
      <c r="I47" s="91">
        <v>30</v>
      </c>
      <c r="J47" s="91">
        <v>30.6</v>
      </c>
      <c r="K47" s="91">
        <v>91.212000000000003</v>
      </c>
      <c r="L47" s="91">
        <v>93.036240000000006</v>
      </c>
      <c r="M47" s="91">
        <v>183.03624000000002</v>
      </c>
      <c r="N47" s="91">
        <v>186.69696480000002</v>
      </c>
      <c r="O47" s="91">
        <v>250.43090409600003</v>
      </c>
      <c r="P47" s="91">
        <v>255.43952217792003</v>
      </c>
      <c r="Q47" s="91">
        <v>260.54831262147843</v>
      </c>
      <c r="R47" s="91">
        <v>265.75927887390799</v>
      </c>
      <c r="S47" s="91">
        <v>271.07446445138618</v>
      </c>
      <c r="T47" s="91">
        <v>276.49595374041388</v>
      </c>
      <c r="U47" s="91">
        <v>282.02587281522216</v>
      </c>
      <c r="V47" s="91">
        <v>287.66639027152661</v>
      </c>
      <c r="W47" s="79">
        <v>293.41971807695717</v>
      </c>
    </row>
    <row r="48" spans="1:25" x14ac:dyDescent="0.35">
      <c r="A48" s="77" t="str">
        <f t="shared" si="9"/>
        <v>PONDY</v>
      </c>
      <c r="B48" s="78">
        <v>0</v>
      </c>
      <c r="C48" s="79">
        <v>0</v>
      </c>
      <c r="D48" s="78">
        <v>0</v>
      </c>
      <c r="E48" s="91">
        <v>0</v>
      </c>
      <c r="F48" s="91">
        <v>0</v>
      </c>
      <c r="G48" s="91">
        <v>0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  <c r="M48" s="91">
        <v>0</v>
      </c>
      <c r="N48" s="91">
        <v>0</v>
      </c>
      <c r="O48" s="91">
        <v>0</v>
      </c>
      <c r="P48" s="91">
        <v>0</v>
      </c>
      <c r="Q48" s="91">
        <v>0</v>
      </c>
      <c r="R48" s="91">
        <v>0</v>
      </c>
      <c r="S48" s="91">
        <v>0</v>
      </c>
      <c r="T48" s="91">
        <v>0</v>
      </c>
      <c r="U48" s="91">
        <v>0</v>
      </c>
      <c r="V48" s="91">
        <v>0</v>
      </c>
      <c r="W48" s="79">
        <v>0</v>
      </c>
    </row>
    <row r="49" spans="1:23" x14ac:dyDescent="0.35">
      <c r="A49" s="77" t="str">
        <f t="shared" si="9"/>
        <v>TVM</v>
      </c>
      <c r="B49" s="78">
        <v>0</v>
      </c>
      <c r="C49" s="79">
        <v>0</v>
      </c>
      <c r="D49" s="78">
        <v>30</v>
      </c>
      <c r="E49" s="91">
        <v>30</v>
      </c>
      <c r="F49" s="91">
        <v>30</v>
      </c>
      <c r="G49" s="91">
        <v>90.6</v>
      </c>
      <c r="H49" s="91">
        <v>92.411999999999992</v>
      </c>
      <c r="I49" s="91">
        <v>154.26024000000001</v>
      </c>
      <c r="J49" s="91">
        <v>217.34544480000002</v>
      </c>
      <c r="K49" s="91">
        <v>281.69235369600005</v>
      </c>
      <c r="L49" s="91">
        <v>347.32620076992004</v>
      </c>
      <c r="M49" s="91">
        <v>407.32620076992004</v>
      </c>
      <c r="N49" s="91">
        <v>475.47272478531846</v>
      </c>
      <c r="O49" s="91">
        <v>544.98217928102486</v>
      </c>
      <c r="P49" s="91">
        <v>555.88182286664539</v>
      </c>
      <c r="Q49" s="91">
        <v>566.99945932397827</v>
      </c>
      <c r="R49" s="91">
        <v>578.33944851045783</v>
      </c>
      <c r="S49" s="91">
        <v>589.90623748066696</v>
      </c>
      <c r="T49" s="91">
        <v>601.70436223028025</v>
      </c>
      <c r="U49" s="91">
        <v>613.7384494748859</v>
      </c>
      <c r="V49" s="91">
        <v>626.01321846438361</v>
      </c>
      <c r="W49" s="79">
        <v>638.53348283367131</v>
      </c>
    </row>
    <row r="50" spans="1:23" x14ac:dyDescent="0.35">
      <c r="A50" s="77" t="str">
        <f t="shared" si="9"/>
        <v>TVML</v>
      </c>
      <c r="B50" s="78">
        <v>0</v>
      </c>
      <c r="C50" s="79">
        <v>0</v>
      </c>
      <c r="D50" s="78">
        <v>0</v>
      </c>
      <c r="E50" s="91">
        <v>0</v>
      </c>
      <c r="F50" s="91">
        <v>0</v>
      </c>
      <c r="G50" s="91">
        <v>0</v>
      </c>
      <c r="H50" s="91">
        <v>0</v>
      </c>
      <c r="I50" s="91">
        <v>0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  <c r="O50" s="91">
        <v>0</v>
      </c>
      <c r="P50" s="91">
        <v>0</v>
      </c>
      <c r="Q50" s="91">
        <v>0</v>
      </c>
      <c r="R50" s="91">
        <v>0</v>
      </c>
      <c r="S50" s="91">
        <v>0</v>
      </c>
      <c r="T50" s="91">
        <v>0</v>
      </c>
      <c r="U50" s="91">
        <v>0</v>
      </c>
      <c r="V50" s="91">
        <v>0</v>
      </c>
      <c r="W50" s="79">
        <v>0</v>
      </c>
    </row>
    <row r="51" spans="1:23" x14ac:dyDescent="0.35">
      <c r="A51" s="77" t="str">
        <f t="shared" si="9"/>
        <v>AP</v>
      </c>
      <c r="B51" s="78">
        <v>0</v>
      </c>
      <c r="C51" s="79">
        <v>0</v>
      </c>
      <c r="D51" s="78">
        <v>0</v>
      </c>
      <c r="E51" s="91">
        <v>0</v>
      </c>
      <c r="F51" s="91">
        <v>0</v>
      </c>
      <c r="G51" s="91">
        <v>0</v>
      </c>
      <c r="H51" s="91">
        <v>30</v>
      </c>
      <c r="I51" s="91">
        <v>60.6</v>
      </c>
      <c r="J51" s="91">
        <v>91.812000000000012</v>
      </c>
      <c r="K51" s="91">
        <v>123.64824000000002</v>
      </c>
      <c r="L51" s="91">
        <v>156.12120480000002</v>
      </c>
      <c r="M51" s="91">
        <v>186.12120480000002</v>
      </c>
      <c r="N51" s="91">
        <v>189.84362889600001</v>
      </c>
      <c r="O51" s="91">
        <v>193.64050147392001</v>
      </c>
      <c r="P51" s="91">
        <v>197.51331150339843</v>
      </c>
      <c r="Q51" s="91">
        <v>201.46357773346639</v>
      </c>
      <c r="R51" s="91">
        <v>205.49284928813572</v>
      </c>
      <c r="S51" s="91">
        <v>209.60270627389843</v>
      </c>
      <c r="T51" s="91">
        <v>213.7947603993764</v>
      </c>
      <c r="U51" s="91">
        <v>218.07065560736393</v>
      </c>
      <c r="V51" s="91">
        <v>222.43206871951122</v>
      </c>
      <c r="W51" s="79">
        <v>226.88071009390146</v>
      </c>
    </row>
    <row r="52" spans="1:23" x14ac:dyDescent="0.35">
      <c r="A52" s="77" t="str">
        <f t="shared" si="9"/>
        <v>TS</v>
      </c>
      <c r="B52" s="78">
        <v>0</v>
      </c>
      <c r="C52" s="79">
        <v>0</v>
      </c>
      <c r="D52" s="78">
        <v>0</v>
      </c>
      <c r="E52" s="91">
        <v>0</v>
      </c>
      <c r="F52" s="91">
        <v>0</v>
      </c>
      <c r="G52" s="91">
        <v>0</v>
      </c>
      <c r="H52" s="91">
        <v>30</v>
      </c>
      <c r="I52" s="91">
        <v>90.6</v>
      </c>
      <c r="J52" s="91">
        <v>182.41199999999998</v>
      </c>
      <c r="K52" s="91">
        <v>276.06024000000002</v>
      </c>
      <c r="L52" s="91">
        <v>401.58144480000004</v>
      </c>
      <c r="M52" s="91">
        <v>521.5814448000001</v>
      </c>
      <c r="N52" s="91">
        <v>622.01307369600011</v>
      </c>
      <c r="O52" s="91">
        <v>694.45333516992014</v>
      </c>
      <c r="P52" s="91">
        <v>768.34240187331852</v>
      </c>
      <c r="Q52" s="91">
        <v>843.70924991078493</v>
      </c>
      <c r="R52" s="91">
        <v>890.58343490900063</v>
      </c>
      <c r="S52" s="91">
        <v>938.39510360718066</v>
      </c>
      <c r="T52" s="91">
        <v>987.16300567932433</v>
      </c>
      <c r="U52" s="91">
        <v>1036.9062657929107</v>
      </c>
      <c r="V52" s="91">
        <v>1087.644391108769</v>
      </c>
      <c r="W52" s="79">
        <v>1139.3972789309444</v>
      </c>
    </row>
    <row r="53" spans="1:23" x14ac:dyDescent="0.35">
      <c r="A53" s="71" t="s">
        <v>226</v>
      </c>
      <c r="B53" s="85">
        <f t="shared" ref="B53:W53" si="10">SUM(B40:B52)</f>
        <v>0</v>
      </c>
      <c r="C53" s="86">
        <f t="shared" si="10"/>
        <v>0</v>
      </c>
      <c r="D53" s="92">
        <f t="shared" si="10"/>
        <v>60</v>
      </c>
      <c r="E53" s="93">
        <f t="shared" si="10"/>
        <v>120</v>
      </c>
      <c r="F53" s="93">
        <f t="shared" si="10"/>
        <v>240</v>
      </c>
      <c r="G53" s="93">
        <f t="shared" si="10"/>
        <v>364.79999999999995</v>
      </c>
      <c r="H53" s="93">
        <f t="shared" si="10"/>
        <v>582.096</v>
      </c>
      <c r="I53" s="93">
        <f t="shared" si="10"/>
        <v>863.73792000000003</v>
      </c>
      <c r="J53" s="93">
        <f t="shared" si="10"/>
        <v>1211.0126784000001</v>
      </c>
      <c r="K53" s="93">
        <f t="shared" si="10"/>
        <v>1685.2329319680002</v>
      </c>
      <c r="L53" s="93">
        <f t="shared" si="10"/>
        <v>2078.9375906073601</v>
      </c>
      <c r="M53" s="93">
        <f t="shared" si="10"/>
        <v>2558.9375906073601</v>
      </c>
      <c r="N53" s="93">
        <f t="shared" si="10"/>
        <v>3030.1163424195074</v>
      </c>
      <c r="O53" s="93">
        <f t="shared" si="10"/>
        <v>3390.7186692678974</v>
      </c>
      <c r="P53" s="93">
        <f t="shared" si="10"/>
        <v>3668.5330426532555</v>
      </c>
      <c r="Q53" s="93">
        <f t="shared" si="10"/>
        <v>3981.9037035063216</v>
      </c>
      <c r="R53" s="93">
        <f t="shared" si="10"/>
        <v>4271.5417775764472</v>
      </c>
      <c r="S53" s="93">
        <f t="shared" si="10"/>
        <v>4536.9726131279758</v>
      </c>
      <c r="T53" s="93">
        <f t="shared" si="10"/>
        <v>4777.7120653905358</v>
      </c>
      <c r="U53" s="93">
        <f t="shared" si="10"/>
        <v>5143.2663066983459</v>
      </c>
      <c r="V53" s="93">
        <f t="shared" si="10"/>
        <v>5456.1316328323146</v>
      </c>
      <c r="W53" s="94">
        <f t="shared" si="10"/>
        <v>5745.2542654889594</v>
      </c>
    </row>
    <row r="55" spans="1:23" x14ac:dyDescent="0.35"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</row>
    <row r="56" spans="1:23" x14ac:dyDescent="0.35"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'C:\Users\549847\AppData\Local\Microsoft\Windows\INetCache\Content.Outlook\RO6V1WHK\[Nilgiris Business Model v9 120922_convergent.xlsb]Guidelines F'!#REF!</xm:f>
          </x14:formula1>
          <xm:sqref>A4:A16 A22:A34 A40:A52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U73"/>
  <sheetViews>
    <sheetView zoomScale="90" zoomScaleNormal="90" workbookViewId="0">
      <pane xSplit="2" ySplit="9" topLeftCell="C26" activePane="bottomRight" state="frozen"/>
      <selection pane="topRight" activeCell="C1" sqref="C1"/>
      <selection pane="bottomLeft" activeCell="A9" sqref="A9"/>
      <selection pane="bottomRight" activeCell="I34" sqref="I34"/>
    </sheetView>
  </sheetViews>
  <sheetFormatPr defaultRowHeight="14.5" x14ac:dyDescent="0.35"/>
  <cols>
    <col min="2" max="2" width="29.1796875" bestFit="1" customWidth="1"/>
    <col min="3" max="5" width="10.1796875" customWidth="1"/>
    <col min="6" max="7" width="10" customWidth="1"/>
    <col min="8" max="8" width="9.26953125" bestFit="1" customWidth="1"/>
    <col min="9" max="9" width="9.453125" bestFit="1" customWidth="1"/>
    <col min="10" max="13" width="10.1796875" bestFit="1" customWidth="1"/>
    <col min="14" max="15" width="10" bestFit="1" customWidth="1"/>
  </cols>
  <sheetData>
    <row r="1" spans="1:21" x14ac:dyDescent="0.35">
      <c r="C1" s="25"/>
      <c r="D1" s="25"/>
      <c r="E1" s="25"/>
      <c r="F1" s="25"/>
      <c r="G1" s="25"/>
      <c r="H1" s="33">
        <f>I1/12*2</f>
        <v>697.58341762346572</v>
      </c>
      <c r="I1" s="25">
        <f>I7-I8</f>
        <v>4185.5005057407943</v>
      </c>
      <c r="J1" s="25">
        <f t="shared" ref="J1:O1" si="0">J7-J8</f>
        <v>4813.3728589069306</v>
      </c>
      <c r="K1" s="25">
        <f t="shared" si="0"/>
        <v>5631.4516164035513</v>
      </c>
      <c r="L1" s="25">
        <f t="shared" si="0"/>
        <v>6561.3581893689479</v>
      </c>
      <c r="M1" s="25">
        <f t="shared" si="0"/>
        <v>7574.2221634469061</v>
      </c>
      <c r="N1" s="25" t="e">
        <f t="shared" si="0"/>
        <v>#REF!</v>
      </c>
      <c r="O1" s="25" t="e">
        <f t="shared" si="0"/>
        <v>#REF!</v>
      </c>
    </row>
    <row r="2" spans="1:21" x14ac:dyDescent="0.35">
      <c r="B2" s="8"/>
      <c r="C2" s="8" t="s">
        <v>12</v>
      </c>
      <c r="D2" s="8" t="s">
        <v>11</v>
      </c>
      <c r="E2" s="8" t="s">
        <v>10</v>
      </c>
      <c r="F2" s="8" t="s">
        <v>9</v>
      </c>
      <c r="G2" s="8" t="s">
        <v>8</v>
      </c>
      <c r="H2" s="1" t="s">
        <v>0</v>
      </c>
      <c r="I2" s="34" t="s">
        <v>1</v>
      </c>
      <c r="J2" s="34" t="s">
        <v>2</v>
      </c>
      <c r="K2" s="34" t="s">
        <v>3</v>
      </c>
      <c r="L2" s="34" t="s">
        <v>4</v>
      </c>
      <c r="M2" s="34" t="s">
        <v>5</v>
      </c>
      <c r="N2" s="34" t="s">
        <v>6</v>
      </c>
      <c r="O2" s="34" t="s">
        <v>7</v>
      </c>
      <c r="Q2" s="1" t="s">
        <v>0</v>
      </c>
      <c r="R2" s="39" t="s">
        <v>1</v>
      </c>
      <c r="S2" s="39" t="s">
        <v>2</v>
      </c>
      <c r="T2" s="39" t="s">
        <v>3</v>
      </c>
      <c r="U2" s="39" t="s">
        <v>4</v>
      </c>
    </row>
    <row r="3" spans="1:21" x14ac:dyDescent="0.35">
      <c r="B3" s="8" t="s">
        <v>235</v>
      </c>
      <c r="C3" s="8">
        <v>171</v>
      </c>
      <c r="D3" s="8">
        <v>155</v>
      </c>
      <c r="E3" s="8">
        <v>128</v>
      </c>
      <c r="F3" s="8">
        <v>111</v>
      </c>
      <c r="G3" s="8">
        <v>99</v>
      </c>
      <c r="H3" s="1">
        <v>83</v>
      </c>
      <c r="I3" s="39">
        <v>96</v>
      </c>
      <c r="J3" s="39">
        <v>138</v>
      </c>
      <c r="K3" s="39">
        <v>190</v>
      </c>
      <c r="L3" s="39">
        <v>218</v>
      </c>
      <c r="M3" s="39">
        <v>245</v>
      </c>
      <c r="N3" s="39"/>
      <c r="O3" s="39"/>
      <c r="Q3">
        <f>I3-H3</f>
        <v>13</v>
      </c>
      <c r="R3">
        <f t="shared" ref="R3:U3" si="1">J3-I3</f>
        <v>42</v>
      </c>
      <c r="S3">
        <f t="shared" si="1"/>
        <v>52</v>
      </c>
      <c r="T3">
        <f t="shared" si="1"/>
        <v>28</v>
      </c>
      <c r="U3">
        <f t="shared" si="1"/>
        <v>27</v>
      </c>
    </row>
    <row r="4" spans="1:21" x14ac:dyDescent="0.35">
      <c r="B4" s="8" t="s">
        <v>326</v>
      </c>
      <c r="C4" s="8"/>
      <c r="D4" s="8"/>
      <c r="E4" s="8"/>
      <c r="F4" s="8"/>
      <c r="G4" s="8"/>
      <c r="H4" s="1"/>
      <c r="I4" s="39"/>
      <c r="J4" s="39"/>
      <c r="K4" s="39"/>
      <c r="L4" s="39"/>
      <c r="M4" s="39"/>
      <c r="N4" s="39"/>
      <c r="O4" s="39"/>
    </row>
    <row r="5" spans="1:21" x14ac:dyDescent="0.35">
      <c r="B5" s="8" t="s">
        <v>233</v>
      </c>
      <c r="C5" s="26">
        <v>22041.771682199997</v>
      </c>
      <c r="D5" s="26">
        <v>23424.5592259</v>
      </c>
      <c r="E5" s="26">
        <v>16877.162276900002</v>
      </c>
      <c r="F5" s="26">
        <v>5545.6074887000004</v>
      </c>
      <c r="G5" s="26">
        <v>5722.0133070000002</v>
      </c>
      <c r="H5" s="101">
        <v>3788.6158406</v>
      </c>
      <c r="I5" s="100">
        <f>'P&amp;L_New Nilgiris'!I4</f>
        <v>5023.9406752256127</v>
      </c>
      <c r="J5" s="100">
        <f>'P&amp;L_New Nilgiris'!J4</f>
        <v>5777.1676483481751</v>
      </c>
      <c r="K5" s="100">
        <f>'P&amp;L_New Nilgiris'!K4</f>
        <v>6747.9582971829932</v>
      </c>
      <c r="L5" s="100">
        <f>'P&amp;L_New Nilgiris'!L4</f>
        <v>7861.3165611412933</v>
      </c>
      <c r="M5" s="100">
        <f>'P&amp;L_New Nilgiris'!M4</f>
        <v>9084.1202961754225</v>
      </c>
      <c r="N5" s="39"/>
      <c r="O5" s="39"/>
    </row>
    <row r="6" spans="1:21" x14ac:dyDescent="0.35">
      <c r="B6" s="8" t="s">
        <v>234</v>
      </c>
      <c r="C6" s="26">
        <v>1033.1504</v>
      </c>
      <c r="D6" s="26">
        <v>1108.9683790000001</v>
      </c>
      <c r="E6" s="26">
        <v>985.50273549999997</v>
      </c>
      <c r="F6" s="26">
        <v>736.27440879999995</v>
      </c>
      <c r="G6" s="26">
        <v>742.54401260000009</v>
      </c>
      <c r="H6" s="101">
        <v>560.58415939999986</v>
      </c>
      <c r="I6" s="100">
        <f>'GM Buildup'!I117</f>
        <v>720.99119131907901</v>
      </c>
      <c r="J6" s="100">
        <f>'GM Buildup'!J117</f>
        <v>867.59031045098709</v>
      </c>
      <c r="K6" s="100">
        <f>'GM Buildup'!K117</f>
        <v>1022.5274664960858</v>
      </c>
      <c r="L6" s="100">
        <f>'GM Buildup'!L117</f>
        <v>1101.2459664960857</v>
      </c>
      <c r="M6" s="100">
        <f>'GM Buildup'!M117</f>
        <v>1268.6234068956944</v>
      </c>
      <c r="N6" s="39"/>
      <c r="O6" s="39"/>
    </row>
    <row r="7" spans="1:21" x14ac:dyDescent="0.35">
      <c r="A7">
        <v>15</v>
      </c>
      <c r="B7" s="3" t="s">
        <v>13</v>
      </c>
      <c r="C7" s="26">
        <f t="shared" ref="C7:G7" si="2">SUM(C5:C6)</f>
        <v>23074.922082199995</v>
      </c>
      <c r="D7" s="26">
        <f t="shared" si="2"/>
        <v>24533.527604900002</v>
      </c>
      <c r="E7" s="26">
        <f t="shared" si="2"/>
        <v>17862.665012400001</v>
      </c>
      <c r="F7" s="26">
        <f t="shared" si="2"/>
        <v>6281.8818975000004</v>
      </c>
      <c r="G7" s="26">
        <f t="shared" si="2"/>
        <v>6464.5573196000005</v>
      </c>
      <c r="H7" s="102">
        <f>SUM(H5:H6)</f>
        <v>4349.2</v>
      </c>
      <c r="I7" s="26">
        <f t="shared" ref="I7:M7" si="3">SUM(I5:I6)</f>
        <v>5744.9318665446917</v>
      </c>
      <c r="J7" s="26">
        <f t="shared" si="3"/>
        <v>6644.7579587991622</v>
      </c>
      <c r="K7" s="26">
        <f t="shared" si="3"/>
        <v>7770.4857636790794</v>
      </c>
      <c r="L7" s="26">
        <f t="shared" si="3"/>
        <v>8962.5625276373794</v>
      </c>
      <c r="M7" s="26">
        <f t="shared" si="3"/>
        <v>10352.743703071117</v>
      </c>
      <c r="N7" s="26" t="e">
        <f>'P&amp;L_New Nilgiris'!#REF!</f>
        <v>#REF!</v>
      </c>
      <c r="O7" s="26" t="e">
        <f>'P&amp;L_New Nilgiris'!#REF!</f>
        <v>#REF!</v>
      </c>
    </row>
    <row r="8" spans="1:21" x14ac:dyDescent="0.35">
      <c r="A8" s="25"/>
      <c r="B8" s="3" t="s">
        <v>14</v>
      </c>
      <c r="C8" s="26">
        <v>5216.5506633999976</v>
      </c>
      <c r="D8" s="26">
        <v>4735.7050527999963</v>
      </c>
      <c r="E8" s="26">
        <v>2749.1841721000001</v>
      </c>
      <c r="F8" s="26">
        <v>1476.83</v>
      </c>
      <c r="G8" s="26">
        <v>1662.3330857000001</v>
      </c>
      <c r="H8" s="9">
        <f>SUM('GM Buildup'!H18:H22)+'GM Buildup'!H117</f>
        <v>1166.4421717191751</v>
      </c>
      <c r="I8" s="10">
        <f>SUM('GM Buildup'!I18:I22)+'GM Buildup'!I117+SUM('GM Buildup'!I58:I62)</f>
        <v>1559.4313608038972</v>
      </c>
      <c r="J8" s="10">
        <f>SUM('GM Buildup'!J18:J22)+'GM Buildup'!J117+SUM('GM Buildup'!J58:J62)</f>
        <v>1831.3850998922312</v>
      </c>
      <c r="K8" s="10">
        <f>SUM('GM Buildup'!K18:K22)+'GM Buildup'!K117+SUM('GM Buildup'!K58:K62)</f>
        <v>2139.0341472755281</v>
      </c>
      <c r="L8" s="10">
        <f>SUM('GM Buildup'!L18:L22)+'GM Buildup'!L117+SUM('GM Buildup'!L58:L62)</f>
        <v>2401.204338268431</v>
      </c>
      <c r="M8" s="10">
        <f>SUM('GM Buildup'!M18:M22)+'GM Buildup'!M117+SUM('GM Buildup'!M58:M62)</f>
        <v>2778.5215396242115</v>
      </c>
      <c r="N8" s="26" t="e">
        <f>'P&amp;L_New Nilgiris'!#REF!</f>
        <v>#REF!</v>
      </c>
      <c r="O8" s="26" t="e">
        <f>'P&amp;L_New Nilgiris'!#REF!</f>
        <v>#REF!</v>
      </c>
      <c r="P8">
        <v>1343.8051088048928</v>
      </c>
      <c r="Q8" s="30">
        <f>P8-H6</f>
        <v>783.22094940489296</v>
      </c>
      <c r="R8">
        <f>Q8/H5</f>
        <v>0.2067301047025277</v>
      </c>
    </row>
    <row r="9" spans="1:21" x14ac:dyDescent="0.35">
      <c r="A9" s="33"/>
      <c r="B9" s="4" t="s">
        <v>15</v>
      </c>
      <c r="C9" s="11">
        <f t="shared" ref="C9:O9" si="4">C8/C7</f>
        <v>0.2260701312367181</v>
      </c>
      <c r="D9" s="11">
        <f t="shared" si="4"/>
        <v>0.19302992741468411</v>
      </c>
      <c r="E9" s="11">
        <f t="shared" si="4"/>
        <v>0.15390671941681472</v>
      </c>
      <c r="F9" s="11">
        <f t="shared" si="4"/>
        <v>0.23509356337751808</v>
      </c>
      <c r="G9" s="11">
        <f t="shared" si="4"/>
        <v>0.25714569513676433</v>
      </c>
      <c r="H9" s="11">
        <f t="shared" si="4"/>
        <v>0.26819694925944432</v>
      </c>
      <c r="I9" s="12">
        <f t="shared" si="4"/>
        <v>0.27144470935942056</v>
      </c>
      <c r="J9" s="12">
        <f t="shared" si="4"/>
        <v>0.27561351538276324</v>
      </c>
      <c r="K9" s="12">
        <f t="shared" si="4"/>
        <v>0.27527676033766557</v>
      </c>
      <c r="L9" s="12">
        <f t="shared" si="4"/>
        <v>0.26791493290718638</v>
      </c>
      <c r="M9" s="12">
        <f t="shared" si="4"/>
        <v>0.26838504065351965</v>
      </c>
      <c r="N9" s="12" t="e">
        <f t="shared" si="4"/>
        <v>#REF!</v>
      </c>
      <c r="O9" s="12" t="e">
        <f t="shared" si="4"/>
        <v>#REF!</v>
      </c>
    </row>
    <row r="10" spans="1:21" x14ac:dyDescent="0.35">
      <c r="B10" s="4" t="s">
        <v>16</v>
      </c>
      <c r="C10" s="27"/>
      <c r="D10" s="27"/>
      <c r="E10" s="27"/>
      <c r="F10" s="27"/>
      <c r="G10" s="27"/>
      <c r="H10" s="13"/>
      <c r="I10" s="14"/>
      <c r="J10" s="14"/>
      <c r="K10" s="14"/>
      <c r="L10" s="14"/>
      <c r="M10" s="14"/>
      <c r="N10" s="14"/>
      <c r="O10" s="14"/>
    </row>
    <row r="11" spans="1:21" x14ac:dyDescent="0.35">
      <c r="B11" s="5" t="s">
        <v>17</v>
      </c>
      <c r="C11" s="27"/>
      <c r="D11" s="27"/>
      <c r="E11" s="27"/>
      <c r="F11" s="27"/>
      <c r="G11" s="27"/>
      <c r="H11" s="13"/>
      <c r="I11" s="14"/>
      <c r="J11" s="14"/>
      <c r="K11" s="14"/>
      <c r="L11" s="14"/>
      <c r="M11" s="14"/>
      <c r="N11" s="14"/>
      <c r="O11" s="14"/>
    </row>
    <row r="12" spans="1:21" x14ac:dyDescent="0.35">
      <c r="B12" s="5" t="s">
        <v>18</v>
      </c>
      <c r="C12" s="27"/>
      <c r="D12" s="27"/>
      <c r="E12" s="27"/>
      <c r="F12" s="27"/>
      <c r="G12" s="27"/>
      <c r="H12" s="13"/>
      <c r="I12" s="14"/>
      <c r="J12" s="14"/>
      <c r="K12" s="14"/>
      <c r="L12" s="14"/>
      <c r="M12" s="14"/>
      <c r="N12" s="14"/>
      <c r="O12" s="14"/>
    </row>
    <row r="13" spans="1:21" x14ac:dyDescent="0.35">
      <c r="B13" s="4" t="s">
        <v>19</v>
      </c>
      <c r="C13" s="28">
        <f>C8-C11-C12</f>
        <v>5216.5506633999976</v>
      </c>
      <c r="D13" s="28">
        <f>D8-D11-D12</f>
        <v>4735.7050527999963</v>
      </c>
      <c r="E13" s="28">
        <f>E8-E11-E12</f>
        <v>2749.1841721000001</v>
      </c>
      <c r="F13" s="28">
        <f>F8-F11-F12</f>
        <v>1476.83</v>
      </c>
      <c r="G13" s="28">
        <f>G8-G11-G12</f>
        <v>1662.3330857000001</v>
      </c>
      <c r="H13" s="9">
        <f t="shared" ref="H13:O13" si="5">H8-H11-H12</f>
        <v>1166.4421717191751</v>
      </c>
      <c r="I13" s="10">
        <f t="shared" si="5"/>
        <v>1559.4313608038972</v>
      </c>
      <c r="J13" s="10">
        <f t="shared" si="5"/>
        <v>1831.3850998922312</v>
      </c>
      <c r="K13" s="10">
        <f t="shared" si="5"/>
        <v>2139.0341472755281</v>
      </c>
      <c r="L13" s="10">
        <f t="shared" si="5"/>
        <v>2401.204338268431</v>
      </c>
      <c r="M13" s="10">
        <f t="shared" si="5"/>
        <v>2778.5215396242115</v>
      </c>
      <c r="N13" s="10" t="e">
        <f t="shared" si="5"/>
        <v>#REF!</v>
      </c>
      <c r="O13" s="10" t="e">
        <f t="shared" si="5"/>
        <v>#REF!</v>
      </c>
    </row>
    <row r="14" spans="1:21" x14ac:dyDescent="0.35">
      <c r="B14" s="4" t="s">
        <v>20</v>
      </c>
      <c r="C14" s="11">
        <f t="shared" ref="C14:O14" si="6">C13/C7</f>
        <v>0.2260701312367181</v>
      </c>
      <c r="D14" s="11">
        <f t="shared" si="6"/>
        <v>0.19302992741468411</v>
      </c>
      <c r="E14" s="11">
        <f t="shared" si="6"/>
        <v>0.15390671941681472</v>
      </c>
      <c r="F14" s="11">
        <f t="shared" si="6"/>
        <v>0.23509356337751808</v>
      </c>
      <c r="G14" s="11">
        <f t="shared" si="6"/>
        <v>0.25714569513676433</v>
      </c>
      <c r="H14" s="11">
        <f t="shared" si="6"/>
        <v>0.26819694925944432</v>
      </c>
      <c r="I14" s="12">
        <f t="shared" si="6"/>
        <v>0.27144470935942056</v>
      </c>
      <c r="J14" s="12">
        <f t="shared" si="6"/>
        <v>0.27561351538276324</v>
      </c>
      <c r="K14" s="12">
        <f t="shared" si="6"/>
        <v>0.27527676033766557</v>
      </c>
      <c r="L14" s="12">
        <f t="shared" si="6"/>
        <v>0.26791493290718638</v>
      </c>
      <c r="M14" s="12">
        <f t="shared" si="6"/>
        <v>0.26838504065351965</v>
      </c>
      <c r="N14" s="12" t="e">
        <f t="shared" si="6"/>
        <v>#REF!</v>
      </c>
      <c r="O14" s="12" t="e">
        <f t="shared" si="6"/>
        <v>#REF!</v>
      </c>
    </row>
    <row r="15" spans="1:21" x14ac:dyDescent="0.35">
      <c r="B15" s="5" t="s">
        <v>21</v>
      </c>
      <c r="C15" s="27"/>
      <c r="D15" s="27"/>
      <c r="E15" s="27"/>
      <c r="F15" s="27"/>
      <c r="G15" s="27"/>
      <c r="H15" s="15"/>
      <c r="I15" s="10"/>
      <c r="J15" s="10"/>
      <c r="K15" s="10"/>
      <c r="L15" s="8"/>
      <c r="M15" s="8"/>
      <c r="N15" s="8"/>
      <c r="O15" s="8"/>
    </row>
    <row r="16" spans="1:21" x14ac:dyDescent="0.35">
      <c r="A16" s="222">
        <f>5.7*12</f>
        <v>68.400000000000006</v>
      </c>
      <c r="B16" s="223" t="s">
        <v>327</v>
      </c>
      <c r="C16" s="27">
        <f>'Other operating cost - No use'!D20+'Other operating cost - No use'!D9</f>
        <v>2610.3995596999998</v>
      </c>
      <c r="D16" s="27">
        <f>'Other operating cost - No use'!E20+'Other operating cost - No use'!E9</f>
        <v>2517.3200608399998</v>
      </c>
      <c r="E16" s="27">
        <f>'Other operating cost - No use'!F20+'Other operating cost - No use'!F9</f>
        <v>1981.8510165999999</v>
      </c>
      <c r="F16" s="27">
        <f>'Other operating cost - No use'!G20+'Other operating cost - No use'!G9</f>
        <v>976.21456720000003</v>
      </c>
      <c r="G16" s="27">
        <f>'Other operating cost - No use'!H20+'Other operating cost - No use'!H9</f>
        <v>941.34845009999992</v>
      </c>
      <c r="H16" s="9">
        <v>301.45999999999998</v>
      </c>
      <c r="I16" s="10">
        <f>I5*3.92%</f>
        <v>196.93847446884402</v>
      </c>
      <c r="J16" s="10">
        <f>J5*3.81%</f>
        <v>220.11008740206549</v>
      </c>
      <c r="K16" s="10">
        <f>K5*3.68%</f>
        <v>248.32486533633414</v>
      </c>
      <c r="L16" s="10">
        <f>L5*3.7%</f>
        <v>290.86871276222791</v>
      </c>
      <c r="M16" s="10">
        <f>M5*4.1%</f>
        <v>372.44893214319228</v>
      </c>
      <c r="N16" s="10">
        <f>M16*105%</f>
        <v>391.07137875035193</v>
      </c>
      <c r="O16" s="10">
        <f>N16*105%</f>
        <v>410.62494768786956</v>
      </c>
      <c r="P16" s="33"/>
      <c r="Q16" s="115"/>
      <c r="R16" s="115"/>
      <c r="S16" s="115"/>
      <c r="T16" s="115"/>
      <c r="U16" s="115"/>
    </row>
    <row r="17" spans="1:21" x14ac:dyDescent="0.35">
      <c r="A17" s="40"/>
      <c r="B17" s="41" t="s">
        <v>22</v>
      </c>
      <c r="C17" s="27"/>
      <c r="D17" s="27"/>
      <c r="E17" s="27"/>
      <c r="F17" s="27"/>
      <c r="G17" s="27"/>
      <c r="H17" s="9">
        <v>262.38</v>
      </c>
      <c r="I17" s="10">
        <f>I5*2.86%</f>
        <v>143.68470331145252</v>
      </c>
      <c r="J17" s="10">
        <f>J5*2.63%</f>
        <v>151.93950915155702</v>
      </c>
      <c r="K17" s="10">
        <f>K5*1.84%</f>
        <v>124.16243266816707</v>
      </c>
      <c r="L17" s="10">
        <f>L5*1.93%</f>
        <v>151.72340963002694</v>
      </c>
      <c r="M17" s="10">
        <f>M5*1.93%</f>
        <v>175.32352171618564</v>
      </c>
      <c r="N17" s="10">
        <f>M17*110%</f>
        <v>192.85587388780422</v>
      </c>
      <c r="O17" s="10">
        <f>N17*110%</f>
        <v>212.14146127658466</v>
      </c>
      <c r="P17" s="33"/>
      <c r="Q17" s="103"/>
      <c r="R17" s="103"/>
      <c r="S17" s="103"/>
      <c r="T17" s="103"/>
      <c r="U17" s="103"/>
    </row>
    <row r="18" spans="1:21" x14ac:dyDescent="0.35">
      <c r="B18" s="6" t="s">
        <v>23</v>
      </c>
      <c r="C18" s="29">
        <f t="shared" ref="C18:O18" si="7">C16+C17</f>
        <v>2610.3995596999998</v>
      </c>
      <c r="D18" s="29">
        <f t="shared" si="7"/>
        <v>2517.3200608399998</v>
      </c>
      <c r="E18" s="29">
        <f t="shared" si="7"/>
        <v>1981.8510165999999</v>
      </c>
      <c r="F18" s="29">
        <f t="shared" si="7"/>
        <v>976.21456720000003</v>
      </c>
      <c r="G18" s="29">
        <f t="shared" si="7"/>
        <v>941.34845009999992</v>
      </c>
      <c r="H18" s="16">
        <f t="shared" si="7"/>
        <v>563.83999999999992</v>
      </c>
      <c r="I18" s="17">
        <f t="shared" si="7"/>
        <v>340.62317778029654</v>
      </c>
      <c r="J18" s="17">
        <f t="shared" si="7"/>
        <v>372.04959655362251</v>
      </c>
      <c r="K18" s="17">
        <f t="shared" si="7"/>
        <v>372.48729800450121</v>
      </c>
      <c r="L18" s="17">
        <f t="shared" si="7"/>
        <v>442.59212239225485</v>
      </c>
      <c r="M18" s="17">
        <f t="shared" si="7"/>
        <v>547.77245385937795</v>
      </c>
      <c r="N18" s="17">
        <f t="shared" si="7"/>
        <v>583.92725263815612</v>
      </c>
      <c r="O18" s="17">
        <f t="shared" si="7"/>
        <v>622.76640896445429</v>
      </c>
    </row>
    <row r="19" spans="1:21" x14ac:dyDescent="0.35">
      <c r="B19" s="6" t="s">
        <v>24</v>
      </c>
      <c r="C19" s="11">
        <f t="shared" ref="C19:O19" si="8">C18/C7</f>
        <v>0.11312712348067529</v>
      </c>
      <c r="D19" s="11">
        <f t="shared" si="8"/>
        <v>0.1026073421393026</v>
      </c>
      <c r="E19" s="11">
        <f t="shared" si="8"/>
        <v>0.11094934687652866</v>
      </c>
      <c r="F19" s="11">
        <f t="shared" si="8"/>
        <v>0.15540161103450609</v>
      </c>
      <c r="G19" s="11">
        <f t="shared" si="8"/>
        <v>0.14561684637645794</v>
      </c>
      <c r="H19" s="11">
        <f t="shared" si="8"/>
        <v>0.12964223305435482</v>
      </c>
      <c r="I19" s="12">
        <f t="shared" si="8"/>
        <v>5.9291073539774718E-2</v>
      </c>
      <c r="J19" s="12">
        <f t="shared" si="8"/>
        <v>5.5991444513181207E-2</v>
      </c>
      <c r="K19" s="12">
        <f t="shared" si="8"/>
        <v>4.7936166326381667E-2</v>
      </c>
      <c r="L19" s="12">
        <f t="shared" si="8"/>
        <v>4.9382319066389437E-2</v>
      </c>
      <c r="M19" s="12">
        <f t="shared" si="8"/>
        <v>5.2910848521912364E-2</v>
      </c>
      <c r="N19" s="12" t="e">
        <f t="shared" si="8"/>
        <v>#REF!</v>
      </c>
      <c r="O19" s="12" t="e">
        <f t="shared" si="8"/>
        <v>#REF!</v>
      </c>
    </row>
    <row r="20" spans="1:21" x14ac:dyDescent="0.35">
      <c r="A20" s="40"/>
    </row>
    <row r="21" spans="1:21" x14ac:dyDescent="0.35">
      <c r="B21" s="6" t="s">
        <v>26</v>
      </c>
      <c r="C21" s="9">
        <f>C18+C25</f>
        <v>2610.3995596999998</v>
      </c>
      <c r="D21" s="9">
        <f>D18+D25</f>
        <v>2517.3200608399998</v>
      </c>
      <c r="E21" s="9">
        <f>E18+E25</f>
        <v>1981.8510165999999</v>
      </c>
      <c r="F21" s="9">
        <f>F18+F25</f>
        <v>976.21456720000003</v>
      </c>
      <c r="G21" s="9">
        <f>G18+G25</f>
        <v>941.34845009999992</v>
      </c>
      <c r="H21" s="9">
        <f>H18</f>
        <v>563.83999999999992</v>
      </c>
      <c r="I21" s="10">
        <f t="shared" ref="I21:O21" si="9">I18</f>
        <v>340.62317778029654</v>
      </c>
      <c r="J21" s="10">
        <f t="shared" si="9"/>
        <v>372.04959655362251</v>
      </c>
      <c r="K21" s="10">
        <f t="shared" si="9"/>
        <v>372.48729800450121</v>
      </c>
      <c r="L21" s="10">
        <f t="shared" si="9"/>
        <v>442.59212239225485</v>
      </c>
      <c r="M21" s="10">
        <f t="shared" si="9"/>
        <v>547.77245385937795</v>
      </c>
      <c r="N21" s="10">
        <f t="shared" si="9"/>
        <v>583.92725263815612</v>
      </c>
      <c r="O21" s="10">
        <f t="shared" si="9"/>
        <v>622.76640896445429</v>
      </c>
    </row>
    <row r="22" spans="1:21" x14ac:dyDescent="0.35">
      <c r="B22" s="7" t="s">
        <v>27</v>
      </c>
      <c r="C22" s="16">
        <f>C13-C21</f>
        <v>2606.1511036999977</v>
      </c>
      <c r="D22" s="16">
        <f>D13-D21</f>
        <v>2218.3849919599966</v>
      </c>
      <c r="E22" s="16">
        <f>E13-E21</f>
        <v>767.3331555000002</v>
      </c>
      <c r="F22" s="16">
        <f>F13-F21</f>
        <v>500.61543279999989</v>
      </c>
      <c r="G22" s="16">
        <f>G13-G21</f>
        <v>720.98463560000016</v>
      </c>
      <c r="H22" s="16">
        <f t="shared" ref="H22:O22" si="10">H13-H21</f>
        <v>602.6021717191752</v>
      </c>
      <c r="I22" s="17">
        <f t="shared" si="10"/>
        <v>1218.8081830236006</v>
      </c>
      <c r="J22" s="17">
        <f t="shared" si="10"/>
        <v>1459.3355033386088</v>
      </c>
      <c r="K22" s="17">
        <f t="shared" si="10"/>
        <v>1766.546849271027</v>
      </c>
      <c r="L22" s="17">
        <f t="shared" si="10"/>
        <v>1958.6122158761762</v>
      </c>
      <c r="M22" s="17">
        <f t="shared" si="10"/>
        <v>2230.7490857648336</v>
      </c>
      <c r="N22" s="17" t="e">
        <f t="shared" si="10"/>
        <v>#REF!</v>
      </c>
      <c r="O22" s="17" t="e">
        <f t="shared" si="10"/>
        <v>#REF!</v>
      </c>
    </row>
    <row r="23" spans="1:21" x14ac:dyDescent="0.35">
      <c r="B23" s="4" t="s">
        <v>28</v>
      </c>
      <c r="C23" s="11">
        <f>C22/C7</f>
        <v>0.11294300775604282</v>
      </c>
      <c r="D23" s="11">
        <f>D22/D7</f>
        <v>9.0422585275381509E-2</v>
      </c>
      <c r="E23" s="11">
        <f>E22/E7</f>
        <v>4.2957372540286053E-2</v>
      </c>
      <c r="F23" s="11">
        <f>F22/F7</f>
        <v>7.9691952343012018E-2</v>
      </c>
      <c r="G23" s="11">
        <f>G22/G7</f>
        <v>0.1115288487603064</v>
      </c>
      <c r="H23" s="11">
        <f t="shared" ref="H23:O23" si="11">H22/H7</f>
        <v>0.1385547162050895</v>
      </c>
      <c r="I23" s="12">
        <f t="shared" si="11"/>
        <v>0.2121536358196458</v>
      </c>
      <c r="J23" s="12">
        <f t="shared" si="11"/>
        <v>0.21962207086958202</v>
      </c>
      <c r="K23" s="12">
        <f t="shared" si="11"/>
        <v>0.2273405940112839</v>
      </c>
      <c r="L23" s="12">
        <f t="shared" si="11"/>
        <v>0.21853261384079692</v>
      </c>
      <c r="M23" s="12">
        <f t="shared" si="11"/>
        <v>0.21547419213160732</v>
      </c>
      <c r="N23" s="12" t="e">
        <f t="shared" si="11"/>
        <v>#REF!</v>
      </c>
      <c r="O23" s="12" t="e">
        <f t="shared" si="11"/>
        <v>#REF!</v>
      </c>
    </row>
    <row r="24" spans="1:21" x14ac:dyDescent="0.35">
      <c r="B24" s="3" t="s">
        <v>29</v>
      </c>
      <c r="C24" s="8"/>
      <c r="D24" s="8"/>
      <c r="E24" s="8"/>
      <c r="F24" s="8"/>
      <c r="G24" s="8"/>
      <c r="H24" s="15"/>
      <c r="I24" s="10"/>
      <c r="J24" s="8"/>
      <c r="K24" s="10"/>
      <c r="L24" s="8"/>
      <c r="M24" s="8"/>
      <c r="N24" s="8"/>
      <c r="O24" s="8"/>
    </row>
    <row r="25" spans="1:21" x14ac:dyDescent="0.35">
      <c r="B25" s="41" t="s">
        <v>328</v>
      </c>
      <c r="C25" s="8"/>
      <c r="D25" s="8"/>
      <c r="E25" s="8"/>
      <c r="F25" s="8"/>
      <c r="G25" s="8"/>
      <c r="H25" s="15"/>
      <c r="I25" s="10">
        <v>84</v>
      </c>
      <c r="J25" s="10">
        <v>134.922</v>
      </c>
      <c r="K25" s="10">
        <v>147.22800000000001</v>
      </c>
      <c r="L25" s="10">
        <v>173.31</v>
      </c>
      <c r="M25" s="10">
        <v>195.5652</v>
      </c>
      <c r="N25" s="10">
        <v>215.12172000000001</v>
      </c>
      <c r="O25" s="10">
        <v>236.63389200000003</v>
      </c>
    </row>
    <row r="26" spans="1:21" x14ac:dyDescent="0.35">
      <c r="A26" s="113">
        <f>H26</f>
        <v>280</v>
      </c>
      <c r="B26" s="8" t="s">
        <v>329</v>
      </c>
      <c r="C26" s="27">
        <v>1937.3599400000001</v>
      </c>
      <c r="D26" s="27">
        <v>1475.9378643</v>
      </c>
      <c r="E26" s="27">
        <v>691.78161709999995</v>
      </c>
      <c r="F26" s="27">
        <v>385.53</v>
      </c>
      <c r="G26" s="27">
        <v>314.58287000000001</v>
      </c>
      <c r="H26" s="9">
        <v>280</v>
      </c>
      <c r="I26" s="10">
        <v>606.20000000000005</v>
      </c>
      <c r="J26" s="10">
        <f>I26*1.1</f>
        <v>666.82</v>
      </c>
      <c r="K26" s="10">
        <f t="shared" ref="K26:O26" si="12">J26*1.1</f>
        <v>733.50200000000007</v>
      </c>
      <c r="L26" s="10">
        <f t="shared" si="12"/>
        <v>806.85220000000015</v>
      </c>
      <c r="M26" s="10">
        <f t="shared" si="12"/>
        <v>887.53742000000022</v>
      </c>
      <c r="N26" s="10">
        <f t="shared" si="12"/>
        <v>976.29116200000033</v>
      </c>
      <c r="O26" s="10">
        <f t="shared" si="12"/>
        <v>1073.9202782000004</v>
      </c>
    </row>
    <row r="27" spans="1:21" x14ac:dyDescent="0.35">
      <c r="B27" s="8" t="s">
        <v>31</v>
      </c>
      <c r="C27" s="27">
        <v>0</v>
      </c>
      <c r="D27" s="27">
        <v>59.951951700000002</v>
      </c>
      <c r="E27" s="27">
        <v>21.306374900000002</v>
      </c>
      <c r="F27" s="27">
        <v>-0.25</v>
      </c>
      <c r="G27" s="27">
        <v>2.2558317000000003</v>
      </c>
      <c r="H27" s="9">
        <v>0</v>
      </c>
      <c r="I27" s="10">
        <f>384*0+1431</f>
        <v>1431</v>
      </c>
      <c r="J27" s="10">
        <f>552*0+I27*110%</f>
        <v>1574.1000000000001</v>
      </c>
      <c r="K27" s="10">
        <f>760*0+J27*110%</f>
        <v>1731.5100000000002</v>
      </c>
      <c r="L27" s="10">
        <f>872*0+K27*110%</f>
        <v>1904.6610000000003</v>
      </c>
      <c r="M27" s="10">
        <f>980*0+L27*110%</f>
        <v>2095.1271000000006</v>
      </c>
      <c r="N27" s="10">
        <f>980*0+M27*110%</f>
        <v>2304.639810000001</v>
      </c>
      <c r="O27" s="10">
        <f>980*0+N27*110%</f>
        <v>2535.1037910000014</v>
      </c>
    </row>
    <row r="28" spans="1:21" x14ac:dyDescent="0.35">
      <c r="A28" s="40"/>
      <c r="B28" s="42" t="s">
        <v>32</v>
      </c>
      <c r="C28" s="27">
        <f>'Other operating cost - No use'!D22</f>
        <v>821.21414199999992</v>
      </c>
      <c r="D28" s="27">
        <f>'Other operating cost - No use'!E22</f>
        <v>749.11878726000009</v>
      </c>
      <c r="E28" s="27">
        <f>'Other operating cost - No use'!F22</f>
        <v>708.95658530000003</v>
      </c>
      <c r="F28" s="27">
        <f>'Other operating cost - No use'!G22</f>
        <v>474.8592941</v>
      </c>
      <c r="G28" s="27">
        <f>'Other operating cost - No use'!H22</f>
        <v>445.91396070000002</v>
      </c>
      <c r="H28" s="9">
        <v>199.8</v>
      </c>
      <c r="I28" s="10">
        <v>188.11800000000005</v>
      </c>
      <c r="J28" s="10">
        <v>197.52390000000005</v>
      </c>
      <c r="K28" s="10">
        <v>207.40009500000008</v>
      </c>
      <c r="L28" s="10">
        <v>217.7700997500001</v>
      </c>
      <c r="M28" s="10">
        <v>228.65860473750013</v>
      </c>
      <c r="N28" s="10">
        <v>228.65860473750013</v>
      </c>
      <c r="O28" s="10">
        <v>228.65860473750013</v>
      </c>
    </row>
    <row r="29" spans="1:21" hidden="1" x14ac:dyDescent="0.35">
      <c r="B29" s="7" t="s">
        <v>33</v>
      </c>
      <c r="C29" s="29">
        <f>C22-SUM(C26:C28)</f>
        <v>-152.42297830000234</v>
      </c>
      <c r="D29" s="29">
        <f>D22-SUM(D26:D28)</f>
        <v>-66.623611300003631</v>
      </c>
      <c r="E29" s="29">
        <f>E22-SUM(E26:E28)</f>
        <v>-654.71142179999993</v>
      </c>
      <c r="F29" s="29">
        <f>F22-SUM(F26:F28)</f>
        <v>-359.52386130000002</v>
      </c>
      <c r="G29" s="29">
        <f>G22-SUM(G26:G28)</f>
        <v>-41.768026799999802</v>
      </c>
      <c r="H29" s="16">
        <f>H22-SUM(H25:H28)</f>
        <v>122.80217171917519</v>
      </c>
      <c r="I29" s="17">
        <f t="shared" ref="I29:O29" si="13">I22-SUM(I25:I28)</f>
        <v>-1090.5098169763992</v>
      </c>
      <c r="J29" s="17">
        <f t="shared" si="13"/>
        <v>-1114.0303966613915</v>
      </c>
      <c r="K29" s="17">
        <f t="shared" si="13"/>
        <v>-1053.0932457289732</v>
      </c>
      <c r="L29" s="17">
        <f t="shared" si="13"/>
        <v>-1143.9810838738247</v>
      </c>
      <c r="M29" s="17">
        <f t="shared" si="13"/>
        <v>-1176.139238972667</v>
      </c>
      <c r="N29" s="17" t="e">
        <f t="shared" si="13"/>
        <v>#REF!</v>
      </c>
      <c r="O29" s="17" t="e">
        <f t="shared" si="13"/>
        <v>#REF!</v>
      </c>
    </row>
    <row r="30" spans="1:21" hidden="1" x14ac:dyDescent="0.35">
      <c r="B30" s="4" t="s">
        <v>28</v>
      </c>
      <c r="C30" s="11">
        <f>C29/C7</f>
        <v>-6.6055684936670491E-3</v>
      </c>
      <c r="D30" s="11">
        <f>D29/D7</f>
        <v>-2.715614826083841E-3</v>
      </c>
      <c r="E30" s="11">
        <f>E29/E7</f>
        <v>-3.6652505174648284E-2</v>
      </c>
      <c r="F30" s="11">
        <f>F29/F7</f>
        <v>-5.7231872099200033E-2</v>
      </c>
      <c r="G30" s="11">
        <f>G29/G7</f>
        <v>-6.4610807415014506E-3</v>
      </c>
      <c r="H30" s="11">
        <f t="shared" ref="H30:O30" si="14">H29/H7</f>
        <v>2.8235577053061529E-2</v>
      </c>
      <c r="I30" s="12">
        <f t="shared" si="14"/>
        <v>-0.1898211923672978</v>
      </c>
      <c r="J30" s="12">
        <f t="shared" si="14"/>
        <v>-0.16765552689337063</v>
      </c>
      <c r="K30" s="12">
        <f t="shared" si="14"/>
        <v>-0.13552476354198567</v>
      </c>
      <c r="L30" s="12">
        <f t="shared" si="14"/>
        <v>-0.12763995568747116</v>
      </c>
      <c r="M30" s="12">
        <f t="shared" si="14"/>
        <v>-0.11360652525607952</v>
      </c>
      <c r="N30" s="12" t="e">
        <f t="shared" si="14"/>
        <v>#REF!</v>
      </c>
      <c r="O30" s="12" t="e">
        <f t="shared" si="14"/>
        <v>#REF!</v>
      </c>
    </row>
    <row r="31" spans="1:21" x14ac:dyDescent="0.35">
      <c r="B31" s="3" t="s">
        <v>34</v>
      </c>
      <c r="C31" s="8"/>
      <c r="D31" s="8"/>
      <c r="E31" s="8"/>
      <c r="F31" s="8"/>
      <c r="G31" s="8"/>
      <c r="H31" s="15"/>
      <c r="I31" s="8"/>
      <c r="J31" s="8"/>
      <c r="K31" s="8"/>
      <c r="L31" s="8"/>
      <c r="M31" s="8"/>
      <c r="N31" s="8"/>
      <c r="O31" s="8"/>
    </row>
    <row r="32" spans="1:21" x14ac:dyDescent="0.35">
      <c r="A32" s="40"/>
      <c r="B32" s="42" t="s">
        <v>35</v>
      </c>
      <c r="C32" s="27"/>
      <c r="D32" s="27"/>
      <c r="E32" s="27"/>
      <c r="F32" s="27"/>
      <c r="G32" s="27"/>
      <c r="H32" s="9">
        <v>181</v>
      </c>
      <c r="I32" s="10">
        <v>381</v>
      </c>
      <c r="J32" s="10">
        <f>I32*1.1</f>
        <v>419.1</v>
      </c>
      <c r="K32" s="10">
        <f t="shared" ref="K32:O32" si="15">J32*1.1</f>
        <v>461.01000000000005</v>
      </c>
      <c r="L32" s="10">
        <f t="shared" si="15"/>
        <v>507.1110000000001</v>
      </c>
      <c r="M32" s="10">
        <f t="shared" si="15"/>
        <v>557.82210000000021</v>
      </c>
      <c r="N32" s="10">
        <f t="shared" si="15"/>
        <v>613.60431000000028</v>
      </c>
      <c r="O32" s="10">
        <f t="shared" si="15"/>
        <v>674.96474100000034</v>
      </c>
      <c r="Q32">
        <f>I32*2</f>
        <v>762</v>
      </c>
    </row>
    <row r="33" spans="1:15" x14ac:dyDescent="0.35">
      <c r="A33" s="40"/>
      <c r="B33" s="42" t="s">
        <v>36</v>
      </c>
      <c r="C33" s="27"/>
      <c r="D33" s="27"/>
      <c r="E33" s="27"/>
      <c r="F33" s="27"/>
      <c r="G33" s="27"/>
      <c r="H33" s="9">
        <f>5*12</f>
        <v>60</v>
      </c>
      <c r="I33" s="10">
        <f>H33*1.1</f>
        <v>66</v>
      </c>
      <c r="J33" s="10">
        <f t="shared" ref="J33:O33" si="16">I33*1.1</f>
        <v>72.600000000000009</v>
      </c>
      <c r="K33" s="10">
        <f t="shared" si="16"/>
        <v>79.860000000000014</v>
      </c>
      <c r="L33" s="10">
        <f t="shared" si="16"/>
        <v>87.846000000000018</v>
      </c>
      <c r="M33" s="10">
        <f t="shared" si="16"/>
        <v>96.63060000000003</v>
      </c>
      <c r="N33" s="10">
        <f t="shared" si="16"/>
        <v>106.29366000000005</v>
      </c>
      <c r="O33" s="10">
        <f t="shared" si="16"/>
        <v>116.92302600000006</v>
      </c>
    </row>
    <row r="34" spans="1:15" x14ac:dyDescent="0.35">
      <c r="A34" s="40"/>
      <c r="B34" s="108" t="s">
        <v>244</v>
      </c>
      <c r="C34" s="109"/>
      <c r="D34" s="109"/>
      <c r="E34" s="109"/>
      <c r="F34" s="109"/>
      <c r="G34" s="109"/>
      <c r="H34" s="110">
        <f t="shared" ref="H34:O34" si="17">H18+H25+H26+H27+H28+H32+H33</f>
        <v>1284.6399999999999</v>
      </c>
      <c r="I34" s="110">
        <f t="shared" si="17"/>
        <v>3096.9411777802966</v>
      </c>
      <c r="J34" s="110">
        <f t="shared" si="17"/>
        <v>3437.1154965536225</v>
      </c>
      <c r="K34" s="110">
        <f t="shared" si="17"/>
        <v>3732.9973930045016</v>
      </c>
      <c r="L34" s="110">
        <f t="shared" si="17"/>
        <v>4140.1424221422558</v>
      </c>
      <c r="M34" s="110">
        <f t="shared" si="17"/>
        <v>4609.1134785968798</v>
      </c>
      <c r="N34" s="110">
        <f t="shared" si="17"/>
        <v>5028.5365193756588</v>
      </c>
      <c r="O34" s="110">
        <f t="shared" si="17"/>
        <v>5488.9707419019578</v>
      </c>
    </row>
    <row r="35" spans="1:15" x14ac:dyDescent="0.35">
      <c r="A35" s="40"/>
      <c r="B35" s="112" t="s">
        <v>245</v>
      </c>
      <c r="C35" s="109"/>
      <c r="D35" s="109"/>
      <c r="E35" s="109"/>
      <c r="F35" s="109"/>
      <c r="G35" s="109"/>
      <c r="H35" s="111">
        <f>H34/H7</f>
        <v>0.29537386185965231</v>
      </c>
      <c r="I35" s="111">
        <f t="shared" ref="I35:O35" si="18">I34/I7</f>
        <v>0.53907361300752243</v>
      </c>
      <c r="J35" s="111">
        <f t="shared" si="18"/>
        <v>0.51726722295461558</v>
      </c>
      <c r="K35" s="111">
        <f t="shared" si="18"/>
        <v>0.48040721089192823</v>
      </c>
      <c r="L35" s="111">
        <f t="shared" si="18"/>
        <v>0.46193735434207772</v>
      </c>
      <c r="M35" s="111">
        <f t="shared" si="18"/>
        <v>0.44520695293843671</v>
      </c>
      <c r="N35" s="111" t="e">
        <f t="shared" si="18"/>
        <v>#REF!</v>
      </c>
      <c r="O35" s="111" t="e">
        <f t="shared" si="18"/>
        <v>#REF!</v>
      </c>
    </row>
    <row r="36" spans="1:15" x14ac:dyDescent="0.35">
      <c r="B36" s="3" t="s">
        <v>37</v>
      </c>
      <c r="C36" s="29">
        <f>C29-SUM(C32:C33)</f>
        <v>-152.42297830000234</v>
      </c>
      <c r="D36" s="29">
        <f>D29-SUM(D32:D33)</f>
        <v>-66.623611300003631</v>
      </c>
      <c r="E36" s="29">
        <f>E29-SUM(E32:E33)</f>
        <v>-654.71142179999993</v>
      </c>
      <c r="F36" s="29">
        <f>F29-SUM(F32:F33)</f>
        <v>-359.52386130000002</v>
      </c>
      <c r="G36" s="29">
        <f>G29-SUM(G32:G33)</f>
        <v>-41.768026799999802</v>
      </c>
      <c r="H36" s="18">
        <f t="shared" ref="H36:O36" si="19">H29-SUM(H32:H33)</f>
        <v>-118.19782828082481</v>
      </c>
      <c r="I36" s="19">
        <f t="shared" si="19"/>
        <v>-1537.5098169763992</v>
      </c>
      <c r="J36" s="19">
        <f t="shared" si="19"/>
        <v>-1605.7303966613915</v>
      </c>
      <c r="K36" s="19">
        <f t="shared" si="19"/>
        <v>-1593.9632457289733</v>
      </c>
      <c r="L36" s="19">
        <f t="shared" si="19"/>
        <v>-1738.9380838738248</v>
      </c>
      <c r="M36" s="19">
        <f t="shared" si="19"/>
        <v>-1830.5919389726673</v>
      </c>
      <c r="N36" s="19" t="e">
        <f t="shared" si="19"/>
        <v>#REF!</v>
      </c>
      <c r="O36" s="19" t="e">
        <f t="shared" si="19"/>
        <v>#REF!</v>
      </c>
    </row>
    <row r="37" spans="1:15" x14ac:dyDescent="0.35">
      <c r="B37" s="4" t="s">
        <v>28</v>
      </c>
      <c r="C37" s="11">
        <f>C36/C7</f>
        <v>-6.6055684936670491E-3</v>
      </c>
      <c r="D37" s="11">
        <f>D36/D7</f>
        <v>-2.715614826083841E-3</v>
      </c>
      <c r="E37" s="11">
        <f>E36/E7</f>
        <v>-3.6652505174648284E-2</v>
      </c>
      <c r="F37" s="11">
        <f>F36/F7</f>
        <v>-5.7231872099200033E-2</v>
      </c>
      <c r="G37" s="11">
        <f>G36/G7</f>
        <v>-6.4610807415014506E-3</v>
      </c>
      <c r="H37" s="11">
        <f t="shared" ref="H37:O37" si="20">H36/H7</f>
        <v>-2.7176912600208041E-2</v>
      </c>
      <c r="I37" s="12">
        <f t="shared" si="20"/>
        <v>-0.26762890364810182</v>
      </c>
      <c r="J37" s="12">
        <f t="shared" si="20"/>
        <v>-0.24165370757185239</v>
      </c>
      <c r="K37" s="12">
        <f t="shared" si="20"/>
        <v>-0.20513045055426266</v>
      </c>
      <c r="L37" s="12">
        <f t="shared" si="20"/>
        <v>-0.19402242143489137</v>
      </c>
      <c r="M37" s="12">
        <f t="shared" si="20"/>
        <v>-0.17682191228491695</v>
      </c>
      <c r="N37" s="12" t="e">
        <f t="shared" si="20"/>
        <v>#REF!</v>
      </c>
      <c r="O37" s="12" t="e">
        <f t="shared" si="20"/>
        <v>#REF!</v>
      </c>
    </row>
    <row r="38" spans="1:15" x14ac:dyDescent="0.35">
      <c r="B38" s="8" t="s">
        <v>58</v>
      </c>
      <c r="C38" s="27">
        <v>121.2846</v>
      </c>
      <c r="D38" s="27">
        <v>107.0376445</v>
      </c>
      <c r="E38" s="27">
        <f>112.8052571-E53</f>
        <v>77.588862543004709</v>
      </c>
      <c r="F38" s="27">
        <f>304.22-F53-F55</f>
        <v>46.380000000000052</v>
      </c>
      <c r="G38" s="27">
        <f>241.4161853-G53-G55</f>
        <v>94.346185299999988</v>
      </c>
      <c r="H38" s="43"/>
      <c r="I38" s="43"/>
      <c r="J38" s="43"/>
      <c r="K38" s="43"/>
      <c r="L38" s="43"/>
      <c r="M38" s="43"/>
      <c r="N38" s="43"/>
      <c r="O38" s="43"/>
    </row>
    <row r="39" spans="1:15" x14ac:dyDescent="0.35">
      <c r="B39" s="8" t="s">
        <v>52</v>
      </c>
      <c r="C39" s="27">
        <v>481.46970219999997</v>
      </c>
      <c r="D39" s="27">
        <v>466.64918799999998</v>
      </c>
      <c r="E39" s="27">
        <f>558.8782724-E51</f>
        <v>449.29827240000003</v>
      </c>
      <c r="F39" s="27">
        <f>487.82-F51</f>
        <v>394.37</v>
      </c>
      <c r="G39" s="27">
        <f>177.3049509-G51</f>
        <v>173.78495089999998</v>
      </c>
      <c r="H39" s="43">
        <f>G39</f>
        <v>173.78495089999998</v>
      </c>
      <c r="I39" s="43">
        <f t="shared" ref="I39:O39" si="21">H39</f>
        <v>173.78495089999998</v>
      </c>
      <c r="J39" s="43">
        <f t="shared" si="21"/>
        <v>173.78495089999998</v>
      </c>
      <c r="K39" s="43">
        <f t="shared" si="21"/>
        <v>173.78495089999998</v>
      </c>
      <c r="L39" s="43">
        <f t="shared" si="21"/>
        <v>173.78495089999998</v>
      </c>
      <c r="M39" s="43">
        <f t="shared" si="21"/>
        <v>173.78495089999998</v>
      </c>
      <c r="N39" s="43">
        <f t="shared" si="21"/>
        <v>173.78495089999998</v>
      </c>
      <c r="O39" s="43">
        <f t="shared" si="21"/>
        <v>173.78495089999998</v>
      </c>
    </row>
    <row r="40" spans="1:15" x14ac:dyDescent="0.35">
      <c r="B40" s="8" t="s">
        <v>53</v>
      </c>
      <c r="C40" s="27">
        <f>C36+C38-C39</f>
        <v>-512.6080805000023</v>
      </c>
      <c r="D40" s="27">
        <f t="shared" ref="D40:O40" si="22">D36+D38-D39</f>
        <v>-426.23515480000361</v>
      </c>
      <c r="E40" s="27">
        <f t="shared" si="22"/>
        <v>-1026.4208316569952</v>
      </c>
      <c r="F40" s="27">
        <f t="shared" si="22"/>
        <v>-707.51386129999992</v>
      </c>
      <c r="G40" s="27">
        <f t="shared" si="22"/>
        <v>-121.2067923999998</v>
      </c>
      <c r="H40" s="27">
        <f t="shared" si="22"/>
        <v>-291.98277918082476</v>
      </c>
      <c r="I40" s="27">
        <f t="shared" si="22"/>
        <v>-1711.2947678763992</v>
      </c>
      <c r="J40" s="27">
        <f t="shared" si="22"/>
        <v>-1779.5153475613915</v>
      </c>
      <c r="K40" s="27">
        <f t="shared" si="22"/>
        <v>-1767.7481966289733</v>
      </c>
      <c r="L40" s="27">
        <f t="shared" si="22"/>
        <v>-1912.7230347738248</v>
      </c>
      <c r="M40" s="27">
        <f t="shared" si="22"/>
        <v>-2004.3768898726673</v>
      </c>
      <c r="N40" s="27" t="e">
        <f t="shared" si="22"/>
        <v>#REF!</v>
      </c>
      <c r="O40" s="27" t="e">
        <f t="shared" si="22"/>
        <v>#REF!</v>
      </c>
    </row>
    <row r="41" spans="1:15" x14ac:dyDescent="0.35">
      <c r="B41" s="8" t="s">
        <v>54</v>
      </c>
      <c r="C41" s="27">
        <v>895.80078000000003</v>
      </c>
      <c r="D41" s="27">
        <v>1197.7687353000001</v>
      </c>
      <c r="E41" s="27">
        <f>1524.4187483-E52</f>
        <v>1323.8487483000001</v>
      </c>
      <c r="F41" s="27">
        <f>1438.33-F52</f>
        <v>1295.06</v>
      </c>
      <c r="G41" s="27">
        <f>1269.9597-G52</f>
        <v>1222.5897000000002</v>
      </c>
      <c r="H41" s="43"/>
      <c r="I41" s="43"/>
      <c r="J41" s="43"/>
      <c r="K41" s="43"/>
      <c r="L41" s="43"/>
      <c r="M41" s="43"/>
      <c r="N41" s="43"/>
      <c r="O41" s="43"/>
    </row>
    <row r="42" spans="1:15" x14ac:dyDescent="0.35">
      <c r="B42" s="8" t="s">
        <v>55</v>
      </c>
      <c r="C42" s="27">
        <f>C40-C41</f>
        <v>-1408.4088605000024</v>
      </c>
      <c r="D42" s="27">
        <f t="shared" ref="D42:O42" si="23">D40-D41</f>
        <v>-1624.0038901000037</v>
      </c>
      <c r="E42" s="27">
        <f t="shared" si="23"/>
        <v>-2350.2695799569956</v>
      </c>
      <c r="F42" s="27">
        <f t="shared" si="23"/>
        <v>-2002.5738612999999</v>
      </c>
      <c r="G42" s="27">
        <f t="shared" si="23"/>
        <v>-1343.7964924</v>
      </c>
      <c r="H42" s="27">
        <f t="shared" si="23"/>
        <v>-291.98277918082476</v>
      </c>
      <c r="I42" s="27">
        <f t="shared" si="23"/>
        <v>-1711.2947678763992</v>
      </c>
      <c r="J42" s="27">
        <f t="shared" si="23"/>
        <v>-1779.5153475613915</v>
      </c>
      <c r="K42" s="27">
        <f t="shared" si="23"/>
        <v>-1767.7481966289733</v>
      </c>
      <c r="L42" s="27">
        <f t="shared" si="23"/>
        <v>-1912.7230347738248</v>
      </c>
      <c r="M42" s="27">
        <f t="shared" si="23"/>
        <v>-2004.3768898726673</v>
      </c>
      <c r="N42" s="27" t="e">
        <f t="shared" si="23"/>
        <v>#REF!</v>
      </c>
      <c r="O42" s="27" t="e">
        <f t="shared" si="23"/>
        <v>#REF!</v>
      </c>
    </row>
    <row r="43" spans="1:15" x14ac:dyDescent="0.35">
      <c r="B43" s="8" t="s">
        <v>56</v>
      </c>
      <c r="C43" s="27">
        <v>0</v>
      </c>
      <c r="D43" s="27">
        <v>77.418090000000007</v>
      </c>
      <c r="E43" s="27">
        <v>29.789541</v>
      </c>
      <c r="F43" s="27"/>
      <c r="G43" s="27">
        <v>2.6929099999999999</v>
      </c>
      <c r="H43" s="27">
        <v>200</v>
      </c>
      <c r="I43" s="27"/>
      <c r="J43" s="27"/>
      <c r="K43" s="27"/>
      <c r="L43" s="27"/>
      <c r="M43" s="27"/>
      <c r="N43" s="27"/>
      <c r="O43" s="27"/>
    </row>
    <row r="44" spans="1:15" x14ac:dyDescent="0.35">
      <c r="B44" s="8" t="s">
        <v>107</v>
      </c>
      <c r="C44" s="27">
        <v>0</v>
      </c>
      <c r="D44" s="27"/>
      <c r="E44" s="27">
        <v>-1049.0396204000001</v>
      </c>
      <c r="F44" s="27">
        <v>-100</v>
      </c>
      <c r="G44" s="27">
        <v>-5039.2225270999998</v>
      </c>
      <c r="H44" s="27"/>
      <c r="I44" s="27"/>
      <c r="J44" s="27"/>
      <c r="K44" s="27"/>
      <c r="L44" s="27"/>
      <c r="M44" s="27"/>
      <c r="N44" s="27"/>
      <c r="O44" s="27"/>
    </row>
    <row r="45" spans="1:15" x14ac:dyDescent="0.35">
      <c r="B45" s="8" t="s">
        <v>108</v>
      </c>
      <c r="C45" s="27">
        <v>-50.421817300000008</v>
      </c>
      <c r="D45" s="27">
        <v>-7.3325100000000001</v>
      </c>
      <c r="E45" s="27">
        <v>-1.8274070000000002</v>
      </c>
      <c r="F45" s="27">
        <v>6.47</v>
      </c>
      <c r="G45" s="27">
        <v>0.83786000000000005</v>
      </c>
      <c r="H45" s="27"/>
      <c r="I45" s="27"/>
      <c r="J45" s="27"/>
      <c r="K45" s="27"/>
      <c r="L45" s="27"/>
      <c r="M45" s="27"/>
      <c r="N45" s="27"/>
      <c r="O45" s="27"/>
    </row>
    <row r="46" spans="1:15" x14ac:dyDescent="0.35">
      <c r="B46" s="8" t="s">
        <v>167</v>
      </c>
      <c r="C46" s="27">
        <v>1.0822499999999999</v>
      </c>
      <c r="D46" s="27">
        <v>0</v>
      </c>
      <c r="E46" s="27">
        <v>2.0609995000000003</v>
      </c>
      <c r="F46" s="27">
        <v>257.83999999999997</v>
      </c>
      <c r="G46" s="27">
        <v>104.26</v>
      </c>
      <c r="H46" s="27"/>
      <c r="I46" s="27"/>
      <c r="J46" s="27"/>
      <c r="K46" s="27"/>
      <c r="L46" s="27"/>
      <c r="M46" s="27"/>
      <c r="N46" s="27"/>
      <c r="O46" s="27"/>
    </row>
    <row r="47" spans="1:15" x14ac:dyDescent="0.35">
      <c r="B47" s="8" t="s">
        <v>168</v>
      </c>
      <c r="C47" s="27">
        <f>SUM(C63:C66)</f>
        <v>197.62057000000001</v>
      </c>
      <c r="D47" s="27">
        <f t="shared" ref="D47:G47" si="24">SUM(D63:D66)</f>
        <v>548.79143090000002</v>
      </c>
      <c r="E47" s="27">
        <f t="shared" si="24"/>
        <v>309.20081199999998</v>
      </c>
      <c r="F47" s="27">
        <f t="shared" si="24"/>
        <v>1342.6</v>
      </c>
      <c r="G47" s="27">
        <f t="shared" si="24"/>
        <v>748.25623029999997</v>
      </c>
      <c r="H47" s="27"/>
      <c r="I47" s="27"/>
      <c r="J47" s="27"/>
      <c r="K47" s="27"/>
      <c r="L47" s="27"/>
      <c r="M47" s="27"/>
      <c r="N47" s="27">
        <f t="shared" ref="N47:O47" si="25">SUM(N63:N65)</f>
        <v>0</v>
      </c>
      <c r="O47" s="27">
        <f t="shared" si="25"/>
        <v>0</v>
      </c>
    </row>
    <row r="48" spans="1:15" x14ac:dyDescent="0.35">
      <c r="B48" s="8" t="s">
        <v>57</v>
      </c>
      <c r="C48" s="27">
        <f t="shared" ref="C48:D48" si="26">C42-C43+C44+C45+C46-C47</f>
        <v>-1655.3689978000025</v>
      </c>
      <c r="D48" s="27">
        <f t="shared" si="26"/>
        <v>-2257.5459210000035</v>
      </c>
      <c r="E48" s="27">
        <f>E42-E43+E44+E45+E46-E47</f>
        <v>-3738.0659608569958</v>
      </c>
      <c r="F48" s="27">
        <f t="shared" ref="F48:G48" si="27">F42-F43+F44+F45+F46-F47</f>
        <v>-3180.8638613000003</v>
      </c>
      <c r="G48" s="27">
        <f t="shared" si="27"/>
        <v>-7028.870299799999</v>
      </c>
      <c r="H48" s="27">
        <f t="shared" ref="H48" si="28">H42-H43+H44+H45+H46-H47</f>
        <v>-491.98277918082476</v>
      </c>
      <c r="I48" s="27">
        <f t="shared" ref="I48" si="29">I42-I43+I44+I45+I46-I47</f>
        <v>-1711.2947678763992</v>
      </c>
      <c r="J48" s="27">
        <f>J42-J43+J44+J45+J46-J47</f>
        <v>-1779.5153475613915</v>
      </c>
      <c r="K48" s="27">
        <f t="shared" ref="K48" si="30">K42-K43+K44+K45+K46-K47</f>
        <v>-1767.7481966289733</v>
      </c>
      <c r="L48" s="27">
        <f t="shared" ref="L48" si="31">L42-L43+L44+L45+L46-L47</f>
        <v>-1912.7230347738248</v>
      </c>
      <c r="M48" s="27">
        <f t="shared" ref="M48" si="32">M42-M43+M44+M45+M46-M47</f>
        <v>-2004.3768898726673</v>
      </c>
      <c r="N48" s="27" t="e">
        <f t="shared" ref="N48" si="33">N42-N43+N44+N45+N46-N47</f>
        <v>#REF!</v>
      </c>
      <c r="O48" s="27" t="e">
        <f t="shared" ref="O48" si="34">O42-O43+O44+O45+O46-O47</f>
        <v>#REF!</v>
      </c>
    </row>
    <row r="49" spans="2:15" x14ac:dyDescent="0.35">
      <c r="H49">
        <f>1.2-428</f>
        <v>-426.8</v>
      </c>
    </row>
    <row r="50" spans="2:15" x14ac:dyDescent="0.35">
      <c r="B50" s="31" t="s">
        <v>109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2:15" x14ac:dyDescent="0.35">
      <c r="B51" t="s">
        <v>52</v>
      </c>
      <c r="E51">
        <v>109.58</v>
      </c>
      <c r="F51">
        <v>93.45</v>
      </c>
      <c r="G51" s="30">
        <v>3.52</v>
      </c>
    </row>
    <row r="52" spans="2:15" x14ac:dyDescent="0.35">
      <c r="B52" t="s">
        <v>110</v>
      </c>
      <c r="E52">
        <v>200.57</v>
      </c>
      <c r="F52">
        <v>143.27000000000001</v>
      </c>
      <c r="G52" s="30">
        <v>47.37</v>
      </c>
    </row>
    <row r="53" spans="2:15" x14ac:dyDescent="0.35">
      <c r="B53" t="s">
        <v>99</v>
      </c>
      <c r="E53" s="30">
        <v>35.216394556995297</v>
      </c>
      <c r="F53" s="30">
        <v>0</v>
      </c>
      <c r="G53" s="30">
        <v>42.81</v>
      </c>
    </row>
    <row r="54" spans="2:15" x14ac:dyDescent="0.35">
      <c r="B54" t="s">
        <v>111</v>
      </c>
      <c r="E54" s="30">
        <v>263.45</v>
      </c>
      <c r="F54" s="30">
        <v>155.63</v>
      </c>
      <c r="G54" s="30">
        <f>4713438/10^5</f>
        <v>47.13438</v>
      </c>
    </row>
    <row r="55" spans="2:15" x14ac:dyDescent="0.35">
      <c r="B55" t="s">
        <v>163</v>
      </c>
      <c r="E55" s="30">
        <v>0</v>
      </c>
      <c r="F55" s="30">
        <v>257.83999999999997</v>
      </c>
      <c r="G55" s="30">
        <v>104.26</v>
      </c>
    </row>
    <row r="57" spans="2:15" x14ac:dyDescent="0.35">
      <c r="C57" s="33">
        <f t="shared" ref="C57:F57" si="35">C48+C51+C52-C53-C54-C55</f>
        <v>-1655.3689978000025</v>
      </c>
      <c r="D57" s="33">
        <f t="shared" si="35"/>
        <v>-2257.5459210000035</v>
      </c>
      <c r="E57" s="33">
        <f t="shared" si="35"/>
        <v>-3726.5823554139911</v>
      </c>
      <c r="F57" s="33">
        <f t="shared" si="35"/>
        <v>-3357.6138613000007</v>
      </c>
      <c r="G57" s="33">
        <f>G48+G51+G52-G53-G54-G55</f>
        <v>-7172.1846797999997</v>
      </c>
    </row>
    <row r="59" spans="2:15" x14ac:dyDescent="0.35">
      <c r="B59" s="31" t="s">
        <v>45</v>
      </c>
      <c r="H59" s="113">
        <f t="shared" ref="H59:M59" si="36">H32+H26+H25+72+15</f>
        <v>548</v>
      </c>
      <c r="I59" s="113">
        <f t="shared" si="36"/>
        <v>1158.2</v>
      </c>
      <c r="J59" s="113">
        <f t="shared" si="36"/>
        <v>1307.8420000000001</v>
      </c>
      <c r="K59" s="113">
        <f t="shared" si="36"/>
        <v>1428.7400000000002</v>
      </c>
      <c r="L59" s="113">
        <f t="shared" si="36"/>
        <v>1574.2732000000001</v>
      </c>
      <c r="M59" s="113">
        <f t="shared" si="36"/>
        <v>1727.9247200000004</v>
      </c>
    </row>
    <row r="60" spans="2:15" x14ac:dyDescent="0.35">
      <c r="B60" s="116" t="s">
        <v>24</v>
      </c>
      <c r="H60" s="115">
        <f>H59/H7</f>
        <v>0.12600018394187437</v>
      </c>
      <c r="I60" s="115">
        <f t="shared" ref="I60:M60" si="37">I59/I7</f>
        <v>0.20160378345733163</v>
      </c>
      <c r="J60" s="115">
        <f t="shared" si="37"/>
        <v>0.1968231210390623</v>
      </c>
      <c r="K60" s="115">
        <f t="shared" si="37"/>
        <v>0.18386752687692165</v>
      </c>
      <c r="L60" s="115">
        <f t="shared" si="37"/>
        <v>0.17564989869197534</v>
      </c>
      <c r="M60" s="115">
        <f t="shared" si="37"/>
        <v>0.16690500311404557</v>
      </c>
    </row>
    <row r="61" spans="2:15" x14ac:dyDescent="0.35">
      <c r="B61" s="116" t="s">
        <v>249</v>
      </c>
      <c r="H61" s="115"/>
      <c r="I61" s="115">
        <f>I59/H59-1</f>
        <v>1.1135036496350366</v>
      </c>
      <c r="J61" s="115">
        <f t="shared" ref="J61:M61" si="38">J59/I59-1</f>
        <v>0.12920221032636858</v>
      </c>
      <c r="K61" s="115">
        <f t="shared" si="38"/>
        <v>9.2440830008517993E-2</v>
      </c>
      <c r="L61" s="115">
        <f t="shared" si="38"/>
        <v>0.10186122037599543</v>
      </c>
      <c r="M61" s="115">
        <f t="shared" si="38"/>
        <v>9.7601559881728583E-2</v>
      </c>
    </row>
    <row r="63" spans="2:15" x14ac:dyDescent="0.35">
      <c r="B63" s="32" t="s">
        <v>14</v>
      </c>
      <c r="C63" s="32">
        <v>60.4</v>
      </c>
      <c r="D63" s="32">
        <v>178.35120000000001</v>
      </c>
      <c r="E63" s="32">
        <v>40</v>
      </c>
      <c r="F63" s="32">
        <v>1339.54</v>
      </c>
      <c r="G63" s="32">
        <v>678.23</v>
      </c>
      <c r="H63" s="114">
        <f>H8</f>
        <v>1166.4421717191751</v>
      </c>
      <c r="I63" s="114">
        <f t="shared" ref="I63:M63" si="39">I8</f>
        <v>1559.4313608038972</v>
      </c>
      <c r="J63" s="114">
        <f t="shared" si="39"/>
        <v>1831.3850998922312</v>
      </c>
      <c r="K63" s="114">
        <f t="shared" si="39"/>
        <v>2139.0341472755281</v>
      </c>
      <c r="L63" s="114">
        <f t="shared" si="39"/>
        <v>2401.204338268431</v>
      </c>
      <c r="M63" s="114">
        <f t="shared" si="39"/>
        <v>2778.5215396242115</v>
      </c>
    </row>
    <row r="64" spans="2:15" x14ac:dyDescent="0.35">
      <c r="B64" s="30" t="s">
        <v>23</v>
      </c>
      <c r="C64" s="30">
        <v>0</v>
      </c>
      <c r="D64" s="30">
        <v>83.862530899999996</v>
      </c>
      <c r="E64" s="30">
        <v>0</v>
      </c>
      <c r="F64" s="30">
        <v>0</v>
      </c>
      <c r="G64" s="30">
        <v>0</v>
      </c>
      <c r="I64" s="113">
        <f>I18-H18</f>
        <v>-223.21682221970337</v>
      </c>
      <c r="J64" s="113">
        <f t="shared" ref="J64:M64" si="40">J18-I18</f>
        <v>31.426418773325963</v>
      </c>
      <c r="K64" s="113">
        <f t="shared" si="40"/>
        <v>0.4377014508787056</v>
      </c>
      <c r="L64" s="113">
        <f t="shared" si="40"/>
        <v>70.104824387753638</v>
      </c>
      <c r="M64" s="113">
        <f t="shared" si="40"/>
        <v>105.1803314671231</v>
      </c>
    </row>
    <row r="65" spans="2:13" x14ac:dyDescent="0.35">
      <c r="B65" s="30" t="s">
        <v>25</v>
      </c>
      <c r="C65" s="30">
        <v>0</v>
      </c>
      <c r="D65" s="30">
        <v>0</v>
      </c>
      <c r="E65" s="30">
        <v>-0.44067800000000001</v>
      </c>
      <c r="F65" s="30">
        <v>3.06</v>
      </c>
      <c r="G65" s="30">
        <v>70.026230300000009</v>
      </c>
      <c r="I65" s="113">
        <f>I25-H25</f>
        <v>84</v>
      </c>
      <c r="J65" s="113">
        <f>J25-I25</f>
        <v>50.921999999999997</v>
      </c>
      <c r="K65" s="113">
        <f>K25-J25</f>
        <v>12.306000000000012</v>
      </c>
      <c r="L65" s="113">
        <f>L25-K25</f>
        <v>26.081999999999994</v>
      </c>
      <c r="M65" s="113">
        <f>M25-L25</f>
        <v>22.255200000000002</v>
      </c>
    </row>
    <row r="66" spans="2:13" x14ac:dyDescent="0.35">
      <c r="B66" t="s">
        <v>30</v>
      </c>
      <c r="C66" s="30">
        <v>137.22057000000001</v>
      </c>
      <c r="D66" s="30">
        <v>286.57769999999999</v>
      </c>
      <c r="E66" s="30">
        <v>269.64148999999998</v>
      </c>
      <c r="F66" s="30">
        <v>0</v>
      </c>
      <c r="G66" s="30">
        <v>0</v>
      </c>
      <c r="I66" s="113">
        <f>I26-H26</f>
        <v>326.20000000000005</v>
      </c>
      <c r="J66" s="113">
        <f t="shared" ref="J66:M66" si="41">J26-I26</f>
        <v>60.620000000000005</v>
      </c>
      <c r="K66" s="113">
        <f t="shared" si="41"/>
        <v>66.682000000000016</v>
      </c>
      <c r="L66" s="113">
        <f t="shared" si="41"/>
        <v>73.350200000000086</v>
      </c>
      <c r="M66" s="113">
        <f t="shared" si="41"/>
        <v>80.685220000000072</v>
      </c>
    </row>
    <row r="67" spans="2:13" x14ac:dyDescent="0.35">
      <c r="B67" t="s">
        <v>31</v>
      </c>
      <c r="I67" s="113">
        <f>I27-H27</f>
        <v>1431</v>
      </c>
      <c r="J67" s="113">
        <f t="shared" ref="J67:M68" si="42">J27-I27</f>
        <v>143.10000000000014</v>
      </c>
      <c r="K67" s="113">
        <f t="shared" si="42"/>
        <v>157.41000000000008</v>
      </c>
      <c r="L67" s="113">
        <f t="shared" si="42"/>
        <v>173.15100000000007</v>
      </c>
      <c r="M67" s="113">
        <f t="shared" si="42"/>
        <v>190.46610000000032</v>
      </c>
    </row>
    <row r="68" spans="2:13" x14ac:dyDescent="0.35">
      <c r="B68" t="s">
        <v>32</v>
      </c>
      <c r="I68" s="113">
        <f>I28-H28</f>
        <v>-11.68199999999996</v>
      </c>
      <c r="J68" s="113">
        <f t="shared" si="42"/>
        <v>9.4059000000000026</v>
      </c>
      <c r="K68" s="113">
        <f t="shared" si="42"/>
        <v>9.876195000000024</v>
      </c>
      <c r="L68" s="113">
        <f t="shared" si="42"/>
        <v>10.370004750000021</v>
      </c>
      <c r="M68" s="113">
        <f t="shared" si="42"/>
        <v>10.888504987500028</v>
      </c>
    </row>
    <row r="69" spans="2:13" x14ac:dyDescent="0.35">
      <c r="B69" t="s">
        <v>246</v>
      </c>
      <c r="I69" s="113">
        <f>I32-H32</f>
        <v>200</v>
      </c>
      <c r="J69" s="113">
        <f t="shared" ref="J69:M69" si="43">J32-I32</f>
        <v>38.100000000000023</v>
      </c>
      <c r="K69" s="113">
        <f t="shared" si="43"/>
        <v>41.910000000000025</v>
      </c>
      <c r="L69" s="113">
        <f t="shared" si="43"/>
        <v>46.101000000000056</v>
      </c>
      <c r="M69" s="113">
        <f t="shared" si="43"/>
        <v>50.711100000000101</v>
      </c>
    </row>
    <row r="70" spans="2:13" x14ac:dyDescent="0.35">
      <c r="B70" t="s">
        <v>247</v>
      </c>
      <c r="I70" s="113">
        <f>I33-H33</f>
        <v>6</v>
      </c>
      <c r="J70" s="113">
        <f t="shared" ref="J70:M70" si="44">J33-I33</f>
        <v>6.6000000000000085</v>
      </c>
      <c r="K70" s="113">
        <f t="shared" si="44"/>
        <v>7.2600000000000051</v>
      </c>
      <c r="L70" s="113">
        <f t="shared" si="44"/>
        <v>7.9860000000000042</v>
      </c>
      <c r="M70" s="113">
        <f t="shared" si="44"/>
        <v>8.7846000000000117</v>
      </c>
    </row>
    <row r="71" spans="2:13" x14ac:dyDescent="0.35">
      <c r="B71" t="s">
        <v>248</v>
      </c>
      <c r="I71" s="113">
        <f>SUM(I64:I70)</f>
        <v>1812.3011777802967</v>
      </c>
      <c r="J71" s="113">
        <f t="shared" ref="J71:M71" si="45">SUM(J64:J70)</f>
        <v>340.17431877332615</v>
      </c>
      <c r="K71" s="113">
        <f t="shared" si="45"/>
        <v>295.88189645087886</v>
      </c>
      <c r="L71" s="113">
        <f t="shared" si="45"/>
        <v>407.14502913775385</v>
      </c>
      <c r="M71" s="113">
        <f t="shared" si="45"/>
        <v>468.97105645462364</v>
      </c>
    </row>
    <row r="72" spans="2:13" x14ac:dyDescent="0.35">
      <c r="B72" t="s">
        <v>244</v>
      </c>
      <c r="H72" s="113">
        <f>H34</f>
        <v>1284.6399999999999</v>
      </c>
      <c r="I72" s="113">
        <f>H72+I71</f>
        <v>3096.9411777802966</v>
      </c>
      <c r="J72" s="113">
        <f t="shared" ref="J72:M72" si="46">I72+J71</f>
        <v>3437.1154965536225</v>
      </c>
      <c r="K72" s="113">
        <f t="shared" si="46"/>
        <v>3732.9973930045012</v>
      </c>
      <c r="L72" s="113">
        <f t="shared" si="46"/>
        <v>4140.1424221422549</v>
      </c>
      <c r="M72" s="113">
        <f t="shared" si="46"/>
        <v>4609.1134785968788</v>
      </c>
    </row>
    <row r="73" spans="2:13" x14ac:dyDescent="0.35">
      <c r="H73" s="113">
        <f>H72-H34</f>
        <v>0</v>
      </c>
      <c r="I73" s="113">
        <f t="shared" ref="I73:M73" si="47">I72-I34</f>
        <v>0</v>
      </c>
      <c r="J73" s="113">
        <f t="shared" si="47"/>
        <v>0</v>
      </c>
      <c r="K73" s="113">
        <f t="shared" si="47"/>
        <v>0</v>
      </c>
      <c r="L73" s="113">
        <f t="shared" si="47"/>
        <v>0</v>
      </c>
      <c r="M73" s="113">
        <f t="shared" si="47"/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AB41"/>
  <sheetViews>
    <sheetView workbookViewId="0">
      <pane xSplit="2" ySplit="3" topLeftCell="D34" activePane="bottomRight" state="frozen"/>
      <selection pane="topRight" activeCell="C1" sqref="C1"/>
      <selection pane="bottomLeft" activeCell="A4" sqref="A4"/>
      <selection pane="bottomRight" activeCell="I6" sqref="I6"/>
    </sheetView>
  </sheetViews>
  <sheetFormatPr defaultColWidth="9.1796875" defaultRowHeight="12" x14ac:dyDescent="0.3"/>
  <cols>
    <col min="1" max="1" width="9.1796875" style="46"/>
    <col min="2" max="2" width="6.54296875" style="46" customWidth="1"/>
    <col min="3" max="3" width="10.81640625" style="46" bestFit="1" customWidth="1"/>
    <col min="4" max="4" width="17.26953125" style="46" customWidth="1"/>
    <col min="5" max="5" width="10.81640625" style="46" customWidth="1"/>
    <col min="6" max="6" width="11.54296875" style="46" bestFit="1" customWidth="1"/>
    <col min="7" max="7" width="9.81640625" style="46" bestFit="1" customWidth="1"/>
    <col min="8" max="8" width="9.81640625" style="46" customWidth="1"/>
    <col min="9" max="9" width="10" style="46" bestFit="1" customWidth="1"/>
    <col min="10" max="10" width="10.1796875" style="46" customWidth="1"/>
    <col min="11" max="14" width="9.26953125" style="46" bestFit="1" customWidth="1"/>
    <col min="15" max="15" width="9.26953125" style="46" customWidth="1"/>
    <col min="16" max="21" width="9.26953125" style="46" bestFit="1" customWidth="1"/>
    <col min="22" max="22" width="9.26953125" style="46" customWidth="1"/>
    <col min="23" max="23" width="10.54296875" style="46" customWidth="1"/>
    <col min="24" max="16384" width="9.1796875" style="46"/>
  </cols>
  <sheetData>
    <row r="2" spans="2:28" x14ac:dyDescent="0.3">
      <c r="B2" s="45"/>
      <c r="C2" s="45"/>
      <c r="D2" s="45"/>
      <c r="E2" s="45"/>
      <c r="F2" s="45"/>
      <c r="G2" s="45"/>
      <c r="H2" s="45"/>
      <c r="I2" s="45"/>
      <c r="J2" s="45"/>
      <c r="K2" s="376" t="s">
        <v>169</v>
      </c>
      <c r="L2" s="376"/>
      <c r="M2" s="376"/>
      <c r="N2" s="376"/>
      <c r="O2" s="376"/>
      <c r="P2" s="376"/>
      <c r="Q2" s="376" t="s">
        <v>275</v>
      </c>
      <c r="R2" s="376"/>
      <c r="S2" s="376"/>
      <c r="T2" s="376"/>
      <c r="U2" s="376"/>
      <c r="V2" s="377" t="s">
        <v>270</v>
      </c>
      <c r="W2" s="376" t="s">
        <v>254</v>
      </c>
      <c r="X2" s="376"/>
      <c r="Y2" s="376"/>
      <c r="Z2" s="376"/>
      <c r="AA2" s="376"/>
      <c r="AB2" s="373" t="s">
        <v>253</v>
      </c>
    </row>
    <row r="3" spans="2:28" ht="60" x14ac:dyDescent="0.3">
      <c r="B3" s="47" t="s">
        <v>42</v>
      </c>
      <c r="C3" s="48" t="s">
        <v>170</v>
      </c>
      <c r="D3" s="48" t="s">
        <v>252</v>
      </c>
      <c r="E3" s="48" t="s">
        <v>237</v>
      </c>
      <c r="F3" s="48" t="s">
        <v>171</v>
      </c>
      <c r="G3" s="48" t="s">
        <v>69</v>
      </c>
      <c r="H3" s="48" t="s">
        <v>232</v>
      </c>
      <c r="I3" s="48" t="s">
        <v>68</v>
      </c>
      <c r="J3" s="48"/>
      <c r="K3" s="48" t="s">
        <v>60</v>
      </c>
      <c r="L3" s="48" t="s">
        <v>61</v>
      </c>
      <c r="M3" s="48" t="s">
        <v>62</v>
      </c>
      <c r="N3" s="48" t="s">
        <v>63</v>
      </c>
      <c r="O3" s="48" t="s">
        <v>256</v>
      </c>
      <c r="P3" s="48" t="s">
        <v>172</v>
      </c>
      <c r="Q3" s="48" t="s">
        <v>60</v>
      </c>
      <c r="R3" s="48" t="s">
        <v>61</v>
      </c>
      <c r="S3" s="48" t="s">
        <v>62</v>
      </c>
      <c r="T3" s="48" t="s">
        <v>63</v>
      </c>
      <c r="U3" s="48" t="s">
        <v>172</v>
      </c>
      <c r="V3" s="378"/>
      <c r="W3" s="48" t="s">
        <v>40</v>
      </c>
      <c r="X3" s="48" t="s">
        <v>65</v>
      </c>
      <c r="Y3" s="48" t="s">
        <v>66</v>
      </c>
      <c r="Z3" s="48" t="s">
        <v>255</v>
      </c>
      <c r="AA3" s="48" t="s">
        <v>257</v>
      </c>
      <c r="AB3" s="373"/>
    </row>
    <row r="4" spans="2:28" ht="13" x14ac:dyDescent="0.3">
      <c r="B4" s="45" t="s">
        <v>12</v>
      </c>
      <c r="C4" s="49">
        <v>171</v>
      </c>
      <c r="D4" s="49" t="e">
        <f>(F4*10^5)/12/E4</f>
        <v>#REF!</v>
      </c>
      <c r="E4" s="49" t="e">
        <f>SUM(#REF!)</f>
        <v>#REF!</v>
      </c>
      <c r="F4" s="49">
        <v>64283.736496386409</v>
      </c>
      <c r="G4" s="49">
        <v>60249.078151086404</v>
      </c>
      <c r="I4" s="107">
        <v>4034.6583452999998</v>
      </c>
      <c r="J4" s="107"/>
      <c r="K4" s="50">
        <v>9742.2341164859172</v>
      </c>
      <c r="L4" s="50">
        <v>5645.2943316234023</v>
      </c>
      <c r="M4" s="50">
        <v>4503.5336934285724</v>
      </c>
      <c r="N4" s="50">
        <v>5330.0854131250026</v>
      </c>
      <c r="O4" s="50">
        <f>SUM(K4:N4)</f>
        <v>25221.147554662894</v>
      </c>
      <c r="P4" s="50">
        <v>64283.736496386409</v>
      </c>
      <c r="Q4" s="50">
        <v>6916.9862227050007</v>
      </c>
      <c r="R4" s="50">
        <v>2653.2883358629988</v>
      </c>
      <c r="S4" s="50">
        <v>1891.4841512400003</v>
      </c>
      <c r="T4" s="50">
        <v>426.40683305000022</v>
      </c>
      <c r="U4" s="50">
        <v>11888.165542858016</v>
      </c>
      <c r="V4" s="121">
        <f>U4/P4</f>
        <v>0.18493270912350104</v>
      </c>
      <c r="W4" s="118">
        <f>Q4/K4</f>
        <v>0.71</v>
      </c>
      <c r="X4" s="118">
        <f>R4/L4</f>
        <v>0.47</v>
      </c>
      <c r="Y4" s="118">
        <f>S4/M4</f>
        <v>0.42</v>
      </c>
      <c r="Z4" s="118">
        <f>T4/N4</f>
        <v>0.08</v>
      </c>
      <c r="AA4" s="118">
        <f>U4/O4</f>
        <v>0.47135704341336082</v>
      </c>
      <c r="AB4" s="52">
        <f>U4/P4</f>
        <v>0.18493270912350104</v>
      </c>
    </row>
    <row r="5" spans="2:28" ht="39" x14ac:dyDescent="0.3">
      <c r="B5" s="45"/>
      <c r="C5" s="49"/>
      <c r="D5" s="49"/>
      <c r="E5" s="49"/>
      <c r="F5" s="49"/>
      <c r="G5" s="49"/>
      <c r="I5" s="107"/>
      <c r="J5" s="122" t="s">
        <v>258</v>
      </c>
      <c r="K5" s="123">
        <f>K4/$P4</f>
        <v>0.15155052657888918</v>
      </c>
      <c r="L5" s="123">
        <f t="shared" ref="L5:O5" si="0">L4/$P4</f>
        <v>8.7818391389566194E-2</v>
      </c>
      <c r="M5" s="123">
        <f t="shared" si="0"/>
        <v>7.0057123914720326E-2</v>
      </c>
      <c r="N5" s="123">
        <f t="shared" si="0"/>
        <v>8.2914990690135498E-2</v>
      </c>
      <c r="O5" s="123">
        <f t="shared" si="0"/>
        <v>0.39234103257331121</v>
      </c>
      <c r="P5" s="50"/>
      <c r="Q5" s="50"/>
      <c r="R5" s="50"/>
      <c r="S5" s="50"/>
      <c r="T5" s="50"/>
      <c r="U5" s="50"/>
      <c r="V5" s="121"/>
      <c r="W5" s="118"/>
      <c r="X5" s="118"/>
      <c r="Y5" s="118"/>
      <c r="Z5" s="118"/>
      <c r="AA5" s="118"/>
      <c r="AB5" s="52"/>
    </row>
    <row r="6" spans="2:28" ht="13" x14ac:dyDescent="0.3">
      <c r="B6" s="45" t="s">
        <v>11</v>
      </c>
      <c r="C6" s="49">
        <v>155</v>
      </c>
      <c r="D6" s="49" t="e">
        <f t="shared" ref="D6:D10" si="1">(F6*10^5)/12/E6</f>
        <v>#REF!</v>
      </c>
      <c r="E6" s="49" t="e">
        <f>SUM(#REF!)</f>
        <v>#REF!</v>
      </c>
      <c r="F6" s="49">
        <v>64055.1381645</v>
      </c>
      <c r="G6" s="49">
        <v>48721.31706709999</v>
      </c>
      <c r="H6" s="97">
        <v>-0.19133506167643408</v>
      </c>
      <c r="I6" s="107">
        <v>15333.821097400003</v>
      </c>
      <c r="J6" s="107"/>
      <c r="K6" s="50">
        <v>8178.4410993633792</v>
      </c>
      <c r="L6" s="50">
        <v>4544.1363013574464</v>
      </c>
      <c r="M6" s="50">
        <v>3758.8432817142857</v>
      </c>
      <c r="N6" s="50">
        <v>2577.3622063750004</v>
      </c>
      <c r="O6" s="50">
        <f t="shared" ref="O6:O16" si="2">SUM(K6:N6)</f>
        <v>19058.782888810114</v>
      </c>
      <c r="P6" s="50">
        <v>64055.1381645</v>
      </c>
      <c r="Q6" s="50">
        <v>5806.693180547999</v>
      </c>
      <c r="R6" s="50">
        <v>2135.7440616379995</v>
      </c>
      <c r="S6" s="50">
        <v>1578.71417832</v>
      </c>
      <c r="T6" s="50">
        <v>206.18897651000003</v>
      </c>
      <c r="U6" s="50">
        <v>9727.3403970160016</v>
      </c>
      <c r="V6" s="121">
        <f t="shared" ref="V6:V16" si="3">U6/P6</f>
        <v>0.15185886215771199</v>
      </c>
      <c r="W6" s="118">
        <f t="shared" ref="W6:W12" si="4">Q6/K6</f>
        <v>0.71</v>
      </c>
      <c r="X6" s="118">
        <f t="shared" ref="X6:X12" si="5">R6/L6</f>
        <v>0.46999999999999992</v>
      </c>
      <c r="Y6" s="118">
        <f t="shared" ref="Y6:Y12" si="6">S6/M6</f>
        <v>0.42</v>
      </c>
      <c r="Z6" s="118">
        <f t="shared" ref="Z6:Z12" si="7">T6/N6</f>
        <v>0.08</v>
      </c>
      <c r="AA6" s="118">
        <f t="shared" ref="AA6:AA16" si="8">U6/O6</f>
        <v>0.51038623262386629</v>
      </c>
      <c r="AB6" s="52">
        <f t="shared" ref="AB6:AB16" si="9">U6/P6</f>
        <v>0.15185886215771199</v>
      </c>
    </row>
    <row r="7" spans="2:28" ht="13" x14ac:dyDescent="0.3">
      <c r="B7" s="45" t="s">
        <v>10</v>
      </c>
      <c r="C7" s="49">
        <v>128</v>
      </c>
      <c r="D7" s="49" t="e">
        <f t="shared" si="1"/>
        <v>#REF!</v>
      </c>
      <c r="E7" s="49" t="e">
        <f>SUM(#REF!)</f>
        <v>#REF!</v>
      </c>
      <c r="F7" s="49">
        <v>58521.653824347988</v>
      </c>
      <c r="G7" s="49">
        <v>57295.627092247989</v>
      </c>
      <c r="H7" s="97">
        <v>0.17598682755926498</v>
      </c>
      <c r="I7" s="107">
        <v>1226.0267320999999</v>
      </c>
      <c r="J7" s="107"/>
      <c r="K7" s="50">
        <v>8070.1709004507093</v>
      </c>
      <c r="L7" s="50">
        <v>4013.687950719147</v>
      </c>
      <c r="M7" s="50">
        <v>3113.5825057142852</v>
      </c>
      <c r="N7" s="50">
        <v>2631.2520836249996</v>
      </c>
      <c r="O7" s="50">
        <f t="shared" si="2"/>
        <v>17828.693440509142</v>
      </c>
      <c r="P7" s="50">
        <v>58521.653824347988</v>
      </c>
      <c r="Q7" s="50">
        <v>5729.8213393200031</v>
      </c>
      <c r="R7" s="50">
        <v>1886.4333368379989</v>
      </c>
      <c r="S7" s="50">
        <v>1307.7046523999998</v>
      </c>
      <c r="T7" s="50">
        <v>210.50016668999996</v>
      </c>
      <c r="U7" s="50">
        <v>9134.4594952480038</v>
      </c>
      <c r="V7" s="121">
        <f t="shared" si="3"/>
        <v>0.15608683108418245</v>
      </c>
      <c r="W7" s="118">
        <f t="shared" si="4"/>
        <v>0.71</v>
      </c>
      <c r="X7" s="118">
        <f t="shared" si="5"/>
        <v>0.47</v>
      </c>
      <c r="Y7" s="118">
        <f t="shared" si="6"/>
        <v>0.42</v>
      </c>
      <c r="Z7" s="118">
        <f t="shared" si="7"/>
        <v>0.08</v>
      </c>
      <c r="AA7" s="118">
        <f t="shared" si="8"/>
        <v>0.51234598461900227</v>
      </c>
      <c r="AB7" s="52">
        <f t="shared" si="9"/>
        <v>0.15608683108418245</v>
      </c>
    </row>
    <row r="8" spans="2:28" ht="13" x14ac:dyDescent="0.3">
      <c r="B8" s="45" t="s">
        <v>9</v>
      </c>
      <c r="C8" s="49">
        <v>111</v>
      </c>
      <c r="D8" s="49" t="e">
        <f t="shared" si="1"/>
        <v>#REF!</v>
      </c>
      <c r="E8" s="49" t="e">
        <f>SUM(#REF!)</f>
        <v>#REF!</v>
      </c>
      <c r="F8" s="49">
        <v>55894.100483699971</v>
      </c>
      <c r="G8" s="49">
        <v>54655.110492199972</v>
      </c>
      <c r="H8" s="97">
        <v>-4.6085831224025028E-2</v>
      </c>
      <c r="I8" s="107">
        <v>1238.9899914999999</v>
      </c>
      <c r="J8" s="107"/>
      <c r="K8" s="50">
        <v>4556.5058920105266</v>
      </c>
      <c r="L8" s="50">
        <v>3109.7248532333338</v>
      </c>
      <c r="M8" s="50">
        <v>2156.7527099999993</v>
      </c>
      <c r="N8" s="50">
        <v>3632.9500973333338</v>
      </c>
      <c r="O8" s="50">
        <f t="shared" si="2"/>
        <v>13455.933552577193</v>
      </c>
      <c r="P8" s="50">
        <v>55894.100483699971</v>
      </c>
      <c r="Q8" s="50">
        <v>2597.2083584460001</v>
      </c>
      <c r="R8" s="50">
        <v>1026.2092015670003</v>
      </c>
      <c r="S8" s="50">
        <v>862.70108399999981</v>
      </c>
      <c r="T8" s="50">
        <v>108.98850292000002</v>
      </c>
      <c r="U8" s="50">
        <v>4595.1071469330027</v>
      </c>
      <c r="V8" s="121">
        <f t="shared" si="3"/>
        <v>8.2210950836806893E-2</v>
      </c>
      <c r="W8" s="118">
        <f t="shared" si="4"/>
        <v>0.56999999999999995</v>
      </c>
      <c r="X8" s="118">
        <f t="shared" si="5"/>
        <v>0.33</v>
      </c>
      <c r="Y8" s="118">
        <f t="shared" si="6"/>
        <v>0.4</v>
      </c>
      <c r="Z8" s="118">
        <f t="shared" si="7"/>
        <v>0.03</v>
      </c>
      <c r="AA8" s="118">
        <f t="shared" si="8"/>
        <v>0.34149300224902712</v>
      </c>
      <c r="AB8" s="52">
        <f t="shared" si="9"/>
        <v>8.2210950836806893E-2</v>
      </c>
    </row>
    <row r="9" spans="2:28" ht="13" x14ac:dyDescent="0.3">
      <c r="B9" s="45" t="s">
        <v>8</v>
      </c>
      <c r="C9" s="49">
        <v>99</v>
      </c>
      <c r="D9" s="49" t="e">
        <f t="shared" si="1"/>
        <v>#REF!</v>
      </c>
      <c r="E9" s="49" t="e">
        <f>SUM(#REF!)</f>
        <v>#REF!</v>
      </c>
      <c r="F9" s="49">
        <v>49267.335700344513</v>
      </c>
      <c r="G9" s="49">
        <v>48583.053507244505</v>
      </c>
      <c r="H9" s="97">
        <v>-0.11109769846356878</v>
      </c>
      <c r="I9" s="107">
        <v>684.28219309999997</v>
      </c>
      <c r="J9" s="107"/>
      <c r="K9" s="50">
        <v>4937.9306206578967</v>
      </c>
      <c r="L9" s="50">
        <v>2219.8374749393947</v>
      </c>
      <c r="M9" s="50">
        <v>1650.2148566999999</v>
      </c>
      <c r="N9" s="50">
        <v>2476.2178686666675</v>
      </c>
      <c r="O9" s="50">
        <f t="shared" si="2"/>
        <v>11284.200820963961</v>
      </c>
      <c r="P9" s="50">
        <v>49267.335700344513</v>
      </c>
      <c r="Q9" s="50">
        <v>2814.6204537750009</v>
      </c>
      <c r="R9" s="50">
        <v>732.54636673000027</v>
      </c>
      <c r="S9" s="50">
        <v>660.08594268000002</v>
      </c>
      <c r="T9" s="50">
        <v>74.286536060000017</v>
      </c>
      <c r="U9" s="50">
        <v>4281.5392992450006</v>
      </c>
      <c r="V9" s="121">
        <f t="shared" si="3"/>
        <v>8.6904218350396023E-2</v>
      </c>
      <c r="W9" s="118">
        <f t="shared" si="4"/>
        <v>0.56999999999999995</v>
      </c>
      <c r="X9" s="118">
        <f t="shared" si="5"/>
        <v>0.33</v>
      </c>
      <c r="Y9" s="118">
        <f t="shared" si="6"/>
        <v>0.4</v>
      </c>
      <c r="Z9" s="118">
        <f t="shared" si="7"/>
        <v>2.9999999999999995E-2</v>
      </c>
      <c r="AA9" s="118">
        <f t="shared" si="8"/>
        <v>0.37942778289541707</v>
      </c>
      <c r="AB9" s="52">
        <f t="shared" si="9"/>
        <v>8.6904218350396023E-2</v>
      </c>
    </row>
    <row r="10" spans="2:28" ht="13" x14ac:dyDescent="0.3">
      <c r="B10" s="45" t="s">
        <v>173</v>
      </c>
      <c r="C10" s="49">
        <v>89</v>
      </c>
      <c r="D10" s="49" t="e">
        <f t="shared" si="1"/>
        <v>#REF!</v>
      </c>
      <c r="E10" s="49" t="e">
        <f>SUM(#REF!)</f>
        <v>#REF!</v>
      </c>
      <c r="F10" s="49">
        <v>28367.775445132098</v>
      </c>
      <c r="G10" s="49">
        <v>27166.273464748901</v>
      </c>
      <c r="H10" s="97">
        <v>-0.44082820029626218</v>
      </c>
      <c r="I10" s="107">
        <v>1201.5019803832001</v>
      </c>
      <c r="J10" s="107"/>
      <c r="K10" s="50">
        <v>2542.6680597157902</v>
      </c>
      <c r="L10" s="50">
        <v>1188.1773983666662</v>
      </c>
      <c r="M10" s="50">
        <v>749.93652840000038</v>
      </c>
      <c r="N10" s="50">
        <v>1495.4923940000006</v>
      </c>
      <c r="O10" s="50">
        <f t="shared" si="2"/>
        <v>5976.2743804824577</v>
      </c>
      <c r="P10" s="50">
        <v>28367.775445132098</v>
      </c>
      <c r="Q10" s="50">
        <v>1449.3207940380003</v>
      </c>
      <c r="R10" s="50">
        <v>392.09854146099991</v>
      </c>
      <c r="S10" s="50">
        <v>299.97461136000015</v>
      </c>
      <c r="T10" s="50">
        <v>44.864771820000016</v>
      </c>
      <c r="U10" s="50">
        <v>2186.2587186790006</v>
      </c>
      <c r="V10" s="121">
        <f t="shared" si="3"/>
        <v>7.7068387787670597E-2</v>
      </c>
      <c r="W10" s="118">
        <f t="shared" si="4"/>
        <v>0.56999999999999995</v>
      </c>
      <c r="X10" s="118">
        <f t="shared" si="5"/>
        <v>0.33000000000000007</v>
      </c>
      <c r="Y10" s="118">
        <f t="shared" si="6"/>
        <v>0.4</v>
      </c>
      <c r="Z10" s="118">
        <f t="shared" si="7"/>
        <v>0.03</v>
      </c>
      <c r="AA10" s="118">
        <f t="shared" si="8"/>
        <v>0.36582301606147249</v>
      </c>
      <c r="AB10" s="52">
        <f t="shared" si="9"/>
        <v>7.7068387787670597E-2</v>
      </c>
    </row>
    <row r="11" spans="2:28" ht="39" x14ac:dyDescent="0.3">
      <c r="B11" s="45"/>
      <c r="C11" s="49"/>
      <c r="D11" s="49"/>
      <c r="E11" s="49"/>
      <c r="F11" s="49"/>
      <c r="G11" s="49"/>
      <c r="H11" s="97"/>
      <c r="I11" s="107"/>
      <c r="J11" s="122" t="s">
        <v>259</v>
      </c>
      <c r="K11" s="123">
        <f>K10/$P10</f>
        <v>8.9632268298010354E-2</v>
      </c>
      <c r="L11" s="123">
        <f t="shared" ref="L11:O11" si="10">L10/$P10</f>
        <v>4.1884757606911932E-2</v>
      </c>
      <c r="M11" s="123">
        <f t="shared" si="10"/>
        <v>2.6436212097437808E-2</v>
      </c>
      <c r="N11" s="123">
        <f t="shared" si="10"/>
        <v>5.2718000284954547E-2</v>
      </c>
      <c r="O11" s="123">
        <f t="shared" si="10"/>
        <v>0.21067123828731465</v>
      </c>
      <c r="P11" s="50"/>
      <c r="Q11" s="50"/>
      <c r="R11" s="50"/>
      <c r="S11" s="50"/>
      <c r="T11" s="50"/>
      <c r="U11" s="137"/>
      <c r="V11" s="121"/>
      <c r="W11" s="118"/>
      <c r="X11" s="118"/>
      <c r="Y11" s="118"/>
      <c r="Z11" s="118"/>
      <c r="AA11" s="118"/>
      <c r="AB11" s="52"/>
    </row>
    <row r="12" spans="2:28" ht="13" x14ac:dyDescent="0.3">
      <c r="B12" s="45" t="s">
        <v>1</v>
      </c>
      <c r="C12" s="51" t="e">
        <f>SUM(#REF!)</f>
        <v>#REF!</v>
      </c>
      <c r="D12" s="50"/>
      <c r="E12" s="50"/>
      <c r="F12" s="50">
        <f>G12+I12</f>
        <v>52389.835448775353</v>
      </c>
      <c r="G12" s="105">
        <f>P12</f>
        <v>50035.435448775352</v>
      </c>
      <c r="H12" s="98">
        <f>(G12-G10)/G10</f>
        <v>0.8418218278521562</v>
      </c>
      <c r="I12" s="99">
        <f>U12</f>
        <v>2354.4</v>
      </c>
      <c r="J12" s="99"/>
      <c r="K12" s="51">
        <v>9559.0898119415542</v>
      </c>
      <c r="L12" s="51">
        <v>2966.1621400441722</v>
      </c>
      <c r="M12" s="51">
        <v>1794.4005577012238</v>
      </c>
      <c r="N12" s="51">
        <f>10943.9642707352+24771.8186683532</f>
        <v>35715.7829390884</v>
      </c>
      <c r="O12" s="50">
        <f t="shared" si="2"/>
        <v>50035.435448775352</v>
      </c>
      <c r="P12" s="105">
        <f>SUM(K12:N12)</f>
        <v>50035.435448775352</v>
      </c>
      <c r="Q12" s="51">
        <v>443.59667999999999</v>
      </c>
      <c r="R12" s="51">
        <v>149.69718</v>
      </c>
      <c r="S12" s="51">
        <v>95.343300000000013</v>
      </c>
      <c r="T12" s="51">
        <f>516.38004+1149.3828</f>
        <v>1665.7628400000001</v>
      </c>
      <c r="U12" s="50">
        <f>SUM(Q12:T12)</f>
        <v>2354.4</v>
      </c>
      <c r="V12" s="121">
        <f t="shared" si="3"/>
        <v>4.7054651945826635E-2</v>
      </c>
      <c r="W12" s="119">
        <f t="shared" si="4"/>
        <v>4.6405744555914022E-2</v>
      </c>
      <c r="X12" s="119">
        <f t="shared" si="5"/>
        <v>5.046830649580427E-2</v>
      </c>
      <c r="Y12" s="119">
        <f t="shared" si="6"/>
        <v>5.313378865761316E-2</v>
      </c>
      <c r="Z12" s="119">
        <f t="shared" si="7"/>
        <v>4.6639404289159248E-2</v>
      </c>
      <c r="AA12" s="119">
        <f t="shared" si="8"/>
        <v>4.7054651945826635E-2</v>
      </c>
      <c r="AB12" s="52">
        <f t="shared" si="9"/>
        <v>4.7054651945826635E-2</v>
      </c>
    </row>
    <row r="13" spans="2:28" ht="13" x14ac:dyDescent="0.3">
      <c r="B13" s="45" t="s">
        <v>2</v>
      </c>
      <c r="C13" s="51" t="e">
        <f>SUM(#REF!)</f>
        <v>#REF!</v>
      </c>
      <c r="D13" s="50"/>
      <c r="E13" s="50"/>
      <c r="F13" s="50" t="e">
        <f>SUM(#REF!)</f>
        <v>#REF!</v>
      </c>
      <c r="G13" s="50">
        <v>56386.949642766034</v>
      </c>
      <c r="H13" s="98">
        <f>(G13-G12)/G12</f>
        <v>0.12694032013557982</v>
      </c>
      <c r="I13" s="99">
        <f>U13</f>
        <v>13026.238591104007</v>
      </c>
      <c r="J13" s="99"/>
      <c r="K13" s="50">
        <v>10772.523732874186</v>
      </c>
      <c r="L13" s="50">
        <v>3342.6877116754195</v>
      </c>
      <c r="M13" s="50">
        <v>2022.182338947282</v>
      </c>
      <c r="N13" s="50">
        <f>12333.1945988147+27916.3612604545</f>
        <v>40249.555859269203</v>
      </c>
      <c r="O13" s="50">
        <f t="shared" si="2"/>
        <v>56386.949642766092</v>
      </c>
      <c r="P13" s="50">
        <f>SUM(K13:N13)</f>
        <v>56386.949642766092</v>
      </c>
      <c r="Q13" s="50">
        <v>2454.4003275828295</v>
      </c>
      <c r="R13" s="50">
        <v>831.42430527602892</v>
      </c>
      <c r="S13" s="50">
        <v>518.80607058196813</v>
      </c>
      <c r="T13" s="50">
        <f>2836.67865510465+6384.92923255853</f>
        <v>9221.60788766318</v>
      </c>
      <c r="U13" s="50">
        <f>SUM(Q13:T13)</f>
        <v>13026.238591104007</v>
      </c>
      <c r="V13" s="121">
        <f t="shared" si="3"/>
        <v>0.23101513157974399</v>
      </c>
      <c r="W13" s="119">
        <f t="shared" ref="W13:W16" si="11">Q13/K13</f>
        <v>0.22783893435229202</v>
      </c>
      <c r="X13" s="119">
        <f t="shared" ref="X13:X16" si="12">R13/L13</f>
        <v>0.24872927924795674</v>
      </c>
      <c r="Y13" s="119">
        <f t="shared" ref="Y13:Y16" si="13">S13/M13</f>
        <v>0.25655751244076774</v>
      </c>
      <c r="Z13" s="119">
        <f t="shared" ref="Z13:Z16" si="14">T13/N13</f>
        <v>0.22911079863604272</v>
      </c>
      <c r="AA13" s="119">
        <f t="shared" si="8"/>
        <v>0.23101513157974399</v>
      </c>
      <c r="AB13" s="52">
        <f t="shared" si="9"/>
        <v>0.23101513157974399</v>
      </c>
    </row>
    <row r="14" spans="2:28" ht="13" x14ac:dyDescent="0.3">
      <c r="B14" s="45" t="s">
        <v>3</v>
      </c>
      <c r="C14" s="51" t="e">
        <f>SUM(#REF!)</f>
        <v>#REF!</v>
      </c>
      <c r="D14" s="50"/>
      <c r="E14" s="50"/>
      <c r="F14" s="50" t="e">
        <f>SUM(#REF!)</f>
        <v>#REF!</v>
      </c>
      <c r="G14" s="50">
        <v>63332.30013591559</v>
      </c>
      <c r="H14" s="98">
        <f t="shared" ref="H14:H16" si="15">(G14-G13)/G13</f>
        <v>0.12317301320875024</v>
      </c>
      <c r="I14" s="99">
        <f t="shared" ref="I14:I16" si="16">U14</f>
        <v>33176.130578706361</v>
      </c>
      <c r="J14" s="99"/>
      <c r="K14" s="50">
        <v>12099.407940915073</v>
      </c>
      <c r="L14" s="50">
        <v>3754.4166293383419</v>
      </c>
      <c r="M14" s="50">
        <v>2271.2606308929362</v>
      </c>
      <c r="N14" s="50">
        <f>13852.3113400405+31354.9035947287</f>
        <v>45207.214934769203</v>
      </c>
      <c r="O14" s="50">
        <f t="shared" si="2"/>
        <v>63332.300135915553</v>
      </c>
      <c r="P14" s="50">
        <f>SUM(K14:N14)</f>
        <v>63332.300135915553</v>
      </c>
      <c r="Q14" s="50">
        <v>6264.6024718717863</v>
      </c>
      <c r="R14" s="50">
        <v>2096.645076712296</v>
      </c>
      <c r="S14" s="50">
        <v>1294.2853291582205</v>
      </c>
      <c r="T14" s="50">
        <f>7213.95740304006+16306.640297924</f>
        <v>23520.597700964059</v>
      </c>
      <c r="U14" s="50">
        <f>SUM(Q14:T14)</f>
        <v>33176.130578706361</v>
      </c>
      <c r="V14" s="121">
        <f t="shared" si="3"/>
        <v>0.52384218649106473</v>
      </c>
      <c r="W14" s="119">
        <f t="shared" si="11"/>
        <v>0.51776107578682051</v>
      </c>
      <c r="X14" s="119">
        <f t="shared" si="12"/>
        <v>0.55844763213767179</v>
      </c>
      <c r="Y14" s="119">
        <f t="shared" si="13"/>
        <v>0.56985328392249635</v>
      </c>
      <c r="Z14" s="119">
        <f t="shared" si="14"/>
        <v>0.52028415674140971</v>
      </c>
      <c r="AA14" s="119">
        <f t="shared" si="8"/>
        <v>0.52384218649106473</v>
      </c>
      <c r="AB14" s="52">
        <f t="shared" si="9"/>
        <v>0.52384218649106473</v>
      </c>
    </row>
    <row r="15" spans="2:28" ht="13" x14ac:dyDescent="0.3">
      <c r="B15" s="45" t="s">
        <v>4</v>
      </c>
      <c r="C15" s="51" t="e">
        <f>SUM(#REF!)</f>
        <v>#REF!</v>
      </c>
      <c r="D15" s="50"/>
      <c r="E15" s="50"/>
      <c r="F15" s="50" t="e">
        <f>SUM(#REF!)</f>
        <v>#REF!</v>
      </c>
      <c r="G15" s="50">
        <v>71133.130377097201</v>
      </c>
      <c r="H15" s="98">
        <f t="shared" si="15"/>
        <v>0.12317301320874938</v>
      </c>
      <c r="I15" s="99">
        <f t="shared" si="16"/>
        <v>49376.853410592012</v>
      </c>
      <c r="J15" s="99"/>
      <c r="K15" s="50">
        <v>13589.728475039454</v>
      </c>
      <c r="L15" s="50">
        <v>4216.8594384149837</v>
      </c>
      <c r="M15" s="50">
        <v>2551.0186465824254</v>
      </c>
      <c r="N15" s="50">
        <f>15558.5422676991+35216.9815493613</f>
        <v>50775.523817060399</v>
      </c>
      <c r="O15" s="50">
        <f t="shared" si="2"/>
        <v>71133.130377097259</v>
      </c>
      <c r="P15" s="50">
        <f>SUM(K15:N15)</f>
        <v>71133.130377097259</v>
      </c>
      <c r="Q15" s="50">
        <v>9294.9190635486757</v>
      </c>
      <c r="R15" s="50">
        <v>3161.6754738330233</v>
      </c>
      <c r="S15" s="50">
        <v>1991.9860835769125</v>
      </c>
      <c r="T15" s="50">
        <f>10778.8784476956+24149.3943419378</f>
        <v>34928.272789633404</v>
      </c>
      <c r="U15" s="50">
        <f>SUM(Q15:T15)</f>
        <v>49376.853410592012</v>
      </c>
      <c r="V15" s="121">
        <f t="shared" si="3"/>
        <v>0.69414706127554149</v>
      </c>
      <c r="W15" s="119">
        <f t="shared" si="11"/>
        <v>0.68396650312924601</v>
      </c>
      <c r="X15" s="119">
        <f t="shared" si="12"/>
        <v>0.74977018323888478</v>
      </c>
      <c r="Y15" s="119">
        <f t="shared" si="13"/>
        <v>0.78085908397633885</v>
      </c>
      <c r="Z15" s="119">
        <f t="shared" si="14"/>
        <v>0.68789586328004804</v>
      </c>
      <c r="AA15" s="119">
        <f t="shared" si="8"/>
        <v>0.69414706127554149</v>
      </c>
      <c r="AB15" s="52">
        <f t="shared" si="9"/>
        <v>0.69414706127554149</v>
      </c>
    </row>
    <row r="16" spans="2:28" ht="13" x14ac:dyDescent="0.3">
      <c r="B16" s="45" t="s">
        <v>5</v>
      </c>
      <c r="C16" s="51" t="e">
        <f>SUM(#REF!)</f>
        <v>#REF!</v>
      </c>
      <c r="D16" s="50"/>
      <c r="E16" s="50"/>
      <c r="F16" s="50" t="e">
        <f>SUM(#REF!)</f>
        <v>#REF!</v>
      </c>
      <c r="G16" s="50">
        <v>79894.812384615128</v>
      </c>
      <c r="H16" s="98">
        <f t="shared" si="15"/>
        <v>0.12317301320874997</v>
      </c>
      <c r="I16" s="99">
        <f t="shared" si="16"/>
        <v>63367.092811230475</v>
      </c>
      <c r="J16" s="99"/>
      <c r="K16" s="50">
        <v>15263.616279998814</v>
      </c>
      <c r="L16" s="50">
        <v>4736.2627217223144</v>
      </c>
      <c r="M16" s="50">
        <v>2865.2353000336898</v>
      </c>
      <c r="N16" s="50">
        <f>17474.9347999473+39554.7632829131</f>
        <v>57029.698082860399</v>
      </c>
      <c r="O16" s="50">
        <f t="shared" si="2"/>
        <v>79894.812384615216</v>
      </c>
      <c r="P16" s="50">
        <f>SUM(K16:N16)</f>
        <v>79894.812384615216</v>
      </c>
      <c r="Q16" s="50">
        <v>11888.013792902171</v>
      </c>
      <c r="R16" s="50">
        <v>4115.582482824103</v>
      </c>
      <c r="S16" s="50">
        <v>2647.8838978240979</v>
      </c>
      <c r="T16" s="50">
        <f>13890.4742423086+30825.1383953715</f>
        <v>44715.612637680104</v>
      </c>
      <c r="U16" s="50">
        <f>SUM(Q16:T16)</f>
        <v>63367.092811230475</v>
      </c>
      <c r="V16" s="121">
        <f t="shared" si="3"/>
        <v>0.79313150528697696</v>
      </c>
      <c r="W16" s="119">
        <f t="shared" si="11"/>
        <v>0.77884647876532542</v>
      </c>
      <c r="X16" s="119">
        <f t="shared" si="12"/>
        <v>0.86895147601260925</v>
      </c>
      <c r="Y16" s="119">
        <f t="shared" si="13"/>
        <v>0.92414186639155382</v>
      </c>
      <c r="Z16" s="119">
        <f t="shared" si="14"/>
        <v>0.78407591379339336</v>
      </c>
      <c r="AA16" s="119">
        <f t="shared" si="8"/>
        <v>0.79313150528697696</v>
      </c>
      <c r="AB16" s="52">
        <f t="shared" si="9"/>
        <v>0.79313150528697696</v>
      </c>
    </row>
    <row r="17" spans="2:22" x14ac:dyDescent="0.3">
      <c r="B17" s="45" t="s">
        <v>6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120"/>
    </row>
    <row r="18" spans="2:22" x14ac:dyDescent="0.3">
      <c r="B18" s="45" t="s">
        <v>7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120"/>
    </row>
    <row r="19" spans="2:22" x14ac:dyDescent="0.3">
      <c r="B19" s="45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</row>
    <row r="20" spans="2:22" x14ac:dyDescent="0.3">
      <c r="B20" s="45" t="s">
        <v>10</v>
      </c>
      <c r="C20" s="46" t="s">
        <v>263</v>
      </c>
      <c r="K20" s="128">
        <f t="shared" ref="K20:N21" si="17">(K7-K6)/K6</f>
        <v>-1.3238488557568484E-2</v>
      </c>
      <c r="L20" s="128">
        <f t="shared" si="17"/>
        <v>-0.11673249116225702</v>
      </c>
      <c r="M20" s="128">
        <f t="shared" si="17"/>
        <v>-0.17166471907435263</v>
      </c>
      <c r="N20" s="128">
        <f t="shared" si="17"/>
        <v>2.0908926621452287E-2</v>
      </c>
      <c r="Q20" s="128">
        <f t="shared" ref="Q20:T20" si="18">(Q7-Q6)/Q6</f>
        <v>-1.3238488557568531E-2</v>
      </c>
      <c r="R20" s="128">
        <f t="shared" si="18"/>
        <v>-0.11673249116225697</v>
      </c>
      <c r="S20" s="128">
        <f t="shared" si="18"/>
        <v>-0.17166471907435263</v>
      </c>
      <c r="T20" s="128">
        <f t="shared" si="18"/>
        <v>2.0908926621452221E-2</v>
      </c>
    </row>
    <row r="21" spans="2:22" x14ac:dyDescent="0.3">
      <c r="B21" s="45" t="s">
        <v>9</v>
      </c>
      <c r="K21" s="128">
        <f t="shared" si="17"/>
        <v>-0.43538916979365933</v>
      </c>
      <c r="L21" s="128">
        <f t="shared" si="17"/>
        <v>-0.22522007405280395</v>
      </c>
      <c r="M21" s="128">
        <f t="shared" si="17"/>
        <v>-0.30730831572898376</v>
      </c>
      <c r="N21" s="128">
        <f t="shared" si="17"/>
        <v>0.38069253035168105</v>
      </c>
      <c r="Q21" s="128">
        <f t="shared" ref="Q21:T21" si="19">(Q8-Q7)/Q7</f>
        <v>-0.54672088279209263</v>
      </c>
      <c r="R21" s="128">
        <f t="shared" si="19"/>
        <v>-0.45600558390941542</v>
      </c>
      <c r="S21" s="128">
        <f t="shared" si="19"/>
        <v>-0.34029363402760349</v>
      </c>
      <c r="T21" s="128">
        <f t="shared" si="19"/>
        <v>-0.48224030111811955</v>
      </c>
    </row>
    <row r="22" spans="2:22" x14ac:dyDescent="0.3">
      <c r="B22" s="45" t="s">
        <v>8</v>
      </c>
      <c r="K22" s="128">
        <f>(K9-K8)/K8</f>
        <v>8.3709916696512621E-2</v>
      </c>
      <c r="L22" s="128">
        <f t="shared" ref="L22:N22" si="20">(L9-L8)/L8</f>
        <v>-0.28616273795692226</v>
      </c>
      <c r="M22" s="128">
        <f t="shared" si="20"/>
        <v>-0.23486135009887135</v>
      </c>
      <c r="N22" s="128">
        <f t="shared" si="20"/>
        <v>-0.31840025259794608</v>
      </c>
      <c r="Q22" s="128">
        <f>(Q9-Q8)/Q8</f>
        <v>8.3709916696512537E-2</v>
      </c>
      <c r="R22" s="128">
        <f t="shared" ref="R22:T22" si="21">(R9-R8)/R8</f>
        <v>-0.28616273795692232</v>
      </c>
      <c r="S22" s="128">
        <f t="shared" si="21"/>
        <v>-0.23486135009887138</v>
      </c>
      <c r="T22" s="128">
        <f t="shared" si="21"/>
        <v>-0.31840025259794619</v>
      </c>
    </row>
    <row r="24" spans="2:22" x14ac:dyDescent="0.3">
      <c r="Q24" s="52"/>
    </row>
    <row r="25" spans="2:22" ht="14.5" x14ac:dyDescent="0.35">
      <c r="D25" s="374" t="s">
        <v>268</v>
      </c>
      <c r="E25" s="374"/>
      <c r="F25" s="374"/>
      <c r="G25" s="374"/>
      <c r="H25" s="374"/>
      <c r="I25" s="374"/>
      <c r="J25" s="374"/>
      <c r="K25" s="374"/>
      <c r="L25" s="374"/>
      <c r="M25" s="374"/>
    </row>
    <row r="26" spans="2:22" ht="58" x14ac:dyDescent="0.35">
      <c r="D26" s="129" t="s">
        <v>42</v>
      </c>
      <c r="E26" s="130" t="s">
        <v>271</v>
      </c>
      <c r="F26" s="130" t="s">
        <v>269</v>
      </c>
      <c r="G26" s="136" t="s">
        <v>272</v>
      </c>
      <c r="H26" s="136" t="s">
        <v>273</v>
      </c>
      <c r="I26" s="130" t="s">
        <v>274</v>
      </c>
      <c r="J26" s="130" t="s">
        <v>265</v>
      </c>
      <c r="K26" s="130" t="s">
        <v>266</v>
      </c>
      <c r="L26" s="129" t="s">
        <v>267</v>
      </c>
      <c r="M26" s="130"/>
      <c r="N26" s="130"/>
    </row>
    <row r="27" spans="2:22" ht="14.5" x14ac:dyDescent="0.35">
      <c r="D27" s="129" t="s">
        <v>250</v>
      </c>
      <c r="E27" s="134">
        <v>48731.177550478467</v>
      </c>
      <c r="F27" s="130"/>
      <c r="G27" s="118">
        <v>0.21</v>
      </c>
      <c r="H27" s="140">
        <f>E27*G27</f>
        <v>10233.547285600478</v>
      </c>
      <c r="I27" s="118">
        <f>AA10</f>
        <v>0.36582301606147249</v>
      </c>
      <c r="J27" s="140">
        <f>H27*I27</f>
        <v>3743.6671330260619</v>
      </c>
      <c r="K27" s="131">
        <v>0.16</v>
      </c>
      <c r="L27" s="132">
        <f t="shared" ref="L27:L32" si="22">J27*(100%-K27)</f>
        <v>3144.680391741892</v>
      </c>
      <c r="M27" s="130"/>
      <c r="N27" s="133"/>
      <c r="P27" s="46" t="s">
        <v>0</v>
      </c>
      <c r="Q27" s="46">
        <v>89</v>
      </c>
      <c r="R27" s="142">
        <v>3788.6158406</v>
      </c>
    </row>
    <row r="28" spans="2:22" ht="14.5" x14ac:dyDescent="0.35">
      <c r="D28" s="129">
        <v>1</v>
      </c>
      <c r="E28" s="135">
        <f>E27*105%</f>
        <v>51167.73642800239</v>
      </c>
      <c r="F28" s="131">
        <v>0.05</v>
      </c>
      <c r="G28" s="118">
        <v>0.21</v>
      </c>
      <c r="H28" s="140">
        <f t="shared" ref="H28:H32" si="23">E28*G28</f>
        <v>10745.224649880502</v>
      </c>
      <c r="I28" s="118">
        <f>I27</f>
        <v>0.36582301606147249</v>
      </c>
      <c r="J28" s="140">
        <f t="shared" ref="J28:J32" si="24">H28*I28</f>
        <v>3930.8504896773647</v>
      </c>
      <c r="K28" s="131">
        <v>0.16</v>
      </c>
      <c r="L28" s="132">
        <f t="shared" si="22"/>
        <v>3301.9144113289863</v>
      </c>
      <c r="M28" s="129"/>
      <c r="N28" s="133"/>
      <c r="P28" s="46" t="s">
        <v>1</v>
      </c>
      <c r="Q28" s="46">
        <v>96</v>
      </c>
      <c r="R28" s="142">
        <v>7092.6361724310391</v>
      </c>
    </row>
    <row r="29" spans="2:22" ht="14.5" x14ac:dyDescent="0.35">
      <c r="D29" s="129">
        <v>2</v>
      </c>
      <c r="E29" s="135">
        <f>E28*110%</f>
        <v>56284.510070802637</v>
      </c>
      <c r="F29" s="131">
        <v>0.1</v>
      </c>
      <c r="G29" s="118">
        <v>0.21</v>
      </c>
      <c r="H29" s="140">
        <f t="shared" si="23"/>
        <v>11819.747114868553</v>
      </c>
      <c r="I29" s="118">
        <f t="shared" ref="I29:I32" si="25">I28</f>
        <v>0.36582301606147249</v>
      </c>
      <c r="J29" s="140">
        <f t="shared" si="24"/>
        <v>4323.9355386451016</v>
      </c>
      <c r="K29" s="131">
        <v>0.16</v>
      </c>
      <c r="L29" s="132">
        <f t="shared" si="22"/>
        <v>3632.1058524618852</v>
      </c>
      <c r="M29" s="129"/>
      <c r="N29" s="133"/>
      <c r="P29" s="46" t="s">
        <v>2</v>
      </c>
      <c r="Q29" s="46">
        <v>138</v>
      </c>
      <c r="R29" s="142">
        <v>10391.697031560481</v>
      </c>
    </row>
    <row r="30" spans="2:22" ht="14.5" x14ac:dyDescent="0.35">
      <c r="D30" s="129">
        <v>3</v>
      </c>
      <c r="E30" s="135">
        <f>E29*110%</f>
        <v>61912.961077882908</v>
      </c>
      <c r="F30" s="131">
        <v>0.1</v>
      </c>
      <c r="G30" s="118">
        <v>0.21</v>
      </c>
      <c r="H30" s="140">
        <f t="shared" si="23"/>
        <v>13001.72182635541</v>
      </c>
      <c r="I30" s="118">
        <f t="shared" si="25"/>
        <v>0.36582301606147249</v>
      </c>
      <c r="J30" s="140">
        <f t="shared" si="24"/>
        <v>4756.3290925096126</v>
      </c>
      <c r="K30" s="131">
        <v>0.16</v>
      </c>
      <c r="L30" s="132">
        <f t="shared" si="22"/>
        <v>3995.3164377080743</v>
      </c>
      <c r="M30" s="129"/>
      <c r="N30" s="133"/>
      <c r="O30" s="142"/>
      <c r="P30" s="46" t="s">
        <v>3</v>
      </c>
      <c r="Q30" s="46">
        <v>190</v>
      </c>
      <c r="R30" s="142">
        <v>16014.345060383836</v>
      </c>
    </row>
    <row r="31" spans="2:22" ht="14.5" x14ac:dyDescent="0.35">
      <c r="D31" s="129">
        <v>4</v>
      </c>
      <c r="E31" s="135">
        <f>E30*110%</f>
        <v>68104.257185671202</v>
      </c>
      <c r="F31" s="131">
        <v>0.1</v>
      </c>
      <c r="G31" s="118">
        <v>0.21</v>
      </c>
      <c r="H31" s="140">
        <f t="shared" si="23"/>
        <v>14301.894008990952</v>
      </c>
      <c r="I31" s="118">
        <f t="shared" si="25"/>
        <v>0.36582301606147249</v>
      </c>
      <c r="J31" s="140">
        <f t="shared" si="24"/>
        <v>5231.9620017605739</v>
      </c>
      <c r="K31" s="131">
        <v>0.16</v>
      </c>
      <c r="L31" s="132">
        <f t="shared" si="22"/>
        <v>4394.8480814788818</v>
      </c>
      <c r="M31" s="129"/>
      <c r="N31" s="133"/>
      <c r="P31" s="127" t="s">
        <v>4</v>
      </c>
      <c r="Q31" s="127">
        <v>218</v>
      </c>
      <c r="R31" s="142">
        <v>21573.885165062904</v>
      </c>
    </row>
    <row r="32" spans="2:22" ht="14.5" x14ac:dyDescent="0.35">
      <c r="D32" s="129">
        <v>5</v>
      </c>
      <c r="E32" s="135">
        <f>E31*110%</f>
        <v>74914.682904238332</v>
      </c>
      <c r="F32" s="131">
        <v>0.1</v>
      </c>
      <c r="G32" s="118">
        <v>0.21</v>
      </c>
      <c r="H32" s="140">
        <f t="shared" si="23"/>
        <v>15732.083409890049</v>
      </c>
      <c r="I32" s="118">
        <f t="shared" si="25"/>
        <v>0.36582301606147249</v>
      </c>
      <c r="J32" s="140">
        <f t="shared" si="24"/>
        <v>5755.1582019366324</v>
      </c>
      <c r="K32" s="131">
        <v>0.16</v>
      </c>
      <c r="L32" s="132">
        <f t="shared" si="22"/>
        <v>4834.3328896267712</v>
      </c>
      <c r="M32" s="129"/>
      <c r="N32" s="133"/>
      <c r="P32" s="46" t="s">
        <v>5</v>
      </c>
      <c r="Q32" s="46">
        <v>245</v>
      </c>
      <c r="R32" s="142">
        <v>26742.100624279487</v>
      </c>
    </row>
    <row r="33" spans="4:16" ht="14.5" x14ac:dyDescent="0.35">
      <c r="D33" s="106"/>
      <c r="E33" s="106"/>
      <c r="F33" s="106"/>
      <c r="G33" s="106"/>
      <c r="H33" s="106"/>
      <c r="I33" s="106"/>
      <c r="J33" s="106"/>
      <c r="K33" s="106"/>
      <c r="L33" s="106"/>
      <c r="M33" s="106"/>
    </row>
    <row r="34" spans="4:16" ht="14.5" x14ac:dyDescent="0.35">
      <c r="D34" s="375" t="s">
        <v>264</v>
      </c>
      <c r="E34" s="375"/>
      <c r="F34" s="375"/>
      <c r="G34" s="375"/>
      <c r="H34" s="375"/>
      <c r="I34" s="375"/>
      <c r="J34" s="375"/>
      <c r="K34" s="375"/>
      <c r="L34" s="375"/>
      <c r="M34" s="375"/>
      <c r="N34" s="375"/>
      <c r="O34" s="375"/>
      <c r="P34" s="375"/>
    </row>
    <row r="35" spans="4:16" ht="72.5" x14ac:dyDescent="0.35">
      <c r="D35" s="143" t="s">
        <v>42</v>
      </c>
      <c r="E35" s="144" t="s">
        <v>235</v>
      </c>
      <c r="F35" s="144" t="s">
        <v>277</v>
      </c>
      <c r="G35" s="144" t="s">
        <v>278</v>
      </c>
      <c r="H35" s="144" t="s">
        <v>279</v>
      </c>
      <c r="I35" s="144" t="s">
        <v>269</v>
      </c>
      <c r="J35" s="145" t="s">
        <v>272</v>
      </c>
      <c r="K35" s="145" t="s">
        <v>273</v>
      </c>
      <c r="L35" s="144" t="s">
        <v>274</v>
      </c>
      <c r="M35" s="144" t="s">
        <v>265</v>
      </c>
      <c r="N35" s="144" t="s">
        <v>266</v>
      </c>
      <c r="O35" s="143" t="s">
        <v>267</v>
      </c>
      <c r="P35" s="145" t="s">
        <v>276</v>
      </c>
    </row>
    <row r="36" spans="4:16" ht="14.5" x14ac:dyDescent="0.35">
      <c r="D36" s="129" t="s">
        <v>250</v>
      </c>
      <c r="E36" s="45"/>
      <c r="F36" s="45"/>
      <c r="G36" s="45"/>
      <c r="H36" s="141">
        <f>400</f>
        <v>400</v>
      </c>
      <c r="I36" s="130"/>
      <c r="J36" s="118">
        <v>0.21</v>
      </c>
      <c r="K36" s="140">
        <f>H36*J36</f>
        <v>84</v>
      </c>
      <c r="L36" s="118">
        <f>I27</f>
        <v>0.36582301606147249</v>
      </c>
      <c r="M36" s="140">
        <f>K36*L36</f>
        <v>30.729133349163689</v>
      </c>
      <c r="N36" s="131">
        <v>0.16</v>
      </c>
      <c r="O36" s="132">
        <f>M36*(100%-N36)</f>
        <v>25.812472013297498</v>
      </c>
      <c r="P36" s="138">
        <f>O36*E36</f>
        <v>0</v>
      </c>
    </row>
    <row r="37" spans="4:16" ht="14.5" x14ac:dyDescent="0.35">
      <c r="D37" s="129">
        <v>1</v>
      </c>
      <c r="E37" s="130">
        <v>7</v>
      </c>
      <c r="F37" s="134">
        <f>5/12*E37</f>
        <v>2.916666666666667</v>
      </c>
      <c r="G37" s="139">
        <f>F37</f>
        <v>2.916666666666667</v>
      </c>
      <c r="H37" s="141">
        <f>H36*105%</f>
        <v>420</v>
      </c>
      <c r="I37" s="131">
        <v>0.05</v>
      </c>
      <c r="J37" s="118">
        <v>0.21</v>
      </c>
      <c r="K37" s="140">
        <f t="shared" ref="K37:K41" si="26">H37*J37</f>
        <v>88.2</v>
      </c>
      <c r="L37" s="118">
        <f t="shared" ref="L37:L41" si="27">I28</f>
        <v>0.36582301606147249</v>
      </c>
      <c r="M37" s="140">
        <f t="shared" ref="M37:M41" si="28">K37*L37</f>
        <v>32.265590016621879</v>
      </c>
      <c r="N37" s="131">
        <v>0.16</v>
      </c>
      <c r="O37" s="132">
        <f t="shared" ref="O37:O41" si="29">M37*(100%-N37)</f>
        <v>27.103095613962378</v>
      </c>
      <c r="P37" s="138">
        <f>O37*G37</f>
        <v>79.050695540723609</v>
      </c>
    </row>
    <row r="38" spans="4:16" ht="14.5" x14ac:dyDescent="0.35">
      <c r="D38" s="129">
        <v>2</v>
      </c>
      <c r="E38" s="133">
        <v>42</v>
      </c>
      <c r="F38" s="134">
        <f t="shared" ref="F38:F41" si="30">5/12*E38</f>
        <v>17.5</v>
      </c>
      <c r="G38" s="133">
        <f>G37+F38</f>
        <v>20.416666666666668</v>
      </c>
      <c r="H38" s="141">
        <f>H37*110%</f>
        <v>462.00000000000006</v>
      </c>
      <c r="I38" s="131">
        <v>0.1</v>
      </c>
      <c r="J38" s="118">
        <v>0.21</v>
      </c>
      <c r="K38" s="140">
        <f t="shared" si="26"/>
        <v>97.02000000000001</v>
      </c>
      <c r="L38" s="118">
        <f t="shared" si="27"/>
        <v>0.36582301606147249</v>
      </c>
      <c r="M38" s="140">
        <f t="shared" si="28"/>
        <v>35.492149018284067</v>
      </c>
      <c r="N38" s="131">
        <v>0.16</v>
      </c>
      <c r="O38" s="132">
        <f t="shared" si="29"/>
        <v>29.813405175358614</v>
      </c>
      <c r="P38" s="138">
        <f t="shared" ref="P38:P41" si="31">O38*G38</f>
        <v>608.69035566357172</v>
      </c>
    </row>
    <row r="39" spans="4:16" ht="14.5" x14ac:dyDescent="0.35">
      <c r="D39" s="129">
        <v>3</v>
      </c>
      <c r="E39" s="133">
        <v>52</v>
      </c>
      <c r="F39" s="134">
        <f t="shared" si="30"/>
        <v>21.666666666666668</v>
      </c>
      <c r="G39" s="133">
        <f t="shared" ref="G39:G41" si="32">G38+F39</f>
        <v>42.083333333333336</v>
      </c>
      <c r="H39" s="141">
        <f t="shared" ref="H39:H41" si="33">H38*110%</f>
        <v>508.2000000000001</v>
      </c>
      <c r="I39" s="131">
        <v>0.1</v>
      </c>
      <c r="J39" s="118">
        <v>0.21</v>
      </c>
      <c r="K39" s="140">
        <f t="shared" si="26"/>
        <v>106.72200000000002</v>
      </c>
      <c r="L39" s="118">
        <f t="shared" si="27"/>
        <v>0.36582301606147249</v>
      </c>
      <c r="M39" s="140">
        <f t="shared" si="28"/>
        <v>39.041363920112474</v>
      </c>
      <c r="N39" s="131">
        <v>0.16</v>
      </c>
      <c r="O39" s="132">
        <f t="shared" si="29"/>
        <v>32.79474569289448</v>
      </c>
      <c r="P39" s="138">
        <f t="shared" si="31"/>
        <v>1380.1122145759762</v>
      </c>
    </row>
    <row r="40" spans="4:16" ht="14.5" x14ac:dyDescent="0.35">
      <c r="D40" s="129">
        <v>4</v>
      </c>
      <c r="E40" s="133">
        <v>28</v>
      </c>
      <c r="F40" s="134">
        <f t="shared" si="30"/>
        <v>11.666666666666668</v>
      </c>
      <c r="G40" s="133">
        <f t="shared" si="32"/>
        <v>53.75</v>
      </c>
      <c r="H40" s="141">
        <f t="shared" si="33"/>
        <v>559.02000000000021</v>
      </c>
      <c r="I40" s="131">
        <v>0.1</v>
      </c>
      <c r="J40" s="118">
        <v>0.21</v>
      </c>
      <c r="K40" s="140">
        <f t="shared" si="26"/>
        <v>117.39420000000004</v>
      </c>
      <c r="L40" s="118">
        <f t="shared" si="27"/>
        <v>0.36582301606147249</v>
      </c>
      <c r="M40" s="140">
        <f t="shared" si="28"/>
        <v>42.945500312123727</v>
      </c>
      <c r="N40" s="131">
        <v>0.16</v>
      </c>
      <c r="O40" s="132">
        <f t="shared" si="29"/>
        <v>36.074220262183928</v>
      </c>
      <c r="P40" s="138">
        <f t="shared" si="31"/>
        <v>1938.9893390923862</v>
      </c>
    </row>
    <row r="41" spans="4:16" ht="14.5" x14ac:dyDescent="0.35">
      <c r="D41" s="129">
        <v>5</v>
      </c>
      <c r="E41" s="133">
        <v>27</v>
      </c>
      <c r="F41" s="134">
        <f t="shared" si="30"/>
        <v>11.25</v>
      </c>
      <c r="G41" s="133">
        <f t="shared" si="32"/>
        <v>65</v>
      </c>
      <c r="H41" s="141">
        <f t="shared" si="33"/>
        <v>614.92200000000025</v>
      </c>
      <c r="I41" s="131">
        <v>0.1</v>
      </c>
      <c r="J41" s="118">
        <v>0.21</v>
      </c>
      <c r="K41" s="140">
        <f t="shared" si="26"/>
        <v>129.13362000000004</v>
      </c>
      <c r="L41" s="118">
        <f t="shared" si="27"/>
        <v>0.36582301606147249</v>
      </c>
      <c r="M41" s="140">
        <f t="shared" si="28"/>
        <v>47.240050343336101</v>
      </c>
      <c r="N41" s="131">
        <v>0.16</v>
      </c>
      <c r="O41" s="132">
        <f t="shared" si="29"/>
        <v>39.681642288402323</v>
      </c>
      <c r="P41" s="138">
        <f t="shared" si="31"/>
        <v>2579.3067487461508</v>
      </c>
    </row>
  </sheetData>
  <mergeCells count="7">
    <mergeCell ref="AB2:AB3"/>
    <mergeCell ref="D25:M25"/>
    <mergeCell ref="D34:P34"/>
    <mergeCell ref="K2:P2"/>
    <mergeCell ref="Q2:U2"/>
    <mergeCell ref="W2:AA2"/>
    <mergeCell ref="V2:V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D67"/>
  <sheetViews>
    <sheetView workbookViewId="0">
      <selection activeCell="G18" sqref="G18"/>
    </sheetView>
  </sheetViews>
  <sheetFormatPr defaultRowHeight="14.5" x14ac:dyDescent="0.35"/>
  <cols>
    <col min="2" max="2" width="32.81640625" bestFit="1" customWidth="1"/>
    <col min="3" max="3" width="9" customWidth="1"/>
    <col min="4" max="4" width="12.1796875" bestFit="1" customWidth="1"/>
  </cols>
  <sheetData>
    <row r="1" spans="1:30" x14ac:dyDescent="0.35">
      <c r="D1" s="30">
        <f>36838584/10^5</f>
        <v>368.38583999999997</v>
      </c>
      <c r="E1">
        <v>235.3920387</v>
      </c>
      <c r="F1">
        <v>127.644144</v>
      </c>
      <c r="G1">
        <v>29.27</v>
      </c>
      <c r="H1">
        <v>11.727980000000001</v>
      </c>
    </row>
    <row r="2" spans="1:30" x14ac:dyDescent="0.35">
      <c r="C2" t="s">
        <v>46</v>
      </c>
      <c r="D2" t="s">
        <v>12</v>
      </c>
      <c r="E2" t="s">
        <v>11</v>
      </c>
      <c r="F2" t="s">
        <v>10</v>
      </c>
      <c r="G2" t="s">
        <v>9</v>
      </c>
      <c r="H2" t="s">
        <v>8</v>
      </c>
      <c r="I2" s="1" t="s">
        <v>0</v>
      </c>
      <c r="J2" s="34" t="s">
        <v>1</v>
      </c>
      <c r="K2" s="34" t="s">
        <v>2</v>
      </c>
      <c r="L2" s="34" t="s">
        <v>3</v>
      </c>
      <c r="M2" s="34" t="s">
        <v>4</v>
      </c>
      <c r="N2" s="34" t="s">
        <v>5</v>
      </c>
      <c r="O2" s="34" t="s">
        <v>6</v>
      </c>
      <c r="P2" s="34" t="s">
        <v>7</v>
      </c>
    </row>
    <row r="3" spans="1:30" x14ac:dyDescent="0.35">
      <c r="A3" t="s">
        <v>44</v>
      </c>
    </row>
    <row r="4" spans="1:30" x14ac:dyDescent="0.35">
      <c r="B4" t="s">
        <v>43</v>
      </c>
    </row>
    <row r="5" spans="1:30" x14ac:dyDescent="0.35">
      <c r="B5" t="s">
        <v>45</v>
      </c>
    </row>
    <row r="7" spans="1:30" x14ac:dyDescent="0.35">
      <c r="A7" t="s">
        <v>49</v>
      </c>
    </row>
    <row r="8" spans="1:30" x14ac:dyDescent="0.35">
      <c r="B8" t="s">
        <v>48</v>
      </c>
    </row>
    <row r="9" spans="1:30" x14ac:dyDescent="0.35">
      <c r="B9" t="s">
        <v>113</v>
      </c>
      <c r="D9" s="30">
        <v>857.18034569999998</v>
      </c>
      <c r="E9" s="30">
        <v>1344.7944012999999</v>
      </c>
      <c r="F9" s="30">
        <v>1561.8636750999999</v>
      </c>
      <c r="G9" s="30">
        <v>866.5</v>
      </c>
      <c r="H9" s="30">
        <v>893.97940159999996</v>
      </c>
    </row>
    <row r="10" spans="1:30" x14ac:dyDescent="0.35">
      <c r="B10" s="35" t="s">
        <v>47</v>
      </c>
    </row>
    <row r="11" spans="1:30" x14ac:dyDescent="0.35">
      <c r="B11" t="s">
        <v>114</v>
      </c>
      <c r="D11" s="30">
        <f>7324347/10^5</f>
        <v>73.243470000000002</v>
      </c>
      <c r="E11" s="30">
        <v>29.6779829</v>
      </c>
      <c r="F11" s="30">
        <v>26.903558199999999</v>
      </c>
      <c r="G11" s="30">
        <v>11.03</v>
      </c>
      <c r="H11" s="30">
        <v>-0.24677869999999999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35">
      <c r="B12" t="s">
        <v>115</v>
      </c>
      <c r="D12" s="30">
        <f>D1*80%</f>
        <v>294.70867199999998</v>
      </c>
      <c r="E12" s="30">
        <f>E1*80%</f>
        <v>188.31363096000001</v>
      </c>
      <c r="F12" s="30">
        <f>F1*80%</f>
        <v>102.1153152</v>
      </c>
      <c r="G12" s="30">
        <f>G1*80%</f>
        <v>23.416</v>
      </c>
      <c r="H12" s="30">
        <f>H1*80%</f>
        <v>9.3823840000000001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35">
      <c r="B13" t="s">
        <v>116</v>
      </c>
      <c r="D13" s="30">
        <f>103939122/10^5</f>
        <v>1039.39122</v>
      </c>
      <c r="E13" s="30">
        <v>667.49989049999999</v>
      </c>
      <c r="F13" s="30">
        <v>158.60349769999999</v>
      </c>
      <c r="G13" s="30">
        <v>39.72</v>
      </c>
      <c r="H13" s="30">
        <v>8.6405600000000007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35">
      <c r="B14" t="s">
        <v>117</v>
      </c>
      <c r="D14" s="30">
        <f>(1862794/10^5)*80%</f>
        <v>14.902352</v>
      </c>
      <c r="E14" s="30">
        <f>29.1511881*80%</f>
        <v>23.32095048</v>
      </c>
      <c r="F14" s="30">
        <f>11.535854*80%</f>
        <v>9.2286832000000008</v>
      </c>
      <c r="G14" s="30">
        <f>11.26*80%</f>
        <v>9.0080000000000009</v>
      </c>
      <c r="H14" s="30">
        <f>8.950677*80%</f>
        <v>7.1605416000000011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35">
      <c r="B15" t="s">
        <v>118</v>
      </c>
      <c r="D15" s="30">
        <f>2467248/10^5</f>
        <v>24.67248</v>
      </c>
      <c r="E15" s="30">
        <v>6.6765699999999999</v>
      </c>
      <c r="F15" s="30">
        <v>8.0707479000000006</v>
      </c>
      <c r="G15" s="30">
        <v>0.199518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35">
      <c r="B16" t="s">
        <v>119</v>
      </c>
      <c r="D16" s="30">
        <f>107442/10^5</f>
        <v>1.0744199999999999</v>
      </c>
      <c r="E16" s="30">
        <v>2.9018379999999997</v>
      </c>
      <c r="F16" s="30">
        <v>1.5086299999999999</v>
      </c>
      <c r="G16" s="30">
        <v>4.7489999999999997E-2</v>
      </c>
      <c r="H16" s="30">
        <v>2.1038000000000001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35">
      <c r="B17" t="s">
        <v>120</v>
      </c>
      <c r="D17" s="30">
        <f>625702/10^5</f>
        <v>6.2570199999999998</v>
      </c>
      <c r="E17" s="30">
        <v>14.51111</v>
      </c>
      <c r="F17" s="30">
        <f>0.24808+15.7408749</f>
        <v>15.9889549</v>
      </c>
      <c r="G17" s="30">
        <v>9.4109999999999999E-2</v>
      </c>
      <c r="H17" s="30">
        <f>0.06867+0.27686</f>
        <v>0.34553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35">
      <c r="B18" t="s">
        <v>121</v>
      </c>
      <c r="D18" s="30">
        <f>13701181/10^5</f>
        <v>137.01181</v>
      </c>
      <c r="E18" s="30">
        <v>79.482949599999998</v>
      </c>
      <c r="F18" s="30">
        <v>33.873122500000001</v>
      </c>
      <c r="G18" s="30">
        <v>25.169449199999999</v>
      </c>
      <c r="H18" s="30">
        <v>18.950501599999999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35">
      <c r="B19" t="s">
        <v>122</v>
      </c>
      <c r="D19" s="30">
        <f>16195777/10^5</f>
        <v>161.95777000000001</v>
      </c>
      <c r="E19" s="30">
        <v>160.1407371</v>
      </c>
      <c r="F19" s="30">
        <v>63.694831900000004</v>
      </c>
      <c r="G19" s="30">
        <v>1.03</v>
      </c>
      <c r="H19" s="30">
        <v>1.03251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35">
      <c r="D20" s="32">
        <f>SUM(D11:D19)</f>
        <v>1753.219214</v>
      </c>
      <c r="E20" s="32">
        <f>SUM(E11:E19)</f>
        <v>1172.5256595399999</v>
      </c>
      <c r="F20" s="32">
        <f>SUM(F11:F19)</f>
        <v>419.98734150000001</v>
      </c>
      <c r="G20" s="32">
        <f>SUM(G11:G19)</f>
        <v>109.71456719999999</v>
      </c>
      <c r="H20" s="32">
        <f>SUM(H11:H19)</f>
        <v>47.369048500000005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35"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35">
      <c r="A22" t="s">
        <v>50</v>
      </c>
      <c r="D22" s="32">
        <f>SUM(D23:D34)</f>
        <v>821.21414199999992</v>
      </c>
      <c r="E22" s="32">
        <f t="shared" ref="E22:H22" si="0">SUM(E23:E34)</f>
        <v>749.11878726000009</v>
      </c>
      <c r="F22" s="32">
        <f t="shared" si="0"/>
        <v>708.95658530000003</v>
      </c>
      <c r="G22" s="32">
        <f t="shared" si="0"/>
        <v>474.8592941</v>
      </c>
      <c r="H22" s="32">
        <f t="shared" si="0"/>
        <v>445.91396070000002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35">
      <c r="B23" t="s">
        <v>123</v>
      </c>
      <c r="D23" s="30">
        <f>18165515/10^5</f>
        <v>181.65514999999999</v>
      </c>
      <c r="E23" s="30">
        <v>290.75777640000001</v>
      </c>
      <c r="F23" s="30">
        <f>60.71032+17.8418126+'P&amp;L'!E54</f>
        <v>342.00213259999998</v>
      </c>
      <c r="G23" s="30">
        <f>0.06++'P&amp;L'!F54</f>
        <v>155.69</v>
      </c>
      <c r="H23" s="30">
        <f>103.1737261+'P&amp;L'!G54</f>
        <v>150.3081061</v>
      </c>
      <c r="I23" s="30">
        <v>5.4711192000000022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35">
      <c r="B24" t="s">
        <v>115</v>
      </c>
      <c r="D24" s="30">
        <f>D1-D12</f>
        <v>73.677167999999995</v>
      </c>
      <c r="E24" s="30">
        <f>E1-E12</f>
        <v>47.078407739999989</v>
      </c>
      <c r="F24" s="30">
        <f>F1-F12</f>
        <v>25.528828799999999</v>
      </c>
      <c r="G24" s="30">
        <f>G1-G12</f>
        <v>5.8539999999999992</v>
      </c>
      <c r="H24" s="30">
        <f>H1-H12</f>
        <v>2.3455960000000005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35"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x14ac:dyDescent="0.35">
      <c r="B26" t="s">
        <v>124</v>
      </c>
      <c r="D26" s="30">
        <f>(995755+5448620)/10^5</f>
        <v>64.443749999999994</v>
      </c>
      <c r="E26" s="30">
        <f>5.983186+21.4268617</f>
        <v>27.4100477</v>
      </c>
      <c r="F26" s="30">
        <f>0.48889+4.3877182</f>
        <v>4.8766081999999997</v>
      </c>
      <c r="G26" s="30">
        <f>0.52+1.86</f>
        <v>2.38</v>
      </c>
      <c r="H26" s="30">
        <v>0.30007109999999998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35">
      <c r="B27" t="s">
        <v>125</v>
      </c>
      <c r="D27" s="30">
        <f>5269189/10^5</f>
        <v>52.691890000000001</v>
      </c>
      <c r="E27" s="30">
        <v>23.138015699999997</v>
      </c>
      <c r="F27" s="30">
        <v>51.220810199999995</v>
      </c>
      <c r="G27" s="30">
        <v>117.33</v>
      </c>
      <c r="H27" s="30">
        <v>120.703834</v>
      </c>
      <c r="I27" s="30">
        <v>13.470659999999999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x14ac:dyDescent="0.35">
      <c r="B28" t="s">
        <v>117</v>
      </c>
      <c r="D28" s="30">
        <f>(1862794/10^5)*20%</f>
        <v>3.7255880000000001</v>
      </c>
      <c r="E28" s="30">
        <f>29.1511881*20%</f>
        <v>5.8302376200000001</v>
      </c>
      <c r="F28" s="30">
        <f>11.535854*20%</f>
        <v>2.3071708000000002</v>
      </c>
      <c r="G28" s="30">
        <f>11.26*20%</f>
        <v>2.2520000000000002</v>
      </c>
      <c r="H28" s="30">
        <f>8.950677*20%</f>
        <v>1.7901354000000003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35">
      <c r="B29" t="s">
        <v>126</v>
      </c>
      <c r="D29" s="30">
        <f>811194/10^5</f>
        <v>8.1119400000000006</v>
      </c>
      <c r="E29" s="30">
        <v>5.3</v>
      </c>
      <c r="F29" s="30">
        <v>3.5</v>
      </c>
      <c r="G29" s="30">
        <v>4.0999999999999996</v>
      </c>
      <c r="H29" s="30">
        <v>5.59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35">
      <c r="B30" s="40" t="s">
        <v>127</v>
      </c>
      <c r="C30" s="40"/>
      <c r="D30" s="44"/>
      <c r="E30" s="44"/>
      <c r="F30" s="44"/>
      <c r="G30" s="44"/>
      <c r="H30" s="44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35">
      <c r="B31" s="8" t="s">
        <v>36</v>
      </c>
      <c r="D31" s="27">
        <f>147.56568+25.04429</f>
        <v>172.60996999999998</v>
      </c>
      <c r="E31" s="27">
        <v>102.90153000000001</v>
      </c>
      <c r="F31" s="27">
        <v>100.75916220000001</v>
      </c>
      <c r="G31" s="27">
        <v>77.430000000000007</v>
      </c>
      <c r="H31" s="27">
        <v>95.067420199999987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</row>
    <row r="32" spans="1:30" x14ac:dyDescent="0.35">
      <c r="B32" s="40" t="s">
        <v>128</v>
      </c>
      <c r="C32" s="40"/>
      <c r="D32" s="44"/>
      <c r="E32" s="44"/>
      <c r="F32" s="44"/>
      <c r="G32" s="44"/>
      <c r="H32" s="44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</row>
    <row r="33" spans="2:30" x14ac:dyDescent="0.35"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</row>
    <row r="34" spans="2:30" x14ac:dyDescent="0.35">
      <c r="B34" s="35" t="s">
        <v>129</v>
      </c>
      <c r="D34" s="32">
        <f>SUM(D35:D65)</f>
        <v>264.29868599999998</v>
      </c>
      <c r="E34" s="32">
        <f>SUM(E35:E65)</f>
        <v>246.7027721</v>
      </c>
      <c r="F34" s="32">
        <f>SUM(F35:F67)</f>
        <v>178.76187250000001</v>
      </c>
      <c r="G34" s="32">
        <f>SUM(G35:G67)</f>
        <v>109.8232941</v>
      </c>
      <c r="H34" s="32">
        <f>SUM(H35:H67)</f>
        <v>69.808797900000002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</row>
    <row r="35" spans="2:30" x14ac:dyDescent="0.35">
      <c r="B35" t="s">
        <v>130</v>
      </c>
      <c r="D35" s="30">
        <v>0</v>
      </c>
      <c r="E35" s="30">
        <v>0</v>
      </c>
      <c r="F35" s="30">
        <v>0</v>
      </c>
      <c r="G35" s="30">
        <v>0</v>
      </c>
      <c r="H35" s="30">
        <v>3.2715300000000003E-2</v>
      </c>
      <c r="I35" s="30"/>
      <c r="J35" s="30"/>
    </row>
    <row r="36" spans="2:30" x14ac:dyDescent="0.35">
      <c r="B36" t="s">
        <v>131</v>
      </c>
      <c r="D36" s="30">
        <f>2212460/10^5</f>
        <v>22.124600000000001</v>
      </c>
      <c r="E36" s="30">
        <v>34.8660973</v>
      </c>
      <c r="F36" s="30">
        <v>20.953969099999998</v>
      </c>
      <c r="G36" s="30">
        <v>1.3699764000000001</v>
      </c>
      <c r="H36" s="30">
        <v>3.0278483</v>
      </c>
      <c r="I36" s="30"/>
      <c r="J36" s="30"/>
    </row>
    <row r="37" spans="2:30" x14ac:dyDescent="0.35">
      <c r="B37" t="s">
        <v>132</v>
      </c>
      <c r="D37" s="30">
        <f>165726/10^5</f>
        <v>1.65726</v>
      </c>
      <c r="E37" s="30">
        <v>6.1179999999999998E-2</v>
      </c>
      <c r="F37" s="30">
        <v>0.11899999999999999</v>
      </c>
      <c r="G37" s="30">
        <v>0</v>
      </c>
      <c r="H37" s="30">
        <v>-3.7999999999999999E-2</v>
      </c>
      <c r="I37" s="30"/>
      <c r="J37" s="30"/>
    </row>
    <row r="38" spans="2:30" x14ac:dyDescent="0.35">
      <c r="B38" t="s">
        <v>133</v>
      </c>
      <c r="D38" s="30">
        <f>972950/10^5</f>
        <v>9.7294999999999998</v>
      </c>
      <c r="E38" s="30">
        <v>13.0314447</v>
      </c>
      <c r="F38" s="30">
        <v>6.9327742000000008</v>
      </c>
      <c r="G38" s="30">
        <v>2.5599932000000001</v>
      </c>
      <c r="H38" s="30">
        <v>0</v>
      </c>
      <c r="I38" s="30"/>
      <c r="J38" s="30"/>
    </row>
    <row r="39" spans="2:30" x14ac:dyDescent="0.35">
      <c r="B39" t="s">
        <v>134</v>
      </c>
      <c r="D39" s="30"/>
      <c r="E39" s="30"/>
      <c r="F39" s="30"/>
      <c r="G39" s="30"/>
      <c r="H39" s="30"/>
      <c r="I39" s="30"/>
      <c r="J39" s="30"/>
    </row>
    <row r="40" spans="2:30" x14ac:dyDescent="0.35">
      <c r="B40" t="s">
        <v>135</v>
      </c>
      <c r="D40" s="30">
        <f>51310/10^5</f>
        <v>0.5131</v>
      </c>
      <c r="E40" s="30">
        <v>14.396990000000001</v>
      </c>
      <c r="F40" s="30">
        <v>15.07907</v>
      </c>
      <c r="G40" s="30">
        <v>13.474038799999999</v>
      </c>
      <c r="H40" s="30">
        <v>9.4109973</v>
      </c>
      <c r="I40" s="30"/>
      <c r="J40" s="30"/>
    </row>
    <row r="41" spans="2:30" x14ac:dyDescent="0.35">
      <c r="B41" t="s">
        <v>136</v>
      </c>
      <c r="D41" s="30">
        <f>239388/10^5</f>
        <v>2.3938799999999998</v>
      </c>
      <c r="E41" s="30">
        <v>4.5866275999999999</v>
      </c>
      <c r="F41" s="30">
        <v>2.5888776999999998</v>
      </c>
      <c r="G41" s="30">
        <v>0.21739900000000001</v>
      </c>
      <c r="H41" s="30">
        <v>0.29356500000000002</v>
      </c>
      <c r="I41" s="30"/>
      <c r="J41" s="30"/>
    </row>
    <row r="42" spans="2:30" x14ac:dyDescent="0.35">
      <c r="B42" t="s">
        <v>137</v>
      </c>
      <c r="D42" s="30">
        <f>41256/10^5</f>
        <v>0.41255999999999998</v>
      </c>
      <c r="E42" s="30">
        <f>0.01966+0.12</f>
        <v>0.13966000000000001</v>
      </c>
      <c r="F42" s="30">
        <f>-0.00983-0.09006</f>
        <v>-9.9890000000000007E-2</v>
      </c>
      <c r="G42" s="30">
        <v>0</v>
      </c>
      <c r="H42" s="30">
        <v>0</v>
      </c>
      <c r="I42" s="30"/>
      <c r="J42" s="30"/>
    </row>
    <row r="43" spans="2:30" x14ac:dyDescent="0.35">
      <c r="B43" t="s">
        <v>138</v>
      </c>
      <c r="D43" s="30">
        <f>1860887/10^5</f>
        <v>18.60887</v>
      </c>
      <c r="E43" s="30">
        <v>17.684797700000001</v>
      </c>
      <c r="F43" s="30">
        <v>10.066371500000001</v>
      </c>
      <c r="G43" s="30">
        <v>11.149793999999998</v>
      </c>
      <c r="H43" s="30">
        <v>1.7814007999999999</v>
      </c>
      <c r="I43" s="30"/>
      <c r="J43" s="30"/>
    </row>
    <row r="44" spans="2:30" x14ac:dyDescent="0.35">
      <c r="B44" t="s">
        <v>139</v>
      </c>
      <c r="D44" s="30">
        <f>1894953/10^5</f>
        <v>18.949529999999999</v>
      </c>
      <c r="E44" s="30">
        <v>6.4309013000000004</v>
      </c>
      <c r="F44" s="30">
        <v>3.9041659999999996</v>
      </c>
      <c r="G44" s="30">
        <v>0.36087999999999998</v>
      </c>
      <c r="H44" s="30">
        <v>0</v>
      </c>
      <c r="I44" s="30"/>
      <c r="J44" s="30"/>
    </row>
    <row r="45" spans="2:30" x14ac:dyDescent="0.35">
      <c r="B45" t="s">
        <v>140</v>
      </c>
      <c r="D45" s="30">
        <f>4485316/10^5</f>
        <v>44.853160000000003</v>
      </c>
      <c r="E45" s="30">
        <v>51.760587999999998</v>
      </c>
      <c r="F45" s="30">
        <v>-1.99952</v>
      </c>
      <c r="G45" s="30">
        <v>0.13753000000000001</v>
      </c>
      <c r="H45" s="30">
        <v>0.62980000000000003</v>
      </c>
      <c r="I45" s="30"/>
      <c r="J45" s="30"/>
    </row>
    <row r="46" spans="2:30" x14ac:dyDescent="0.35">
      <c r="B46" t="s">
        <v>141</v>
      </c>
      <c r="D46" s="30">
        <f>2941094/10^5</f>
        <v>29.41094</v>
      </c>
      <c r="E46" s="30">
        <v>41.997100000000003</v>
      </c>
      <c r="F46" s="30">
        <v>30.20073</v>
      </c>
      <c r="G46" s="30">
        <v>3.3832796000000003</v>
      </c>
      <c r="H46" s="30">
        <v>7.1939310999999995</v>
      </c>
      <c r="I46" s="30"/>
      <c r="J46" s="30"/>
    </row>
    <row r="47" spans="2:30" x14ac:dyDescent="0.35">
      <c r="B47" t="s">
        <v>142</v>
      </c>
      <c r="D47" s="30">
        <f>290282/10^5</f>
        <v>2.9028200000000002</v>
      </c>
      <c r="E47" s="30">
        <v>2.1412399999999998</v>
      </c>
      <c r="F47" s="30">
        <v>2.4</v>
      </c>
      <c r="G47" s="30">
        <v>0.26135000000000003</v>
      </c>
      <c r="H47" s="30">
        <v>0</v>
      </c>
      <c r="I47" s="30"/>
      <c r="J47" s="30"/>
    </row>
    <row r="48" spans="2:30" x14ac:dyDescent="0.35">
      <c r="B48" t="s">
        <v>143</v>
      </c>
      <c r="D48" s="30">
        <f>5245854/10^5</f>
        <v>52.458539999999999</v>
      </c>
      <c r="E48" s="30">
        <v>33.461320000000001</v>
      </c>
      <c r="F48" s="30">
        <v>44.801499999999997</v>
      </c>
      <c r="G48" s="30">
        <v>15.65509</v>
      </c>
      <c r="H48" s="30">
        <v>15.215727900000001</v>
      </c>
      <c r="I48" s="30"/>
      <c r="J48" s="30"/>
    </row>
    <row r="49" spans="2:10" x14ac:dyDescent="0.35">
      <c r="B49" t="s">
        <v>144</v>
      </c>
      <c r="D49" s="30">
        <f>1655002/10^5</f>
        <v>16.55002</v>
      </c>
      <c r="E49" s="30">
        <v>0.82742000000000004</v>
      </c>
      <c r="F49" s="30">
        <v>0.41702</v>
      </c>
      <c r="G49" s="30">
        <v>0.25</v>
      </c>
      <c r="H49" s="30">
        <v>4.4999999999999997E-3</v>
      </c>
      <c r="I49" s="30"/>
      <c r="J49" s="30"/>
    </row>
    <row r="50" spans="2:10" x14ac:dyDescent="0.35">
      <c r="B50" s="40" t="s">
        <v>145</v>
      </c>
      <c r="C50" s="40"/>
      <c r="D50" s="44"/>
      <c r="E50" s="44"/>
      <c r="F50" s="44"/>
      <c r="G50" s="44"/>
      <c r="H50" s="44"/>
      <c r="I50" s="30"/>
      <c r="J50" s="30"/>
    </row>
    <row r="51" spans="2:10" x14ac:dyDescent="0.35">
      <c r="B51" t="s">
        <v>146</v>
      </c>
      <c r="D51" s="30">
        <v>0</v>
      </c>
      <c r="E51" s="30">
        <v>5.3199999999999997E-2</v>
      </c>
      <c r="F51" s="30">
        <v>0</v>
      </c>
      <c r="G51" s="30">
        <v>0</v>
      </c>
      <c r="H51" s="30">
        <v>0</v>
      </c>
      <c r="I51" s="30"/>
      <c r="J51" s="30"/>
    </row>
    <row r="52" spans="2:10" x14ac:dyDescent="0.35">
      <c r="B52" t="s">
        <v>147</v>
      </c>
      <c r="D52" s="30">
        <v>0</v>
      </c>
      <c r="E52" s="30">
        <v>0.03</v>
      </c>
      <c r="F52" s="30">
        <v>3.3000000000000002E-2</v>
      </c>
      <c r="G52" s="30">
        <v>0</v>
      </c>
      <c r="H52" s="30">
        <v>0</v>
      </c>
      <c r="I52" s="30"/>
      <c r="J52" s="30"/>
    </row>
    <row r="53" spans="2:10" x14ac:dyDescent="0.35">
      <c r="B53" t="s">
        <v>148</v>
      </c>
      <c r="D53" s="30">
        <v>0</v>
      </c>
      <c r="E53" s="30">
        <v>0.65</v>
      </c>
      <c r="F53" s="30">
        <v>0</v>
      </c>
      <c r="G53" s="30">
        <v>0</v>
      </c>
      <c r="H53" s="30">
        <v>0</v>
      </c>
      <c r="I53" s="30"/>
      <c r="J53" s="30"/>
    </row>
    <row r="54" spans="2:10" x14ac:dyDescent="0.35">
      <c r="B54" t="s">
        <v>149</v>
      </c>
      <c r="D54" s="30">
        <v>0</v>
      </c>
      <c r="E54" s="30">
        <v>0</v>
      </c>
      <c r="F54" s="30">
        <v>0.12130049999999999</v>
      </c>
      <c r="G54" s="30">
        <v>0.36887999999999999</v>
      </c>
      <c r="H54" s="30">
        <v>1.4E-2</v>
      </c>
      <c r="I54" s="30"/>
      <c r="J54" s="30"/>
    </row>
    <row r="55" spans="2:10" x14ac:dyDescent="0.35">
      <c r="B55" t="s">
        <v>150</v>
      </c>
      <c r="D55" s="30">
        <f>470229/10^5</f>
        <v>4.7022899999999996</v>
      </c>
      <c r="E55" s="30">
        <v>0</v>
      </c>
      <c r="F55" s="30">
        <v>0</v>
      </c>
      <c r="G55" s="30">
        <v>0</v>
      </c>
      <c r="H55" s="30">
        <v>0</v>
      </c>
      <c r="I55" s="30"/>
      <c r="J55" s="30"/>
    </row>
    <row r="56" spans="2:10" x14ac:dyDescent="0.35">
      <c r="B56" t="s">
        <v>151</v>
      </c>
      <c r="D56" s="30">
        <f>-345323/10^5</f>
        <v>-3.45323</v>
      </c>
      <c r="E56" s="30">
        <v>0</v>
      </c>
      <c r="F56" s="30">
        <v>0</v>
      </c>
      <c r="G56" s="30">
        <v>0</v>
      </c>
      <c r="H56" s="30">
        <v>0</v>
      </c>
      <c r="I56" s="30"/>
      <c r="J56" s="30"/>
    </row>
    <row r="57" spans="2:10" x14ac:dyDescent="0.35">
      <c r="B57" t="s">
        <v>152</v>
      </c>
      <c r="D57" s="30">
        <f>1140903/10^5</f>
        <v>11.40903</v>
      </c>
      <c r="E57" s="30">
        <f>2.6416252+2.5066096</f>
        <v>5.1482348</v>
      </c>
      <c r="F57" s="30">
        <v>15.232024900000001</v>
      </c>
      <c r="G57" s="30">
        <v>1.3240175000000001</v>
      </c>
      <c r="H57" s="30">
        <v>-0.43433910000000003</v>
      </c>
      <c r="I57" s="30"/>
      <c r="J57" s="30"/>
    </row>
    <row r="58" spans="2:10" x14ac:dyDescent="0.35">
      <c r="B58" t="s">
        <v>153</v>
      </c>
      <c r="D58" s="30">
        <f>1246553.91/10^5+300000/10^5-135246/10^5</f>
        <v>14.113079099999998</v>
      </c>
      <c r="E58" s="30">
        <f>96.3488759-79.2799886-9</f>
        <v>8.0688873000000001</v>
      </c>
      <c r="F58" s="30">
        <f>0.0024+12.8198149+0.0249067</f>
        <v>12.847121600000001</v>
      </c>
      <c r="G58" s="30">
        <v>44.6695426</v>
      </c>
      <c r="H58" s="30">
        <f>0.1271205+17.0553512</f>
        <v>17.182471700000001</v>
      </c>
      <c r="I58" s="30"/>
      <c r="J58" s="30"/>
    </row>
    <row r="59" spans="2:10" x14ac:dyDescent="0.35">
      <c r="B59" t="s">
        <v>154</v>
      </c>
      <c r="D59" s="30">
        <f>193417.69/10^5</f>
        <v>1.9341769</v>
      </c>
      <c r="E59" s="30">
        <v>-0.1122257</v>
      </c>
      <c r="F59" s="30">
        <v>-5.8315600000000002E-2</v>
      </c>
      <c r="G59" s="30">
        <v>-0.12393700000000001</v>
      </c>
      <c r="H59" s="30">
        <v>-0.25632650000000001</v>
      </c>
      <c r="I59" s="30"/>
      <c r="J59" s="30"/>
    </row>
    <row r="60" spans="2:10" x14ac:dyDescent="0.35">
      <c r="B60" t="s">
        <v>155</v>
      </c>
      <c r="D60" s="30">
        <f>2214/10^5</f>
        <v>2.214E-2</v>
      </c>
      <c r="E60" s="30">
        <v>0.1022</v>
      </c>
      <c r="F60" s="30">
        <v>0.14449000000000001</v>
      </c>
      <c r="G60" s="30">
        <v>0</v>
      </c>
      <c r="H60" s="30">
        <v>3.2259999999999997E-2</v>
      </c>
      <c r="I60" s="30"/>
      <c r="J60" s="30"/>
    </row>
    <row r="61" spans="2:10" x14ac:dyDescent="0.35">
      <c r="B61" t="s">
        <v>156</v>
      </c>
      <c r="D61" s="30">
        <f>185707/10^5</f>
        <v>1.85707</v>
      </c>
      <c r="E61" s="30">
        <v>-0.48836000000000002</v>
      </c>
      <c r="F61" s="30">
        <v>0.68659999999999999</v>
      </c>
      <c r="G61" s="30">
        <v>0.11887</v>
      </c>
      <c r="H61" s="30">
        <v>0</v>
      </c>
      <c r="I61" s="30"/>
      <c r="J61" s="30"/>
    </row>
    <row r="62" spans="2:10" x14ac:dyDescent="0.35">
      <c r="B62" t="s">
        <v>157</v>
      </c>
      <c r="D62" s="30">
        <v>0</v>
      </c>
      <c r="E62" s="30">
        <v>1.1233</v>
      </c>
      <c r="F62" s="30">
        <v>1.6423700000000001</v>
      </c>
      <c r="G62" s="30">
        <v>1.3749899999999999</v>
      </c>
      <c r="H62" s="30">
        <v>0</v>
      </c>
      <c r="I62" s="30"/>
      <c r="J62" s="30"/>
    </row>
    <row r="63" spans="2:10" x14ac:dyDescent="0.35">
      <c r="B63" t="s">
        <v>158</v>
      </c>
      <c r="D63" s="30">
        <f>11829/10^5</f>
        <v>0.11829000000000001</v>
      </c>
      <c r="E63" s="30">
        <v>0</v>
      </c>
      <c r="F63" s="30">
        <v>0</v>
      </c>
      <c r="G63" s="30">
        <v>0</v>
      </c>
      <c r="H63" s="30">
        <v>0</v>
      </c>
      <c r="I63" s="30"/>
      <c r="J63" s="30"/>
    </row>
    <row r="64" spans="2:10" x14ac:dyDescent="0.35">
      <c r="B64" t="s">
        <v>159</v>
      </c>
      <c r="D64" s="30">
        <f>235134/10^5</f>
        <v>2.35134</v>
      </c>
      <c r="E64" s="30">
        <v>2.2549700000000001</v>
      </c>
      <c r="F64" s="30">
        <v>2.730756</v>
      </c>
      <c r="G64" s="30">
        <v>0.62044999999999995</v>
      </c>
      <c r="H64" s="30">
        <v>1.308E-2</v>
      </c>
      <c r="I64" s="30"/>
      <c r="J64" s="30"/>
    </row>
    <row r="65" spans="2:10" x14ac:dyDescent="0.35">
      <c r="B65" t="s">
        <v>160</v>
      </c>
      <c r="D65" s="30">
        <f>1067972/10^5</f>
        <v>10.67972</v>
      </c>
      <c r="E65" s="30">
        <v>8.4871990999999998</v>
      </c>
      <c r="F65" s="30">
        <v>10.0184566</v>
      </c>
      <c r="G65" s="30">
        <v>12.651149999999999</v>
      </c>
      <c r="H65" s="30">
        <v>13.9026361</v>
      </c>
      <c r="I65" s="30"/>
      <c r="J65" s="30"/>
    </row>
    <row r="66" spans="2:10" x14ac:dyDescent="0.35">
      <c r="B66" t="s">
        <v>161</v>
      </c>
      <c r="D66" s="30">
        <v>0</v>
      </c>
      <c r="E66" s="30">
        <v>0</v>
      </c>
      <c r="F66" s="30">
        <v>0</v>
      </c>
      <c r="G66" s="30">
        <v>0</v>
      </c>
      <c r="H66" s="30">
        <v>1.80253</v>
      </c>
      <c r="I66" s="30"/>
      <c r="J66" s="30"/>
    </row>
    <row r="67" spans="2:10" x14ac:dyDescent="0.35">
      <c r="B67" s="40" t="s">
        <v>162</v>
      </c>
      <c r="C67" s="40"/>
      <c r="D67" s="44"/>
      <c r="E67" s="44"/>
      <c r="F67" s="44"/>
      <c r="G67" s="40"/>
      <c r="H67" s="4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55"/>
  <sheetViews>
    <sheetView tabSelected="1" zoomScale="90" zoomScaleNormal="90" workbookViewId="0">
      <pane xSplit="2" ySplit="8" topLeftCell="C22" activePane="bottomRight" state="frozen"/>
      <selection activeCell="I79" sqref="I79:M79"/>
      <selection pane="topRight" activeCell="I79" sqref="I79:M79"/>
      <selection pane="bottomLeft" activeCell="I79" sqref="I79:M79"/>
      <selection pane="bottomRight" activeCell="F34" sqref="F34"/>
    </sheetView>
  </sheetViews>
  <sheetFormatPr defaultColWidth="9.1796875" defaultRowHeight="14.5" x14ac:dyDescent="0.35"/>
  <cols>
    <col min="1" max="1" width="9.1796875" style="116"/>
    <col min="2" max="2" width="36.7265625" style="116" customWidth="1"/>
    <col min="3" max="5" width="10.1796875" style="116" customWidth="1"/>
    <col min="6" max="7" width="10" style="116" customWidth="1"/>
    <col min="8" max="8" width="9.26953125" style="116" bestFit="1" customWidth="1"/>
    <col min="9" max="9" width="9.453125" style="116" bestFit="1" customWidth="1"/>
    <col min="10" max="13" width="10.1796875" style="116" bestFit="1" customWidth="1"/>
    <col min="14" max="16384" width="9.1796875" style="116"/>
  </cols>
  <sheetData>
    <row r="1" spans="1:23" x14ac:dyDescent="0.35">
      <c r="C1" s="289">
        <f t="shared" ref="C1" si="0">C6-C7</f>
        <v>17858.371418800001</v>
      </c>
      <c r="D1" s="289">
        <f>D6-D7</f>
        <v>19797.822552100002</v>
      </c>
      <c r="E1" s="289">
        <f t="shared" ref="E1:G1" si="1">E6-E7</f>
        <v>15113.480840300001</v>
      </c>
      <c r="F1" s="289">
        <f t="shared" si="1"/>
        <v>4805.05</v>
      </c>
      <c r="G1" s="289">
        <f t="shared" si="1"/>
        <v>4802.2242339000004</v>
      </c>
      <c r="H1" s="289">
        <f>I1/12*2</f>
        <v>697.58341762346572</v>
      </c>
      <c r="I1" s="289">
        <f>I6-I7</f>
        <v>4185.5005057407943</v>
      </c>
      <c r="J1" s="289">
        <f t="shared" ref="J1:M1" si="2">J6-J7</f>
        <v>4813.3728589069306</v>
      </c>
      <c r="K1" s="289">
        <f t="shared" si="2"/>
        <v>5631.4516164035513</v>
      </c>
      <c r="L1" s="289">
        <f t="shared" si="2"/>
        <v>6561.3581893689488</v>
      </c>
      <c r="M1" s="289">
        <f t="shared" si="2"/>
        <v>7574.2221634469061</v>
      </c>
    </row>
    <row r="2" spans="1:23" x14ac:dyDescent="0.35">
      <c r="B2" s="3"/>
      <c r="C2" s="3" t="s">
        <v>12</v>
      </c>
      <c r="D2" s="3" t="s">
        <v>11</v>
      </c>
      <c r="E2" s="3" t="s">
        <v>10</v>
      </c>
      <c r="F2" s="3" t="s">
        <v>9</v>
      </c>
      <c r="G2" s="3" t="s">
        <v>8</v>
      </c>
      <c r="H2" s="1" t="s">
        <v>0</v>
      </c>
      <c r="I2" s="251" t="s">
        <v>1</v>
      </c>
      <c r="J2" s="251" t="s">
        <v>2</v>
      </c>
      <c r="K2" s="251" t="s">
        <v>3</v>
      </c>
      <c r="L2" s="251" t="s">
        <v>4</v>
      </c>
      <c r="M2" s="251" t="s">
        <v>5</v>
      </c>
      <c r="O2" s="3" t="s">
        <v>10</v>
      </c>
      <c r="P2" s="3" t="s">
        <v>9</v>
      </c>
      <c r="Q2" s="3" t="s">
        <v>8</v>
      </c>
      <c r="R2" s="1" t="s">
        <v>0</v>
      </c>
      <c r="S2" s="345" t="s">
        <v>1</v>
      </c>
      <c r="T2" s="345" t="s">
        <v>2</v>
      </c>
      <c r="U2" s="345" t="s">
        <v>3</v>
      </c>
      <c r="V2" s="345" t="s">
        <v>4</v>
      </c>
      <c r="W2" s="345" t="s">
        <v>5</v>
      </c>
    </row>
    <row r="3" spans="1:23" x14ac:dyDescent="0.35">
      <c r="B3" s="146" t="s">
        <v>235</v>
      </c>
      <c r="C3" s="146">
        <v>171</v>
      </c>
      <c r="D3" s="146">
        <v>155</v>
      </c>
      <c r="E3" s="146">
        <v>128</v>
      </c>
      <c r="F3" s="146">
        <v>111</v>
      </c>
      <c r="G3" s="146">
        <v>99</v>
      </c>
      <c r="H3" s="1">
        <v>83</v>
      </c>
      <c r="I3" s="251">
        <f>'Bottomup Sales'!AS5</f>
        <v>88</v>
      </c>
      <c r="J3" s="251">
        <f>'Bottomup Sales'!AS6</f>
        <v>98</v>
      </c>
      <c r="K3" s="251">
        <f>'Bottomup Sales'!AS7</f>
        <v>110</v>
      </c>
      <c r="L3" s="251">
        <f>'Bottomup Sales'!AS8</f>
        <v>122</v>
      </c>
      <c r="M3" s="251">
        <f>'Bottomup Sales'!AS9</f>
        <v>134</v>
      </c>
    </row>
    <row r="4" spans="1:23" x14ac:dyDescent="0.35">
      <c r="B4" s="146" t="s">
        <v>233</v>
      </c>
      <c r="C4" s="26">
        <v>22041.771682199997</v>
      </c>
      <c r="D4" s="26">
        <v>23424.5592259</v>
      </c>
      <c r="E4" s="26">
        <v>16877.162276900002</v>
      </c>
      <c r="F4" s="26">
        <v>5545.6074887000004</v>
      </c>
      <c r="G4" s="26">
        <v>5722.0133070000002</v>
      </c>
      <c r="H4" s="101">
        <f>'Sales Buildup'!H25</f>
        <v>4226.4174118999999</v>
      </c>
      <c r="I4" s="290">
        <f>'GM Buildup'!I3+'GM Buildup'!I44</f>
        <v>5023.9406752256127</v>
      </c>
      <c r="J4" s="290">
        <f>'GM Buildup'!J3+'GM Buildup'!J44</f>
        <v>5777.1676483481751</v>
      </c>
      <c r="K4" s="290">
        <f>'GM Buildup'!K3+'GM Buildup'!K44</f>
        <v>6747.9582971829932</v>
      </c>
      <c r="L4" s="290">
        <f>'GM Buildup'!L3+'GM Buildup'!L44</f>
        <v>7861.3165611412933</v>
      </c>
      <c r="M4" s="290">
        <f>'GM Buildup'!M3+'GM Buildup'!M44</f>
        <v>9084.1202961754225</v>
      </c>
    </row>
    <row r="5" spans="1:23" x14ac:dyDescent="0.35">
      <c r="B5" s="146" t="s">
        <v>234</v>
      </c>
      <c r="C5" s="26">
        <v>1033.1504</v>
      </c>
      <c r="D5" s="26">
        <v>1108.9683790000001</v>
      </c>
      <c r="E5" s="26">
        <v>985.50273549999997</v>
      </c>
      <c r="F5" s="26">
        <v>736.27440879999995</v>
      </c>
      <c r="G5" s="26">
        <v>742.54401260000009</v>
      </c>
      <c r="H5" s="101">
        <f>'GM Buildup'!H117</f>
        <v>560.58415939999986</v>
      </c>
      <c r="I5" s="290">
        <f>'GM Buildup'!I117</f>
        <v>720.99119131907901</v>
      </c>
      <c r="J5" s="290">
        <f>'GM Buildup'!J117</f>
        <v>867.59031045098709</v>
      </c>
      <c r="K5" s="290">
        <f>'GM Buildup'!K117</f>
        <v>1022.5274664960858</v>
      </c>
      <c r="L5" s="290">
        <f>'GM Buildup'!L117</f>
        <v>1101.2459664960857</v>
      </c>
      <c r="M5" s="290">
        <f>'GM Buildup'!M117</f>
        <v>1268.6234068956944</v>
      </c>
    </row>
    <row r="6" spans="1:23" x14ac:dyDescent="0.35">
      <c r="B6" s="3" t="s">
        <v>13</v>
      </c>
      <c r="C6" s="26">
        <v>23074.922082199999</v>
      </c>
      <c r="D6" s="26">
        <v>24533.527604899999</v>
      </c>
      <c r="E6" s="26">
        <v>17862.665012400001</v>
      </c>
      <c r="F6" s="26">
        <v>6281.88</v>
      </c>
      <c r="G6" s="26">
        <v>6464.5573196000005</v>
      </c>
      <c r="H6" s="102">
        <f>SUM(H4:H5)</f>
        <v>4787.0015712999993</v>
      </c>
      <c r="I6" s="26">
        <f t="shared" ref="I6:M6" si="3">SUM(I4:I5)</f>
        <v>5744.9318665446917</v>
      </c>
      <c r="J6" s="26">
        <f t="shared" si="3"/>
        <v>6644.7579587991622</v>
      </c>
      <c r="K6" s="26">
        <f t="shared" si="3"/>
        <v>7770.4857636790794</v>
      </c>
      <c r="L6" s="26">
        <f t="shared" si="3"/>
        <v>8962.5625276373794</v>
      </c>
      <c r="M6" s="26">
        <f t="shared" si="3"/>
        <v>10352.743703071117</v>
      </c>
    </row>
    <row r="7" spans="1:23" x14ac:dyDescent="0.35">
      <c r="A7" s="289"/>
      <c r="B7" s="3" t="s">
        <v>14</v>
      </c>
      <c r="C7" s="26">
        <v>5216.5506633999976</v>
      </c>
      <c r="D7" s="26">
        <v>4735.7050527999963</v>
      </c>
      <c r="E7" s="26">
        <v>2749.1841721000001</v>
      </c>
      <c r="F7" s="26">
        <v>1476.83</v>
      </c>
      <c r="G7" s="26">
        <v>1662.3330857000001</v>
      </c>
      <c r="H7" s="291">
        <f>'GM Buildup'!H17+'GM Buildup'!H57+'GM Buildup'!H117</f>
        <v>1252.2528064889127</v>
      </c>
      <c r="I7" s="292">
        <f>'GM Buildup'!I17+'GM Buildup'!I57+'GM Buildup'!I117</f>
        <v>1559.4313608038974</v>
      </c>
      <c r="J7" s="292">
        <f>'GM Buildup'!J17+'GM Buildup'!J57+'GM Buildup'!J117</f>
        <v>1831.3850998922312</v>
      </c>
      <c r="K7" s="292">
        <f>'GM Buildup'!K17+'GM Buildup'!K57+'GM Buildup'!K117</f>
        <v>2139.0341472755281</v>
      </c>
      <c r="L7" s="292">
        <f>'GM Buildup'!L17+'GM Buildup'!L57+'GM Buildup'!L117</f>
        <v>2401.2043382684305</v>
      </c>
      <c r="M7" s="292">
        <f>'GM Buildup'!M17+'GM Buildup'!M57+'GM Buildup'!M117</f>
        <v>2778.5215396242115</v>
      </c>
    </row>
    <row r="8" spans="1:23" x14ac:dyDescent="0.35">
      <c r="A8" s="250"/>
      <c r="B8" s="4" t="s">
        <v>15</v>
      </c>
      <c r="C8" s="11">
        <f t="shared" ref="C8:M8" si="4">C7/C6</f>
        <v>0.22607013123671807</v>
      </c>
      <c r="D8" s="11">
        <f t="shared" si="4"/>
        <v>0.19302992741468414</v>
      </c>
      <c r="E8" s="11">
        <f t="shared" si="4"/>
        <v>0.15390671941681472</v>
      </c>
      <c r="F8" s="11">
        <f t="shared" si="4"/>
        <v>0.23509363438970499</v>
      </c>
      <c r="G8" s="11">
        <f t="shared" si="4"/>
        <v>0.25714569513676433</v>
      </c>
      <c r="H8" s="11">
        <f t="shared" si="4"/>
        <v>0.26159440055267003</v>
      </c>
      <c r="I8" s="11">
        <f t="shared" si="4"/>
        <v>0.27144470935942056</v>
      </c>
      <c r="J8" s="11">
        <f t="shared" si="4"/>
        <v>0.27561351538276324</v>
      </c>
      <c r="K8" s="11">
        <f t="shared" si="4"/>
        <v>0.27527676033766557</v>
      </c>
      <c r="L8" s="11">
        <f t="shared" si="4"/>
        <v>0.26791493290718632</v>
      </c>
      <c r="M8" s="11">
        <f t="shared" si="4"/>
        <v>0.26838504065351965</v>
      </c>
      <c r="N8" s="150"/>
    </row>
    <row r="9" spans="1:23" x14ac:dyDescent="0.35">
      <c r="B9" s="224" t="s">
        <v>21</v>
      </c>
      <c r="C9" s="156"/>
      <c r="D9" s="156"/>
      <c r="E9" s="156"/>
      <c r="F9" s="156"/>
      <c r="G9" s="156"/>
      <c r="H9" s="293"/>
      <c r="I9" s="292"/>
      <c r="J9" s="292"/>
      <c r="K9" s="292"/>
      <c r="L9" s="146"/>
      <c r="M9" s="146"/>
    </row>
    <row r="10" spans="1:23" x14ac:dyDescent="0.35">
      <c r="A10" s="226"/>
      <c r="B10" s="225" t="s">
        <v>327</v>
      </c>
      <c r="C10" s="156">
        <f>'Other operating cost - No use'!D20+'Other operating cost - No use'!D9</f>
        <v>2610.3995596999998</v>
      </c>
      <c r="D10" s="156">
        <f>'Other operating cost - No use'!E20+'Other operating cost - No use'!E9</f>
        <v>2517.3200608399998</v>
      </c>
      <c r="E10" s="156">
        <f>'Other operating cost - No use'!F20+'Other operating cost - No use'!F9</f>
        <v>1981.8510165999999</v>
      </c>
      <c r="F10" s="156">
        <f>'Other operating cost - No use'!G20+'Other operating cost - No use'!G9</f>
        <v>976.21456720000003</v>
      </c>
      <c r="G10" s="156">
        <f>'Other operating cost - No use'!H20+'Other operating cost - No use'!H9</f>
        <v>941.34845009999992</v>
      </c>
      <c r="H10" s="291">
        <v>301.45999999999998</v>
      </c>
      <c r="I10" s="292">
        <f>I4*S10</f>
        <v>358.3453805791172</v>
      </c>
      <c r="J10" s="292">
        <f t="shared" ref="J10:M10" si="5">J4*T10</f>
        <v>412.07121529629171</v>
      </c>
      <c r="K10" s="292">
        <f t="shared" si="5"/>
        <v>481.31533400868847</v>
      </c>
      <c r="L10" s="292">
        <f t="shared" si="5"/>
        <v>560.72845144187261</v>
      </c>
      <c r="M10" s="292">
        <f t="shared" si="5"/>
        <v>647.94804620444279</v>
      </c>
      <c r="N10" s="250"/>
      <c r="O10" s="155">
        <f>E10/E4</f>
        <v>0.11742797658067114</v>
      </c>
      <c r="P10" s="155">
        <f t="shared" ref="P10:R10" si="6">F10/F4</f>
        <v>0.17603383744507384</v>
      </c>
      <c r="Q10" s="155">
        <f t="shared" si="6"/>
        <v>0.16451350243251014</v>
      </c>
      <c r="R10" s="155">
        <f t="shared" si="6"/>
        <v>7.1327550173156617E-2</v>
      </c>
      <c r="S10" s="346">
        <f>R10</f>
        <v>7.1327550173156617E-2</v>
      </c>
      <c r="T10" s="346">
        <f t="shared" ref="T10:W10" si="7">S10</f>
        <v>7.1327550173156617E-2</v>
      </c>
      <c r="U10" s="346">
        <f t="shared" si="7"/>
        <v>7.1327550173156617E-2</v>
      </c>
      <c r="V10" s="346">
        <f t="shared" si="7"/>
        <v>7.1327550173156617E-2</v>
      </c>
      <c r="W10" s="346">
        <f t="shared" si="7"/>
        <v>7.1327550173156617E-2</v>
      </c>
    </row>
    <row r="11" spans="1:23" x14ac:dyDescent="0.35">
      <c r="A11" s="226"/>
      <c r="B11" s="225" t="s">
        <v>22</v>
      </c>
      <c r="C11" s="156"/>
      <c r="D11" s="156"/>
      <c r="E11" s="156"/>
      <c r="F11" s="156"/>
      <c r="G11" s="156"/>
      <c r="H11" s="291">
        <f>262.38+100</f>
        <v>362.38</v>
      </c>
      <c r="I11" s="292">
        <f>I4*S11</f>
        <v>430.76096004199729</v>
      </c>
      <c r="J11" s="292">
        <f t="shared" ref="J11:M11" si="8">J4*T11</f>
        <v>495.34388309915141</v>
      </c>
      <c r="K11" s="292">
        <f t="shared" si="8"/>
        <v>578.58107456401683</v>
      </c>
      <c r="L11" s="292">
        <f t="shared" si="8"/>
        <v>674.0422485023081</v>
      </c>
      <c r="M11" s="292">
        <f t="shared" si="8"/>
        <v>778.88745765131694</v>
      </c>
      <c r="N11" s="250"/>
      <c r="O11" s="155">
        <f>E11/E4</f>
        <v>0</v>
      </c>
      <c r="P11" s="155">
        <f t="shared" ref="P11:R11" si="9">F11/F4</f>
        <v>0</v>
      </c>
      <c r="Q11" s="155">
        <f t="shared" si="9"/>
        <v>0</v>
      </c>
      <c r="R11" s="155">
        <f t="shared" si="9"/>
        <v>8.5741649412023141E-2</v>
      </c>
      <c r="S11" s="346">
        <f>R11</f>
        <v>8.5741649412023141E-2</v>
      </c>
      <c r="T11" s="346">
        <f t="shared" ref="T11:W11" si="10">S11</f>
        <v>8.5741649412023141E-2</v>
      </c>
      <c r="U11" s="346">
        <f t="shared" si="10"/>
        <v>8.5741649412023141E-2</v>
      </c>
      <c r="V11" s="346">
        <f t="shared" si="10"/>
        <v>8.5741649412023141E-2</v>
      </c>
      <c r="W11" s="346">
        <f t="shared" si="10"/>
        <v>8.5741649412023141E-2</v>
      </c>
    </row>
    <row r="12" spans="1:23" x14ac:dyDescent="0.35">
      <c r="A12" s="226"/>
      <c r="B12" s="254" t="s">
        <v>357</v>
      </c>
      <c r="C12" s="296">
        <f t="shared" ref="C12:M12" si="11">C10+C11</f>
        <v>2610.3995596999998</v>
      </c>
      <c r="D12" s="296">
        <f t="shared" si="11"/>
        <v>2517.3200608399998</v>
      </c>
      <c r="E12" s="296">
        <f t="shared" si="11"/>
        <v>1981.8510165999999</v>
      </c>
      <c r="F12" s="296">
        <f t="shared" si="11"/>
        <v>976.21456720000003</v>
      </c>
      <c r="G12" s="296">
        <f t="shared" si="11"/>
        <v>941.34845009999992</v>
      </c>
      <c r="H12" s="16">
        <f t="shared" si="11"/>
        <v>663.83999999999992</v>
      </c>
      <c r="I12" s="17">
        <f t="shared" si="11"/>
        <v>789.10634062111444</v>
      </c>
      <c r="J12" s="17">
        <f t="shared" si="11"/>
        <v>907.41509839544312</v>
      </c>
      <c r="K12" s="17">
        <f t="shared" si="11"/>
        <v>1059.8964085727052</v>
      </c>
      <c r="L12" s="17">
        <f t="shared" si="11"/>
        <v>1234.7706999441807</v>
      </c>
      <c r="M12" s="17">
        <f t="shared" si="11"/>
        <v>1426.8355038557597</v>
      </c>
      <c r="O12" s="155">
        <f>E12/E4</f>
        <v>0.11742797658067114</v>
      </c>
      <c r="P12" s="155">
        <f t="shared" ref="P12:R12" si="12">F12/F4</f>
        <v>0.17603383744507384</v>
      </c>
      <c r="Q12" s="155">
        <f t="shared" si="12"/>
        <v>0.16451350243251014</v>
      </c>
      <c r="R12" s="155">
        <f t="shared" si="12"/>
        <v>0.15706919958517973</v>
      </c>
      <c r="S12" s="155">
        <f t="shared" ref="S12" si="13">I12/I4</f>
        <v>0.15706919958517973</v>
      </c>
      <c r="T12" s="155">
        <f t="shared" ref="T12" si="14">J12/J4</f>
        <v>0.15706919958517976</v>
      </c>
      <c r="U12" s="155">
        <f t="shared" ref="U12" si="15">K12/K4</f>
        <v>0.15706919958517976</v>
      </c>
      <c r="V12" s="155">
        <f t="shared" ref="V12" si="16">L12/L4</f>
        <v>0.15706919958517976</v>
      </c>
      <c r="W12" s="155">
        <f t="shared" ref="W12" si="17">M12/M4</f>
        <v>0.15706919958517976</v>
      </c>
    </row>
    <row r="13" spans="1:23" x14ac:dyDescent="0.35">
      <c r="A13" s="226"/>
      <c r="B13" s="225" t="s">
        <v>24</v>
      </c>
      <c r="C13" s="297">
        <f t="shared" ref="C13:M13" si="18">C12/C6</f>
        <v>0.11312712348067527</v>
      </c>
      <c r="D13" s="297">
        <f t="shared" si="18"/>
        <v>0.10260734213930263</v>
      </c>
      <c r="E13" s="297">
        <f t="shared" si="18"/>
        <v>0.11094934687652866</v>
      </c>
      <c r="F13" s="297">
        <f t="shared" si="18"/>
        <v>0.15540165797500111</v>
      </c>
      <c r="G13" s="297">
        <f t="shared" si="18"/>
        <v>0.14561684637645794</v>
      </c>
      <c r="H13" s="11">
        <f t="shared" si="18"/>
        <v>0.13867553417571196</v>
      </c>
      <c r="I13" s="12">
        <f t="shared" si="18"/>
        <v>0.13735695373803014</v>
      </c>
      <c r="J13" s="12">
        <f t="shared" si="18"/>
        <v>0.13656104616930709</v>
      </c>
      <c r="K13" s="12">
        <f t="shared" si="18"/>
        <v>0.13640027674034086</v>
      </c>
      <c r="L13" s="12">
        <f t="shared" si="18"/>
        <v>0.13776982823122111</v>
      </c>
      <c r="M13" s="12">
        <f t="shared" si="18"/>
        <v>0.13782196727544721</v>
      </c>
    </row>
    <row r="14" spans="1:23" x14ac:dyDescent="0.35">
      <c r="A14" s="295"/>
      <c r="B14" s="146" t="s">
        <v>30</v>
      </c>
      <c r="C14" s="156">
        <v>1937.3599400000001</v>
      </c>
      <c r="D14" s="156">
        <v>1475.9378643</v>
      </c>
      <c r="E14" s="156">
        <v>691.78161709999995</v>
      </c>
      <c r="F14" s="156">
        <v>385.53</v>
      </c>
      <c r="G14" s="156">
        <v>314.58287000000001</v>
      </c>
      <c r="H14" s="291">
        <v>280</v>
      </c>
      <c r="I14" s="292">
        <f>H14*1.1</f>
        <v>308</v>
      </c>
      <c r="J14" s="292">
        <f>I14*1.1</f>
        <v>338.8</v>
      </c>
      <c r="K14" s="292">
        <f t="shared" ref="K14:M14" si="19">J14*1.1</f>
        <v>372.68000000000006</v>
      </c>
      <c r="L14" s="292">
        <f t="shared" si="19"/>
        <v>409.94800000000009</v>
      </c>
      <c r="M14" s="292">
        <f t="shared" si="19"/>
        <v>450.94280000000015</v>
      </c>
    </row>
    <row r="15" spans="1:23" x14ac:dyDescent="0.35">
      <c r="B15" s="146" t="s">
        <v>31</v>
      </c>
      <c r="C15" s="156">
        <v>0</v>
      </c>
      <c r="D15" s="156">
        <v>59.951951700000002</v>
      </c>
      <c r="E15" s="156">
        <v>21.306374900000002</v>
      </c>
      <c r="F15" s="156">
        <v>-0.25</v>
      </c>
      <c r="G15" s="156">
        <v>2.2558317000000003</v>
      </c>
      <c r="H15" s="291">
        <v>0</v>
      </c>
      <c r="I15" s="292">
        <f>0.5%*I4</f>
        <v>25.119703376128065</v>
      </c>
      <c r="J15" s="292">
        <f t="shared" ref="J15:M15" si="20">0.5%*J4</f>
        <v>28.885838241740878</v>
      </c>
      <c r="K15" s="292">
        <f t="shared" si="20"/>
        <v>33.739791485914964</v>
      </c>
      <c r="L15" s="292">
        <f t="shared" si="20"/>
        <v>39.306582805706469</v>
      </c>
      <c r="M15" s="292">
        <f t="shared" si="20"/>
        <v>45.42060148087711</v>
      </c>
    </row>
    <row r="16" spans="1:23" hidden="1" x14ac:dyDescent="0.35">
      <c r="A16" s="150"/>
      <c r="B16" s="55"/>
      <c r="C16" s="156"/>
      <c r="D16" s="156"/>
      <c r="E16" s="156"/>
      <c r="F16" s="156"/>
      <c r="G16" s="156"/>
      <c r="H16" s="291"/>
      <c r="I16" s="292"/>
      <c r="J16" s="292"/>
      <c r="K16" s="292"/>
      <c r="L16" s="292"/>
      <c r="M16" s="292"/>
    </row>
    <row r="17" spans="1:13" x14ac:dyDescent="0.35">
      <c r="A17" s="150"/>
      <c r="B17" s="146" t="s">
        <v>358</v>
      </c>
      <c r="C17" s="156">
        <f>'Other operating cost - No use'!D22</f>
        <v>821.21414199999992</v>
      </c>
      <c r="D17" s="156">
        <f>'Other operating cost - No use'!E22</f>
        <v>749.11878726000009</v>
      </c>
      <c r="E17" s="156">
        <f>'Other operating cost - No use'!F22*0+778-E15-E29+E36</f>
        <v>710.94281309999997</v>
      </c>
      <c r="F17" s="156">
        <f>'Other operating cost - No use'!G22</f>
        <v>474.8592941</v>
      </c>
      <c r="G17" s="156">
        <f>'Other operating cost - No use'!H22</f>
        <v>445.91396070000002</v>
      </c>
      <c r="H17" s="291">
        <f>SUM('Admin Expenses'!C5:F14)</f>
        <v>228.11799999999997</v>
      </c>
      <c r="I17" s="292">
        <f>H17*1.1</f>
        <v>250.92979999999997</v>
      </c>
      <c r="J17" s="292">
        <f t="shared" ref="J17:M17" si="21">I17*1.1</f>
        <v>276.02278000000001</v>
      </c>
      <c r="K17" s="292">
        <f t="shared" si="21"/>
        <v>303.62505800000002</v>
      </c>
      <c r="L17" s="292">
        <f t="shared" si="21"/>
        <v>333.98756380000003</v>
      </c>
      <c r="M17" s="292">
        <f t="shared" si="21"/>
        <v>367.38632018000004</v>
      </c>
    </row>
    <row r="18" spans="1:13" x14ac:dyDescent="0.35">
      <c r="B18" s="7" t="s">
        <v>33</v>
      </c>
      <c r="C18" s="29">
        <f t="shared" ref="C18:M18" si="22">C7-C12-SUM(C14:C17)</f>
        <v>-152.42297830000234</v>
      </c>
      <c r="D18" s="29">
        <f t="shared" si="22"/>
        <v>-66.623611300003631</v>
      </c>
      <c r="E18" s="29">
        <f t="shared" si="22"/>
        <v>-656.69764959999975</v>
      </c>
      <c r="F18" s="29">
        <f t="shared" si="22"/>
        <v>-359.52386130000002</v>
      </c>
      <c r="G18" s="29">
        <f t="shared" si="22"/>
        <v>-41.768026799999802</v>
      </c>
      <c r="H18" s="16">
        <f t="shared" si="22"/>
        <v>80.294806488912855</v>
      </c>
      <c r="I18" s="17">
        <f t="shared" si="22"/>
        <v>186.27551680665488</v>
      </c>
      <c r="J18" s="17">
        <f t="shared" si="22"/>
        <v>280.26138325504724</v>
      </c>
      <c r="K18" s="17">
        <f t="shared" si="22"/>
        <v>369.09288921690779</v>
      </c>
      <c r="L18" s="17">
        <f t="shared" si="22"/>
        <v>383.19149171854326</v>
      </c>
      <c r="M18" s="17">
        <f t="shared" si="22"/>
        <v>487.9363141075745</v>
      </c>
    </row>
    <row r="19" spans="1:13" x14ac:dyDescent="0.35">
      <c r="B19" s="4" t="s">
        <v>28</v>
      </c>
      <c r="C19" s="11">
        <f t="shared" ref="C19:M19" si="23">C18/C6</f>
        <v>-6.6055684936670474E-3</v>
      </c>
      <c r="D19" s="11">
        <f t="shared" si="23"/>
        <v>-2.7156148260838414E-3</v>
      </c>
      <c r="E19" s="11">
        <f t="shared" si="23"/>
        <v>-3.6763699545623786E-2</v>
      </c>
      <c r="F19" s="11">
        <f t="shared" si="23"/>
        <v>-5.7231889386616747E-2</v>
      </c>
      <c r="G19" s="11">
        <f t="shared" si="23"/>
        <v>-6.4610807415014506E-3</v>
      </c>
      <c r="H19" s="11">
        <f t="shared" si="23"/>
        <v>1.6773507443639153E-2</v>
      </c>
      <c r="I19" s="12">
        <f t="shared" si="23"/>
        <v>3.2424321320748913E-2</v>
      </c>
      <c r="J19" s="12">
        <f t="shared" si="23"/>
        <v>4.2177816707968691E-2</v>
      </c>
      <c r="K19" s="12">
        <f t="shared" si="23"/>
        <v>4.7499332788450276E-2</v>
      </c>
      <c r="L19" s="12">
        <f t="shared" si="23"/>
        <v>4.2754679873854819E-2</v>
      </c>
      <c r="M19" s="12">
        <f t="shared" si="23"/>
        <v>4.7131111143302942E-2</v>
      </c>
    </row>
    <row r="20" spans="1:13" ht="15" customHeight="1" x14ac:dyDescent="0.35">
      <c r="B20" s="146" t="s">
        <v>58</v>
      </c>
      <c r="C20" s="156">
        <v>121.2846</v>
      </c>
      <c r="D20" s="156">
        <v>107.0376445</v>
      </c>
      <c r="E20" s="156">
        <f>112.8052571-E35</f>
        <v>77.588862543004709</v>
      </c>
      <c r="F20" s="156">
        <f>304.22-F35-F37</f>
        <v>46.380000000000052</v>
      </c>
      <c r="G20" s="156">
        <f>241.4161853-G35-G37</f>
        <v>94.346185299999988</v>
      </c>
      <c r="H20" s="156"/>
      <c r="I20" s="156"/>
      <c r="J20" s="156"/>
      <c r="K20" s="156"/>
      <c r="L20" s="156"/>
      <c r="M20" s="156"/>
    </row>
    <row r="21" spans="1:13" ht="15" customHeight="1" x14ac:dyDescent="0.35">
      <c r="B21" s="146" t="s">
        <v>52</v>
      </c>
      <c r="C21" s="156">
        <v>481.46970219999997</v>
      </c>
      <c r="D21" s="156">
        <v>466.64918799999998</v>
      </c>
      <c r="E21" s="156">
        <f>558.8782724-E33</f>
        <v>449.29827240000003</v>
      </c>
      <c r="F21" s="156">
        <f>487.82-F33</f>
        <v>394.37</v>
      </c>
      <c r="G21" s="156">
        <f>177.3049509-G33</f>
        <v>173.78495089999998</v>
      </c>
      <c r="H21" s="156">
        <f>50.0002422*2</f>
        <v>100.0004844</v>
      </c>
      <c r="I21" s="26">
        <v>187.20037783200002</v>
      </c>
      <c r="J21" s="156">
        <v>170.04029470896</v>
      </c>
      <c r="K21" s="156">
        <v>156.6554298729888</v>
      </c>
      <c r="L21" s="156">
        <v>146.21523530093131</v>
      </c>
      <c r="M21" s="156">
        <v>138.0718835347264</v>
      </c>
    </row>
    <row r="22" spans="1:13" ht="15" customHeight="1" x14ac:dyDescent="0.35">
      <c r="B22" s="3" t="s">
        <v>53</v>
      </c>
      <c r="C22" s="148">
        <f>C18+C20-C21</f>
        <v>-512.6080805000023</v>
      </c>
      <c r="D22" s="148">
        <f t="shared" ref="D22:M22" si="24">D18+D20-D21</f>
        <v>-426.23515480000361</v>
      </c>
      <c r="E22" s="148">
        <f t="shared" si="24"/>
        <v>-1028.4070594569951</v>
      </c>
      <c r="F22" s="148">
        <f t="shared" si="24"/>
        <v>-707.51386129999992</v>
      </c>
      <c r="G22" s="148">
        <f t="shared" si="24"/>
        <v>-121.2067923999998</v>
      </c>
      <c r="H22" s="148">
        <f t="shared" si="24"/>
        <v>-19.70567791108715</v>
      </c>
      <c r="I22" s="148">
        <f t="shared" si="24"/>
        <v>-0.92486102534513748</v>
      </c>
      <c r="J22" s="148">
        <f t="shared" si="24"/>
        <v>110.22108854608723</v>
      </c>
      <c r="K22" s="148">
        <f t="shared" si="24"/>
        <v>212.43745934391899</v>
      </c>
      <c r="L22" s="148">
        <f t="shared" si="24"/>
        <v>236.97625641761195</v>
      </c>
      <c r="M22" s="148">
        <f t="shared" si="24"/>
        <v>349.86443057284811</v>
      </c>
    </row>
    <row r="23" spans="1:13" ht="15" customHeight="1" x14ac:dyDescent="0.35">
      <c r="B23" s="146" t="s">
        <v>54</v>
      </c>
      <c r="C23" s="156">
        <v>895.80078000000003</v>
      </c>
      <c r="D23" s="156">
        <v>1197.7687353000001</v>
      </c>
      <c r="E23" s="156">
        <f>1524.4187483-E34</f>
        <v>1323.8487483000001</v>
      </c>
      <c r="F23" s="156">
        <f>1438.33-F34</f>
        <v>1295.06</v>
      </c>
      <c r="G23" s="156">
        <f>1269.9597-G34</f>
        <v>1222.5897000000002</v>
      </c>
      <c r="H23" s="156">
        <f>'Balance sheet'!H48</f>
        <v>616.74666666666667</v>
      </c>
      <c r="I23" s="156">
        <f>'Balance sheet'!I48</f>
        <v>415.548</v>
      </c>
      <c r="J23" s="156">
        <f>'Balance sheet'!J48</f>
        <v>415.548</v>
      </c>
      <c r="K23" s="156">
        <f>'Balance sheet'!K48</f>
        <v>415.548</v>
      </c>
      <c r="L23" s="156">
        <f>'Balance sheet'!L48</f>
        <v>415.548</v>
      </c>
      <c r="M23" s="156">
        <f>'Balance sheet'!M48</f>
        <v>415.548</v>
      </c>
    </row>
    <row r="24" spans="1:13" ht="15" customHeight="1" x14ac:dyDescent="0.35">
      <c r="B24" s="3" t="s">
        <v>55</v>
      </c>
      <c r="C24" s="148">
        <f>C22-C23</f>
        <v>-1408.4088605000024</v>
      </c>
      <c r="D24" s="148">
        <f t="shared" ref="D24:M24" si="25">D22-D23</f>
        <v>-1624.0038901000037</v>
      </c>
      <c r="E24" s="148">
        <f t="shared" si="25"/>
        <v>-2352.2558077569952</v>
      </c>
      <c r="F24" s="148">
        <f t="shared" si="25"/>
        <v>-2002.5738612999999</v>
      </c>
      <c r="G24" s="148">
        <f t="shared" si="25"/>
        <v>-1343.7964924</v>
      </c>
      <c r="H24" s="148">
        <f t="shared" si="25"/>
        <v>-636.45234457775382</v>
      </c>
      <c r="I24" s="148">
        <f t="shared" si="25"/>
        <v>-416.47286102534514</v>
      </c>
      <c r="J24" s="148">
        <f t="shared" si="25"/>
        <v>-305.32691145391277</v>
      </c>
      <c r="K24" s="148">
        <f t="shared" si="25"/>
        <v>-203.11054065608101</v>
      </c>
      <c r="L24" s="148">
        <f t="shared" si="25"/>
        <v>-178.57174358238805</v>
      </c>
      <c r="M24" s="148">
        <f t="shared" si="25"/>
        <v>-65.683569427151895</v>
      </c>
    </row>
    <row r="25" spans="1:13" ht="15" customHeight="1" x14ac:dyDescent="0.35">
      <c r="B25" s="146" t="s">
        <v>56</v>
      </c>
      <c r="C25" s="156">
        <v>0</v>
      </c>
      <c r="D25" s="156">
        <v>77.418090000000007</v>
      </c>
      <c r="E25" s="156">
        <v>29.789541</v>
      </c>
      <c r="F25" s="156"/>
      <c r="G25" s="156">
        <v>2.6929099999999999</v>
      </c>
      <c r="H25" s="156">
        <v>200</v>
      </c>
      <c r="I25" s="156"/>
      <c r="J25" s="156"/>
      <c r="K25" s="156"/>
      <c r="L25" s="156"/>
      <c r="M25" s="156"/>
    </row>
    <row r="26" spans="1:13" ht="15" customHeight="1" x14ac:dyDescent="0.35">
      <c r="B26" s="146" t="s">
        <v>107</v>
      </c>
      <c r="C26" s="156">
        <v>0</v>
      </c>
      <c r="D26" s="156"/>
      <c r="E26" s="156">
        <v>-1049.0396204000001</v>
      </c>
      <c r="F26" s="156">
        <v>-100</v>
      </c>
      <c r="G26" s="156">
        <v>-5039.2225270999998</v>
      </c>
      <c r="H26" s="156"/>
      <c r="I26" s="156"/>
      <c r="J26" s="156"/>
      <c r="K26" s="156"/>
      <c r="L26" s="156"/>
      <c r="M26" s="156"/>
    </row>
    <row r="27" spans="1:13" ht="15" customHeight="1" x14ac:dyDescent="0.35">
      <c r="B27" s="146" t="s">
        <v>108</v>
      </c>
      <c r="C27" s="156">
        <v>-50.421817300000008</v>
      </c>
      <c r="D27" s="156">
        <v>-7.3325100000000001</v>
      </c>
      <c r="E27" s="156">
        <v>-1.8274070000000002</v>
      </c>
      <c r="F27" s="156">
        <v>0</v>
      </c>
      <c r="G27" s="156">
        <v>0.83786000000000005</v>
      </c>
      <c r="H27" s="156"/>
      <c r="I27" s="156"/>
      <c r="J27" s="156"/>
      <c r="K27" s="156"/>
      <c r="L27" s="156"/>
      <c r="M27" s="156"/>
    </row>
    <row r="28" spans="1:13" ht="15" customHeight="1" x14ac:dyDescent="0.35">
      <c r="B28" s="146" t="s">
        <v>167</v>
      </c>
      <c r="C28" s="156">
        <v>1.0822499999999999</v>
      </c>
      <c r="D28" s="156">
        <v>0</v>
      </c>
      <c r="E28" s="156">
        <v>2.0609995000000003</v>
      </c>
      <c r="F28" s="156">
        <v>0</v>
      </c>
      <c r="G28" s="156">
        <v>0</v>
      </c>
      <c r="H28" s="156"/>
      <c r="I28" s="156"/>
      <c r="J28" s="156"/>
      <c r="K28" s="156"/>
      <c r="L28" s="156"/>
      <c r="M28" s="156"/>
    </row>
    <row r="29" spans="1:13" ht="15" customHeight="1" x14ac:dyDescent="0.35">
      <c r="B29" s="146" t="s">
        <v>168</v>
      </c>
      <c r="C29" s="156">
        <f>SUM(C45:C48)</f>
        <v>197.62057000000001</v>
      </c>
      <c r="D29" s="156">
        <f t="shared" ref="D29:G29" si="26">SUM(D45:D48)</f>
        <v>548.79143090000002</v>
      </c>
      <c r="E29" s="156">
        <f t="shared" si="26"/>
        <v>309.20081199999998</v>
      </c>
      <c r="F29" s="156">
        <f t="shared" si="26"/>
        <v>1342.6</v>
      </c>
      <c r="G29" s="156">
        <f t="shared" si="26"/>
        <v>748.25623029999997</v>
      </c>
      <c r="H29" s="156"/>
      <c r="I29" s="156"/>
      <c r="J29" s="156"/>
      <c r="K29" s="156"/>
      <c r="L29" s="156"/>
      <c r="M29" s="156"/>
    </row>
    <row r="30" spans="1:13" ht="15" customHeight="1" x14ac:dyDescent="0.35">
      <c r="B30" s="3" t="s">
        <v>57</v>
      </c>
      <c r="C30" s="148">
        <f t="shared" ref="C30:D30" si="27">C24-C25+C26+C27+C28-C29</f>
        <v>-1655.3689978000025</v>
      </c>
      <c r="D30" s="148">
        <f t="shared" si="27"/>
        <v>-2257.5459210000035</v>
      </c>
      <c r="E30" s="148">
        <f>E24-E25+E26+E27+E28-E29</f>
        <v>-3740.0521886569959</v>
      </c>
      <c r="F30" s="148">
        <f t="shared" ref="F30:I30" si="28">F24-F25+F26+F27+F28-F29</f>
        <v>-3445.1738612999998</v>
      </c>
      <c r="G30" s="148">
        <f t="shared" si="28"/>
        <v>-7133.1302997999992</v>
      </c>
      <c r="H30" s="148">
        <f t="shared" si="28"/>
        <v>-836.45234457775382</v>
      </c>
      <c r="I30" s="148">
        <f t="shared" si="28"/>
        <v>-416.47286102534514</v>
      </c>
      <c r="J30" s="148">
        <f>J24-J25+J26+J27+J28-J29</f>
        <v>-305.32691145391277</v>
      </c>
      <c r="K30" s="148">
        <f t="shared" ref="K30:M30" si="29">K24-K25+K26+K27+K28-K29</f>
        <v>-203.11054065608101</v>
      </c>
      <c r="L30" s="148">
        <f t="shared" si="29"/>
        <v>-178.57174358238805</v>
      </c>
      <c r="M30" s="148">
        <f t="shared" si="29"/>
        <v>-65.683569427151895</v>
      </c>
    </row>
    <row r="31" spans="1:13" x14ac:dyDescent="0.35">
      <c r="I31" s="295"/>
      <c r="J31" s="295"/>
      <c r="K31" s="295"/>
      <c r="L31" s="295"/>
      <c r="M31" s="295"/>
    </row>
    <row r="32" spans="1:13" x14ac:dyDescent="0.35">
      <c r="B32" s="31" t="s">
        <v>109</v>
      </c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</row>
    <row r="33" spans="2:13" x14ac:dyDescent="0.35">
      <c r="B33" s="116" t="s">
        <v>52</v>
      </c>
      <c r="E33" s="116">
        <v>109.58</v>
      </c>
      <c r="F33" s="116">
        <v>93.45</v>
      </c>
      <c r="G33" s="30">
        <v>3.52</v>
      </c>
    </row>
    <row r="34" spans="2:13" x14ac:dyDescent="0.35">
      <c r="B34" s="116" t="s">
        <v>110</v>
      </c>
      <c r="E34" s="116">
        <v>200.57</v>
      </c>
      <c r="F34" s="116">
        <v>143.27000000000001</v>
      </c>
      <c r="G34" s="30">
        <v>47.37</v>
      </c>
    </row>
    <row r="35" spans="2:13" x14ac:dyDescent="0.35">
      <c r="B35" s="116" t="s">
        <v>99</v>
      </c>
      <c r="E35" s="30">
        <v>35.216394556995297</v>
      </c>
      <c r="F35" s="30">
        <v>0</v>
      </c>
      <c r="G35" s="30">
        <v>42.81</v>
      </c>
    </row>
    <row r="36" spans="2:13" x14ac:dyDescent="0.35">
      <c r="B36" s="116" t="s">
        <v>111</v>
      </c>
      <c r="E36" s="30">
        <v>263.45</v>
      </c>
      <c r="F36" s="30">
        <v>155.63</v>
      </c>
      <c r="G36" s="30">
        <f>4713438/10^5</f>
        <v>47.13438</v>
      </c>
    </row>
    <row r="37" spans="2:13" x14ac:dyDescent="0.35">
      <c r="B37" s="116" t="s">
        <v>163</v>
      </c>
      <c r="E37" s="30">
        <v>0</v>
      </c>
      <c r="F37" s="30">
        <v>257.83999999999997</v>
      </c>
      <c r="G37" s="30">
        <v>104.26</v>
      </c>
    </row>
    <row r="39" spans="2:13" x14ac:dyDescent="0.35">
      <c r="C39" s="250">
        <f t="shared" ref="C39:D39" si="30">C30+C33+C34-C35-C37+C36</f>
        <v>-1655.3689978000025</v>
      </c>
      <c r="D39" s="250">
        <f t="shared" si="30"/>
        <v>-2257.5459210000035</v>
      </c>
      <c r="E39" s="250">
        <f>E30-E33-E34+E35+E36+E37</f>
        <v>-3751.5357941000007</v>
      </c>
      <c r="F39" s="250">
        <f t="shared" ref="F39:G39" si="31">F30-F33-F34+F35+F36+F37</f>
        <v>-3268.4238612999993</v>
      </c>
      <c r="G39" s="250">
        <f t="shared" si="31"/>
        <v>-6989.8159197999985</v>
      </c>
    </row>
    <row r="41" spans="2:13" x14ac:dyDescent="0.35">
      <c r="B41" s="31" t="s">
        <v>45</v>
      </c>
      <c r="H41" s="295" t="e">
        <f>#REF!+H14+72+15</f>
        <v>#REF!</v>
      </c>
      <c r="I41" s="295" t="e">
        <f>#REF!+I14+72+15</f>
        <v>#REF!</v>
      </c>
      <c r="J41" s="295" t="e">
        <f>#REF!+J14+72+15</f>
        <v>#REF!</v>
      </c>
      <c r="K41" s="295" t="e">
        <f>#REF!+K14+72+15</f>
        <v>#REF!</v>
      </c>
      <c r="L41" s="295" t="e">
        <f>#REF!+L14+72+15</f>
        <v>#REF!</v>
      </c>
      <c r="M41" s="295" t="e">
        <f>#REF!+M14+72+15</f>
        <v>#REF!</v>
      </c>
    </row>
    <row r="42" spans="2:13" x14ac:dyDescent="0.35">
      <c r="B42" s="116" t="s">
        <v>24</v>
      </c>
      <c r="H42" s="294" t="e">
        <f t="shared" ref="H42:M42" si="32">H41/H6</f>
        <v>#REF!</v>
      </c>
      <c r="I42" s="294" t="e">
        <f t="shared" si="32"/>
        <v>#REF!</v>
      </c>
      <c r="J42" s="294" t="e">
        <f t="shared" si="32"/>
        <v>#REF!</v>
      </c>
      <c r="K42" s="294" t="e">
        <f t="shared" si="32"/>
        <v>#REF!</v>
      </c>
      <c r="L42" s="294" t="e">
        <f t="shared" si="32"/>
        <v>#REF!</v>
      </c>
      <c r="M42" s="294" t="e">
        <f t="shared" si="32"/>
        <v>#REF!</v>
      </c>
    </row>
    <row r="43" spans="2:13" x14ac:dyDescent="0.35">
      <c r="B43" s="116" t="s">
        <v>249</v>
      </c>
      <c r="H43" s="294"/>
      <c r="I43" s="294" t="e">
        <f>I41/H41-1</f>
        <v>#REF!</v>
      </c>
      <c r="J43" s="294" t="e">
        <f t="shared" ref="J43:M43" si="33">J41/I41-1</f>
        <v>#REF!</v>
      </c>
      <c r="K43" s="294" t="e">
        <f t="shared" si="33"/>
        <v>#REF!</v>
      </c>
      <c r="L43" s="294" t="e">
        <f t="shared" si="33"/>
        <v>#REF!</v>
      </c>
      <c r="M43" s="294" t="e">
        <f t="shared" si="33"/>
        <v>#REF!</v>
      </c>
    </row>
    <row r="45" spans="2:13" x14ac:dyDescent="0.35">
      <c r="B45" s="339" t="s">
        <v>413</v>
      </c>
      <c r="C45" s="32">
        <v>60.4</v>
      </c>
      <c r="D45" s="32">
        <v>178.35120000000001</v>
      </c>
      <c r="E45" s="32">
        <v>40</v>
      </c>
      <c r="F45" s="32">
        <v>1339.54</v>
      </c>
      <c r="G45" s="32">
        <v>678.23</v>
      </c>
      <c r="H45" s="114">
        <f t="shared" ref="H45:M45" si="34">H7</f>
        <v>1252.2528064889127</v>
      </c>
      <c r="I45" s="114">
        <f t="shared" si="34"/>
        <v>1559.4313608038974</v>
      </c>
      <c r="J45" s="114">
        <f t="shared" si="34"/>
        <v>1831.3850998922312</v>
      </c>
      <c r="K45" s="114">
        <f t="shared" si="34"/>
        <v>2139.0341472755281</v>
      </c>
      <c r="L45" s="114">
        <f t="shared" si="34"/>
        <v>2401.2043382684305</v>
      </c>
      <c r="M45" s="114">
        <f t="shared" si="34"/>
        <v>2778.5215396242115</v>
      </c>
    </row>
    <row r="46" spans="2:13" x14ac:dyDescent="0.35">
      <c r="B46" s="30" t="s">
        <v>23</v>
      </c>
      <c r="C46" s="30">
        <v>0</v>
      </c>
      <c r="D46" s="30">
        <v>83.862530899999996</v>
      </c>
      <c r="E46" s="30">
        <v>0</v>
      </c>
      <c r="F46" s="30">
        <v>0</v>
      </c>
      <c r="G46" s="30">
        <v>0</v>
      </c>
      <c r="I46" s="295">
        <f>I12-H12</f>
        <v>125.26634062111452</v>
      </c>
      <c r="J46" s="295">
        <f>J12-I12</f>
        <v>118.30875777432868</v>
      </c>
      <c r="K46" s="295">
        <f>K12-J12</f>
        <v>152.48131017726212</v>
      </c>
      <c r="L46" s="295">
        <f>L12-K12</f>
        <v>174.87429137147546</v>
      </c>
      <c r="M46" s="295">
        <f>M12-L12</f>
        <v>192.06480391157902</v>
      </c>
    </row>
    <row r="47" spans="2:13" x14ac:dyDescent="0.35">
      <c r="B47" s="30" t="s">
        <v>25</v>
      </c>
      <c r="C47" s="30">
        <v>0</v>
      </c>
      <c r="D47" s="30">
        <v>0</v>
      </c>
      <c r="E47" s="30">
        <v>-0.44067800000000001</v>
      </c>
      <c r="F47" s="30">
        <v>3.06</v>
      </c>
      <c r="G47" s="30">
        <v>70.026230300000009</v>
      </c>
      <c r="I47" s="295"/>
      <c r="J47" s="295"/>
      <c r="K47" s="295"/>
      <c r="L47" s="295"/>
      <c r="M47" s="295"/>
    </row>
    <row r="48" spans="2:13" x14ac:dyDescent="0.35">
      <c r="B48" s="116" t="s">
        <v>30</v>
      </c>
      <c r="C48" s="30">
        <v>137.22057000000001</v>
      </c>
      <c r="D48" s="30">
        <v>286.57769999999999</v>
      </c>
      <c r="E48" s="30">
        <v>269.64148999999998</v>
      </c>
      <c r="F48" s="30">
        <v>0</v>
      </c>
      <c r="G48" s="30">
        <v>0</v>
      </c>
      <c r="I48" s="295">
        <f t="shared" ref="I48:M49" si="35">I14-H14</f>
        <v>28</v>
      </c>
      <c r="J48" s="295">
        <f t="shared" si="35"/>
        <v>30.800000000000011</v>
      </c>
      <c r="K48" s="295">
        <f t="shared" si="35"/>
        <v>33.880000000000052</v>
      </c>
      <c r="L48" s="295">
        <f t="shared" si="35"/>
        <v>37.268000000000029</v>
      </c>
      <c r="M48" s="295">
        <f t="shared" si="35"/>
        <v>40.994800000000055</v>
      </c>
    </row>
    <row r="49" spans="2:13" x14ac:dyDescent="0.35">
      <c r="B49" s="116" t="s">
        <v>31</v>
      </c>
      <c r="I49" s="295">
        <f t="shared" si="35"/>
        <v>25.119703376128065</v>
      </c>
      <c r="J49" s="295">
        <f t="shared" si="35"/>
        <v>3.7661348656128126</v>
      </c>
      <c r="K49" s="295">
        <f t="shared" si="35"/>
        <v>4.853953244174086</v>
      </c>
      <c r="L49" s="295">
        <f t="shared" si="35"/>
        <v>5.5667913197915055</v>
      </c>
      <c r="M49" s="295">
        <f t="shared" si="35"/>
        <v>6.1140186751706409</v>
      </c>
    </row>
    <row r="50" spans="2:13" x14ac:dyDescent="0.35">
      <c r="B50" s="116" t="s">
        <v>32</v>
      </c>
      <c r="I50" s="295">
        <f>I17-H17</f>
        <v>22.811800000000005</v>
      </c>
      <c r="J50" s="295">
        <f>J17-I17</f>
        <v>25.09298000000004</v>
      </c>
      <c r="K50" s="295">
        <f>K17-J17</f>
        <v>27.602278000000013</v>
      </c>
      <c r="L50" s="295">
        <f>L17-K17</f>
        <v>30.362505800000008</v>
      </c>
      <c r="M50" s="295">
        <f>M17-L17</f>
        <v>33.398756380000009</v>
      </c>
    </row>
    <row r="51" spans="2:13" x14ac:dyDescent="0.35">
      <c r="B51" s="116" t="s">
        <v>246</v>
      </c>
      <c r="I51" s="295" t="e">
        <f>#REF!-#REF!</f>
        <v>#REF!</v>
      </c>
      <c r="J51" s="295" t="e">
        <f>#REF!-#REF!</f>
        <v>#REF!</v>
      </c>
      <c r="K51" s="295" t="e">
        <f>#REF!-#REF!</f>
        <v>#REF!</v>
      </c>
      <c r="L51" s="295" t="e">
        <f>#REF!-#REF!</f>
        <v>#REF!</v>
      </c>
      <c r="M51" s="295" t="e">
        <f>#REF!-#REF!</f>
        <v>#REF!</v>
      </c>
    </row>
    <row r="52" spans="2:13" x14ac:dyDescent="0.35">
      <c r="B52" s="116" t="s">
        <v>247</v>
      </c>
      <c r="I52" s="295" t="e">
        <f>#REF!-#REF!</f>
        <v>#REF!</v>
      </c>
      <c r="J52" s="295" t="e">
        <f>#REF!-#REF!</f>
        <v>#REF!</v>
      </c>
      <c r="K52" s="295" t="e">
        <f>#REF!-#REF!</f>
        <v>#REF!</v>
      </c>
      <c r="L52" s="295" t="e">
        <f>#REF!-#REF!</f>
        <v>#REF!</v>
      </c>
      <c r="M52" s="295" t="e">
        <f>#REF!-#REF!</f>
        <v>#REF!</v>
      </c>
    </row>
    <row r="53" spans="2:13" x14ac:dyDescent="0.35">
      <c r="B53" s="116" t="s">
        <v>248</v>
      </c>
      <c r="I53" s="295" t="e">
        <f>SUM(I46:I52)</f>
        <v>#REF!</v>
      </c>
      <c r="J53" s="295" t="e">
        <f t="shared" ref="J53:M53" si="36">SUM(J46:J52)</f>
        <v>#REF!</v>
      </c>
      <c r="K53" s="295" t="e">
        <f t="shared" si="36"/>
        <v>#REF!</v>
      </c>
      <c r="L53" s="295" t="e">
        <f t="shared" si="36"/>
        <v>#REF!</v>
      </c>
      <c r="M53" s="295" t="e">
        <f t="shared" si="36"/>
        <v>#REF!</v>
      </c>
    </row>
    <row r="54" spans="2:13" x14ac:dyDescent="0.35">
      <c r="B54" s="116" t="s">
        <v>244</v>
      </c>
      <c r="H54" s="295" t="e">
        <f>#REF!</f>
        <v>#REF!</v>
      </c>
      <c r="I54" s="295" t="e">
        <f>H54+I53</f>
        <v>#REF!</v>
      </c>
      <c r="J54" s="295" t="e">
        <f t="shared" ref="J54:M54" si="37">I54+J53</f>
        <v>#REF!</v>
      </c>
      <c r="K54" s="295" t="e">
        <f t="shared" si="37"/>
        <v>#REF!</v>
      </c>
      <c r="L54" s="295" t="e">
        <f t="shared" si="37"/>
        <v>#REF!</v>
      </c>
      <c r="M54" s="295" t="e">
        <f t="shared" si="37"/>
        <v>#REF!</v>
      </c>
    </row>
    <row r="55" spans="2:13" x14ac:dyDescent="0.35">
      <c r="H55" s="295" t="e">
        <f>H54-#REF!</f>
        <v>#REF!</v>
      </c>
      <c r="I55" s="295" t="e">
        <f>I54-#REF!</f>
        <v>#REF!</v>
      </c>
      <c r="J55" s="295" t="e">
        <f>J54-#REF!</f>
        <v>#REF!</v>
      </c>
      <c r="K55" s="295" t="e">
        <f>K54-#REF!</f>
        <v>#REF!</v>
      </c>
      <c r="L55" s="295" t="e">
        <f>L54-#REF!</f>
        <v>#REF!</v>
      </c>
      <c r="M55" s="295" t="e">
        <f>M54-#REF!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1"/>
  <sheetViews>
    <sheetView topLeftCell="A2" workbookViewId="0">
      <pane xSplit="2" ySplit="1" topLeftCell="G3" activePane="bottomRight" state="frozen"/>
      <selection activeCell="I79" sqref="I79:M79"/>
      <selection pane="topRight" activeCell="I79" sqref="I79:M79"/>
      <selection pane="bottomLeft" activeCell="I79" sqref="I79:M79"/>
      <selection pane="bottomRight" activeCell="N31" sqref="N31"/>
    </sheetView>
  </sheetViews>
  <sheetFormatPr defaultRowHeight="14.5" x14ac:dyDescent="0.35"/>
  <cols>
    <col min="2" max="2" width="25.1796875" bestFit="1" customWidth="1"/>
    <col min="3" max="4" width="9.7265625" hidden="1" customWidth="1"/>
    <col min="5" max="5" width="10" hidden="1" customWidth="1"/>
    <col min="6" max="6" width="9.7265625" hidden="1" customWidth="1"/>
    <col min="7" max="7" width="9.81640625" bestFit="1" customWidth="1"/>
    <col min="8" max="14" width="9.7265625" bestFit="1" customWidth="1"/>
    <col min="15" max="15" width="14.26953125" bestFit="1" customWidth="1"/>
    <col min="16" max="16" width="49.54296875" hidden="1" customWidth="1"/>
    <col min="17" max="17" width="15.1796875" hidden="1" customWidth="1"/>
    <col min="18" max="18" width="12.54296875" bestFit="1" customWidth="1"/>
  </cols>
  <sheetData>
    <row r="1" spans="1:17" x14ac:dyDescent="0.35">
      <c r="A1" t="s">
        <v>51</v>
      </c>
    </row>
    <row r="2" spans="1:17" x14ac:dyDescent="0.35">
      <c r="B2" s="3" t="s">
        <v>323</v>
      </c>
      <c r="C2" s="3" t="s">
        <v>12</v>
      </c>
      <c r="D2" s="3" t="s">
        <v>11</v>
      </c>
      <c r="E2" s="3" t="s">
        <v>10</v>
      </c>
      <c r="F2" s="3" t="s">
        <v>9</v>
      </c>
      <c r="G2" s="3" t="s">
        <v>8</v>
      </c>
      <c r="H2" s="1" t="s">
        <v>0</v>
      </c>
      <c r="I2" s="251" t="s">
        <v>1</v>
      </c>
      <c r="J2" s="251" t="s">
        <v>2</v>
      </c>
      <c r="K2" s="251" t="s">
        <v>3</v>
      </c>
      <c r="L2" s="251" t="s">
        <v>4</v>
      </c>
      <c r="M2" s="251" t="s">
        <v>5</v>
      </c>
    </row>
    <row r="3" spans="1:17" x14ac:dyDescent="0.35">
      <c r="B3" s="20"/>
      <c r="C3" s="8"/>
      <c r="D3" s="8"/>
      <c r="E3" s="8"/>
      <c r="F3" s="8"/>
      <c r="G3" s="8"/>
      <c r="H3" s="8"/>
      <c r="I3" s="38"/>
      <c r="J3" s="8"/>
      <c r="K3" s="8"/>
      <c r="L3" s="8"/>
      <c r="M3" s="8"/>
    </row>
    <row r="4" spans="1:17" x14ac:dyDescent="0.35">
      <c r="B4" s="21" t="s">
        <v>70</v>
      </c>
      <c r="C4" s="26">
        <v>9856.2210398999996</v>
      </c>
      <c r="D4" s="26">
        <v>7711.3807987</v>
      </c>
      <c r="E4" s="26">
        <f>3697.481339+E38</f>
        <v>4121.6082993999999</v>
      </c>
      <c r="F4" s="26">
        <f>290.72+F38</f>
        <v>508.42999999999995</v>
      </c>
      <c r="G4" s="26">
        <f>-6682.4260843+G38</f>
        <v>-6694.4831942999999</v>
      </c>
      <c r="H4" s="26">
        <f>-7218.46+585.92</f>
        <v>-6632.54</v>
      </c>
      <c r="I4" s="350">
        <f>H4+'P&amp;L_New Nilgiris'!I30</f>
        <v>-7049.012861025345</v>
      </c>
      <c r="J4" s="26">
        <f>I4+'P&amp;L_New Nilgiris'!J30</f>
        <v>-7354.3397724792576</v>
      </c>
      <c r="K4" s="26">
        <f>J4+'P&amp;L_New Nilgiris'!K30</f>
        <v>-7557.4503131353385</v>
      </c>
      <c r="L4" s="26">
        <f>K4+'P&amp;L_New Nilgiris'!L30</f>
        <v>-7736.0220567177266</v>
      </c>
      <c r="M4" s="26">
        <f>L4+'P&amp;L_New Nilgiris'!M30</f>
        <v>-7801.7056261448788</v>
      </c>
      <c r="N4" s="30">
        <f>2876-113</f>
        <v>2763</v>
      </c>
      <c r="O4" s="33"/>
    </row>
    <row r="5" spans="1:17" x14ac:dyDescent="0.35">
      <c r="B5" s="21" t="s">
        <v>260</v>
      </c>
      <c r="C5" s="26"/>
      <c r="D5" s="26"/>
      <c r="E5" s="26"/>
      <c r="F5" s="26"/>
      <c r="G5" s="26"/>
      <c r="H5" s="26">
        <f>G5+'Cash flow'!H16</f>
        <v>0</v>
      </c>
      <c r="I5" s="26">
        <f>H5+'Cash flow'!I16</f>
        <v>0</v>
      </c>
      <c r="J5" s="26">
        <f>I5+'Cash flow'!J16</f>
        <v>0</v>
      </c>
      <c r="K5" s="26">
        <f>J5+'Cash flow'!K16</f>
        <v>0</v>
      </c>
      <c r="L5" s="26">
        <f>K5+'Cash flow'!L16</f>
        <v>0</v>
      </c>
      <c r="M5" s="26">
        <f>L5+'Cash flow'!M16</f>
        <v>0</v>
      </c>
      <c r="N5" s="30"/>
      <c r="O5" s="33"/>
    </row>
    <row r="6" spans="1:17" x14ac:dyDescent="0.35">
      <c r="B6" s="21" t="s">
        <v>71</v>
      </c>
      <c r="C6" s="26">
        <v>296.76944179999998</v>
      </c>
      <c r="D6" s="26">
        <v>373.76716689999995</v>
      </c>
      <c r="E6" s="26">
        <v>244.2956073</v>
      </c>
      <c r="F6" s="26">
        <v>389.1</v>
      </c>
      <c r="G6" s="26">
        <v>372.55647729999998</v>
      </c>
      <c r="H6" s="26">
        <f>G6</f>
        <v>372.55647729999998</v>
      </c>
      <c r="I6" s="26">
        <f t="shared" ref="I6:M6" si="0">H6</f>
        <v>372.55647729999998</v>
      </c>
      <c r="J6" s="26">
        <f t="shared" si="0"/>
        <v>372.55647729999998</v>
      </c>
      <c r="K6" s="26">
        <f t="shared" si="0"/>
        <v>372.55647729999998</v>
      </c>
      <c r="L6" s="26">
        <f t="shared" si="0"/>
        <v>372.55647729999998</v>
      </c>
      <c r="M6" s="26">
        <f t="shared" si="0"/>
        <v>372.55647729999998</v>
      </c>
      <c r="N6" s="30"/>
      <c r="O6" s="33"/>
    </row>
    <row r="7" spans="1:17" x14ac:dyDescent="0.35">
      <c r="B7" s="21" t="s">
        <v>72</v>
      </c>
      <c r="C7" s="26">
        <v>8758.2323527000008</v>
      </c>
      <c r="D7" s="26">
        <v>10431.210608400001</v>
      </c>
      <c r="E7" s="26">
        <v>10624.3721969</v>
      </c>
      <c r="F7" s="26">
        <v>9845.67</v>
      </c>
      <c r="G7" s="26">
        <v>9861.3997013000007</v>
      </c>
      <c r="H7" s="26">
        <f>2876.7+3462.9</f>
        <v>6339.6</v>
      </c>
      <c r="I7" s="26">
        <f>H7</f>
        <v>6339.6</v>
      </c>
      <c r="J7" s="26">
        <f t="shared" ref="J7:M7" si="1">I7</f>
        <v>6339.6</v>
      </c>
      <c r="K7" s="26">
        <f t="shared" si="1"/>
        <v>6339.6</v>
      </c>
      <c r="L7" s="26">
        <f t="shared" si="1"/>
        <v>6339.6</v>
      </c>
      <c r="M7" s="26">
        <f t="shared" si="1"/>
        <v>6339.6</v>
      </c>
      <c r="N7" s="30"/>
      <c r="O7" s="33"/>
    </row>
    <row r="8" spans="1:17" x14ac:dyDescent="0.35">
      <c r="B8" s="22" t="s">
        <v>73</v>
      </c>
      <c r="C8" s="26">
        <v>112.95026</v>
      </c>
      <c r="D8" s="26">
        <v>40.0108119</v>
      </c>
      <c r="E8" s="26">
        <v>119.69699250000001</v>
      </c>
      <c r="F8" s="26">
        <v>33.949999999999996</v>
      </c>
      <c r="G8" s="26">
        <v>52.3487996</v>
      </c>
      <c r="H8" s="26">
        <f>108.74</f>
        <v>108.74</v>
      </c>
      <c r="I8" s="26">
        <f>'Cash flow'!I26</f>
        <v>171.73912948029277</v>
      </c>
      <c r="J8" s="26">
        <f>'Cash flow'!J26</f>
        <v>85.80289637377183</v>
      </c>
      <c r="K8" s="26">
        <f>'Cash flow'!K26</f>
        <v>90.984530872708547</v>
      </c>
      <c r="L8" s="26">
        <f>'Cash flow'!L26</f>
        <v>172.81864449940588</v>
      </c>
      <c r="M8" s="26">
        <f>'Cash flow'!M26</f>
        <v>577.04699216709787</v>
      </c>
      <c r="N8" s="30"/>
      <c r="O8" s="33"/>
    </row>
    <row r="9" spans="1:17" x14ac:dyDescent="0.35">
      <c r="B9" s="21" t="s">
        <v>74</v>
      </c>
      <c r="C9" s="26">
        <f>C7-C8</f>
        <v>8645.2820927000012</v>
      </c>
      <c r="D9" s="26">
        <f t="shared" ref="D9:M9" si="2">D7-D8</f>
        <v>10391.199796500001</v>
      </c>
      <c r="E9" s="26">
        <f t="shared" si="2"/>
        <v>10504.6752044</v>
      </c>
      <c r="F9" s="26">
        <f t="shared" si="2"/>
        <v>9811.7199999999993</v>
      </c>
      <c r="G9" s="26">
        <f t="shared" si="2"/>
        <v>9809.0509017000004</v>
      </c>
      <c r="H9" s="26">
        <f t="shared" si="2"/>
        <v>6230.8600000000006</v>
      </c>
      <c r="I9" s="26">
        <f t="shared" si="2"/>
        <v>6167.8608705197075</v>
      </c>
      <c r="J9" s="26">
        <f t="shared" si="2"/>
        <v>6253.7971036262288</v>
      </c>
      <c r="K9" s="26">
        <f t="shared" si="2"/>
        <v>6248.6154691272914</v>
      </c>
      <c r="L9" s="26">
        <f t="shared" si="2"/>
        <v>6166.7813555005941</v>
      </c>
      <c r="M9" s="26">
        <f t="shared" si="2"/>
        <v>5762.5530078329029</v>
      </c>
      <c r="N9" s="30"/>
      <c r="O9" s="33"/>
    </row>
    <row r="10" spans="1:17" x14ac:dyDescent="0.35">
      <c r="B10" s="21" t="s">
        <v>75</v>
      </c>
      <c r="C10" s="26"/>
      <c r="D10" s="26"/>
      <c r="E10" s="26">
        <f>1969.6530504*0</f>
        <v>0</v>
      </c>
      <c r="F10" s="26">
        <f>807.22*0</f>
        <v>0</v>
      </c>
      <c r="G10" s="26">
        <f>639.4321525*0</f>
        <v>0</v>
      </c>
      <c r="H10" s="26"/>
      <c r="I10" s="26"/>
      <c r="J10" s="26"/>
      <c r="K10" s="26"/>
      <c r="L10" s="26"/>
      <c r="M10" s="26"/>
      <c r="N10" s="30"/>
      <c r="O10" s="33"/>
      <c r="P10" s="8" t="s">
        <v>434</v>
      </c>
      <c r="Q10" s="26">
        <v>742139.98</v>
      </c>
    </row>
    <row r="11" spans="1:17" x14ac:dyDescent="0.35">
      <c r="B11" s="21" t="s">
        <v>76</v>
      </c>
      <c r="C11" s="26">
        <v>130.03566000000001</v>
      </c>
      <c r="D11" s="26">
        <v>112.50913849999998</v>
      </c>
      <c r="E11" s="26">
        <v>60.327460000000002</v>
      </c>
      <c r="F11" s="26">
        <v>29.439999999999998</v>
      </c>
      <c r="G11" s="26">
        <v>19.364603299999999</v>
      </c>
      <c r="H11" s="26">
        <f>9.44+24.18</f>
        <v>33.619999999999997</v>
      </c>
      <c r="I11" s="26">
        <f t="shared" ref="I11:M11" si="3">H11</f>
        <v>33.619999999999997</v>
      </c>
      <c r="J11" s="26">
        <f t="shared" si="3"/>
        <v>33.619999999999997</v>
      </c>
      <c r="K11" s="26">
        <f t="shared" si="3"/>
        <v>33.619999999999997</v>
      </c>
      <c r="L11" s="26">
        <f t="shared" si="3"/>
        <v>33.619999999999997</v>
      </c>
      <c r="M11" s="26">
        <f t="shared" si="3"/>
        <v>33.619999999999997</v>
      </c>
      <c r="N11" s="30"/>
      <c r="O11" s="33"/>
      <c r="P11" s="8" t="s">
        <v>433</v>
      </c>
      <c r="Q11" s="26">
        <v>58997534</v>
      </c>
    </row>
    <row r="12" spans="1:17" x14ac:dyDescent="0.35">
      <c r="B12" s="21" t="s">
        <v>77</v>
      </c>
      <c r="C12" s="26">
        <v>2599.6552563999999</v>
      </c>
      <c r="D12" s="26">
        <v>2933.6020223</v>
      </c>
      <c r="E12" s="26">
        <v>3089.2928088999997</v>
      </c>
      <c r="F12" s="26">
        <v>3203.02</v>
      </c>
      <c r="G12" s="26">
        <v>3275.8460031999998</v>
      </c>
      <c r="H12" s="26">
        <f>3385.56-H13</f>
        <v>1356.1599999999999</v>
      </c>
      <c r="I12" s="26">
        <f>('P&amp;L_New Nilgiris'!I6-'P&amp;L_New Nilgiris'!I7)/365*I28</f>
        <v>1261.3837140588696</v>
      </c>
      <c r="J12" s="26">
        <f>('P&amp;L_New Nilgiris'!J6-'P&amp;L_New Nilgiris'!J7)/365*J28</f>
        <v>923.1126030780415</v>
      </c>
      <c r="K12" s="26">
        <f>('P&amp;L_New Nilgiris'!K6-'P&amp;L_New Nilgiris'!K7)/365*K28</f>
        <v>694.28855544701321</v>
      </c>
      <c r="L12" s="26">
        <f>('P&amp;L_New Nilgiris'!L6-'P&amp;L_New Nilgiris'!L7)/365*L28</f>
        <v>539.28971419470815</v>
      </c>
      <c r="M12" s="26">
        <f>('P&amp;L_New Nilgiris'!M6-'P&amp;L_New Nilgiris'!M7)/365*M28</f>
        <v>622.53880795454029</v>
      </c>
      <c r="N12" s="30"/>
      <c r="O12" s="33"/>
      <c r="P12" s="8" t="s">
        <v>431</v>
      </c>
      <c r="Q12" s="26">
        <v>2100000</v>
      </c>
    </row>
    <row r="13" spans="1:17" x14ac:dyDescent="0.35">
      <c r="B13" s="21" t="s">
        <v>435</v>
      </c>
      <c r="C13" s="26"/>
      <c r="D13" s="26"/>
      <c r="E13" s="26"/>
      <c r="F13" s="26"/>
      <c r="G13" s="26"/>
      <c r="H13" s="26">
        <v>2029.4</v>
      </c>
      <c r="I13" s="26">
        <f>H13</f>
        <v>2029.4</v>
      </c>
      <c r="J13" s="26">
        <f t="shared" ref="J13:M13" si="4">I13</f>
        <v>2029.4</v>
      </c>
      <c r="K13" s="26">
        <f t="shared" si="4"/>
        <v>2029.4</v>
      </c>
      <c r="L13" s="26">
        <f t="shared" si="4"/>
        <v>2029.4</v>
      </c>
      <c r="M13" s="26">
        <f t="shared" si="4"/>
        <v>2029.4</v>
      </c>
      <c r="N13" s="30"/>
      <c r="O13" s="33"/>
      <c r="P13" s="8" t="s">
        <v>430</v>
      </c>
      <c r="Q13" s="26">
        <v>16383145.1</v>
      </c>
    </row>
    <row r="14" spans="1:17" x14ac:dyDescent="0.35">
      <c r="B14" s="21"/>
      <c r="C14" s="26"/>
      <c r="D14" s="26"/>
      <c r="E14" s="26"/>
      <c r="F14" s="26"/>
      <c r="G14" s="26"/>
      <c r="H14" s="26"/>
      <c r="I14" s="26">
        <f>H14</f>
        <v>0</v>
      </c>
      <c r="J14" s="26">
        <f t="shared" ref="J14:M14" si="5">I14</f>
        <v>0</v>
      </c>
      <c r="K14" s="26">
        <f t="shared" si="5"/>
        <v>0</v>
      </c>
      <c r="L14" s="26">
        <f t="shared" si="5"/>
        <v>0</v>
      </c>
      <c r="M14" s="26">
        <f t="shared" si="5"/>
        <v>0</v>
      </c>
      <c r="N14" s="30"/>
      <c r="O14" s="33"/>
      <c r="P14" s="8" t="s">
        <v>432</v>
      </c>
      <c r="Q14" s="26">
        <v>82999995</v>
      </c>
    </row>
    <row r="15" spans="1:17" x14ac:dyDescent="0.35">
      <c r="B15" s="21" t="s">
        <v>78</v>
      </c>
      <c r="C15" s="26">
        <v>1573.0046244999999</v>
      </c>
      <c r="D15" s="26">
        <v>1936.5644869</v>
      </c>
      <c r="E15" s="26">
        <v>2862.6123346000004</v>
      </c>
      <c r="F15" s="26">
        <v>4230.09</v>
      </c>
      <c r="G15" s="26">
        <v>4832.6896707000005</v>
      </c>
      <c r="H15" s="26">
        <v>1765.41</v>
      </c>
      <c r="I15" s="26">
        <f>H15+'P&amp;L_New Nilgiris'!I23</f>
        <v>2180.9580000000001</v>
      </c>
      <c r="J15" s="26">
        <f>I15+'P&amp;L_New Nilgiris'!J23</f>
        <v>2596.5060000000003</v>
      </c>
      <c r="K15" s="26">
        <f>J15+'P&amp;L_New Nilgiris'!K23</f>
        <v>3012.0540000000001</v>
      </c>
      <c r="L15" s="26">
        <f>K15+'P&amp;L_New Nilgiris'!L23</f>
        <v>3427.6019999999999</v>
      </c>
      <c r="M15" s="26">
        <f>L15+'P&amp;L_New Nilgiris'!M23</f>
        <v>3843.1499999999996</v>
      </c>
      <c r="N15" s="30"/>
      <c r="O15" s="33"/>
      <c r="P15" s="8" t="s">
        <v>427</v>
      </c>
      <c r="Q15" s="26">
        <v>11491829.68</v>
      </c>
    </row>
    <row r="16" spans="1:17" s="31" customFormat="1" x14ac:dyDescent="0.35">
      <c r="B16" s="23" t="s">
        <v>79</v>
      </c>
      <c r="C16" s="126">
        <f>SUM(C9:C15)+C4+C6</f>
        <v>23100.968115299998</v>
      </c>
      <c r="D16" s="126">
        <f>SUM(D9:D15)+D4+D6</f>
        <v>23459.023409800004</v>
      </c>
      <c r="E16" s="126">
        <f>SUM(E9:E15)+E4+E6</f>
        <v>20882.8117146</v>
      </c>
      <c r="F16" s="126">
        <f>SUM(F9:F15)+F4+F6</f>
        <v>18171.8</v>
      </c>
      <c r="G16" s="126">
        <f>SUM(G9:G15)+G4+G6</f>
        <v>11615.024461900004</v>
      </c>
      <c r="H16" s="126">
        <f>SUM(H9:H15)+H4+H6+H5</f>
        <v>5155.4664773000004</v>
      </c>
      <c r="I16" s="126">
        <f t="shared" ref="I16:M16" si="6">SUM(I9:I15)+I4+I6+I5</f>
        <v>4996.7662008532325</v>
      </c>
      <c r="J16" s="126">
        <f t="shared" si="6"/>
        <v>4854.6524115250113</v>
      </c>
      <c r="K16" s="126">
        <f t="shared" si="6"/>
        <v>4833.0841887389652</v>
      </c>
      <c r="L16" s="126">
        <f t="shared" si="6"/>
        <v>4833.2274902775753</v>
      </c>
      <c r="M16" s="126">
        <f t="shared" si="6"/>
        <v>4862.112666942563</v>
      </c>
      <c r="N16" s="32"/>
      <c r="O16" s="33"/>
      <c r="P16" s="8" t="s">
        <v>428</v>
      </c>
      <c r="Q16" s="26">
        <v>3530316.91</v>
      </c>
    </row>
    <row r="17" spans="2:18" x14ac:dyDescent="0.35">
      <c r="B17" s="21" t="s">
        <v>80</v>
      </c>
      <c r="C17" s="26">
        <f>14854.0767217+477.60669+21.60444</f>
        <v>15353.287851699999</v>
      </c>
      <c r="D17" s="26">
        <v>15499.761714099999</v>
      </c>
      <c r="E17" s="26">
        <v>3010.8959657</v>
      </c>
      <c r="F17" s="26">
        <v>2528.04</v>
      </c>
      <c r="G17" s="26">
        <v>1958.6975216999999</v>
      </c>
      <c r="H17" s="26">
        <v>1919.1</v>
      </c>
      <c r="I17" s="26">
        <f>H17-'P&amp;L_New Nilgiris'!I21</f>
        <v>1731.899622168</v>
      </c>
      <c r="J17" s="26">
        <f>I17-'P&amp;L_New Nilgiris'!J21</f>
        <v>1561.8593274590398</v>
      </c>
      <c r="K17" s="26">
        <f>J17-'P&amp;L_New Nilgiris'!K21</f>
        <v>1405.203897586051</v>
      </c>
      <c r="L17" s="26">
        <f>K17-'P&amp;L_New Nilgiris'!L21</f>
        <v>1258.9886622851197</v>
      </c>
      <c r="M17" s="26">
        <f>L17-'P&amp;L_New Nilgiris'!M21</f>
        <v>1120.9167787503934</v>
      </c>
      <c r="N17" s="30"/>
      <c r="O17" s="33"/>
      <c r="P17" s="8" t="s">
        <v>429</v>
      </c>
      <c r="Q17" s="26">
        <v>296532</v>
      </c>
    </row>
    <row r="18" spans="2:18" x14ac:dyDescent="0.35">
      <c r="B18" s="21" t="s">
        <v>82</v>
      </c>
      <c r="C18" s="26">
        <f>963.94032+178.03963</f>
        <v>1141.9799499999999</v>
      </c>
      <c r="D18" s="26">
        <v>1101.1678014000001</v>
      </c>
      <c r="E18" s="26">
        <v>254.82915259999999</v>
      </c>
      <c r="F18" s="26">
        <v>230.82</v>
      </c>
      <c r="G18" s="26">
        <v>198.8315575</v>
      </c>
      <c r="H18" s="26">
        <v>156.41</v>
      </c>
      <c r="I18" s="26">
        <f t="shared" ref="I18:M18" si="7">H18</f>
        <v>156.41</v>
      </c>
      <c r="J18" s="26">
        <f t="shared" si="7"/>
        <v>156.41</v>
      </c>
      <c r="K18" s="26">
        <f t="shared" si="7"/>
        <v>156.41</v>
      </c>
      <c r="L18" s="26">
        <f t="shared" si="7"/>
        <v>156.41</v>
      </c>
      <c r="M18" s="26">
        <f t="shared" si="7"/>
        <v>156.41</v>
      </c>
      <c r="N18" s="30"/>
      <c r="O18" s="33"/>
      <c r="P18" s="8"/>
      <c r="Q18" s="8"/>
    </row>
    <row r="19" spans="2:18" x14ac:dyDescent="0.35">
      <c r="B19" s="21" t="s">
        <v>83</v>
      </c>
      <c r="C19" s="26">
        <v>855.66999250000003</v>
      </c>
      <c r="D19" s="26">
        <v>834.96064779999995</v>
      </c>
      <c r="E19" s="26">
        <f>1114.3042249-E37</f>
        <v>867.77422490000004</v>
      </c>
      <c r="F19" s="26">
        <v>855.46</v>
      </c>
      <c r="G19" s="26">
        <f>1337.3530902-G37</f>
        <v>719.09370769999998</v>
      </c>
      <c r="H19" s="26">
        <f>1234.51</f>
        <v>1234.51</v>
      </c>
      <c r="I19" s="26">
        <f t="shared" ref="I19:M19" si="8">H19</f>
        <v>1234.51</v>
      </c>
      <c r="J19" s="26">
        <f t="shared" si="8"/>
        <v>1234.51</v>
      </c>
      <c r="K19" s="26">
        <f t="shared" si="8"/>
        <v>1234.51</v>
      </c>
      <c r="L19" s="26">
        <f t="shared" si="8"/>
        <v>1234.51</v>
      </c>
      <c r="M19" s="26">
        <f t="shared" si="8"/>
        <v>1234.51</v>
      </c>
      <c r="N19" s="30"/>
      <c r="O19" s="33"/>
      <c r="P19" s="8" t="s">
        <v>226</v>
      </c>
      <c r="Q19" s="220">
        <f>SUM(Q10:Q17)</f>
        <v>176541492.66999999</v>
      </c>
    </row>
    <row r="20" spans="2:18" x14ac:dyDescent="0.35">
      <c r="B20" s="21" t="s">
        <v>84</v>
      </c>
      <c r="C20" s="26">
        <v>1107.19497</v>
      </c>
      <c r="D20" s="26">
        <v>626.2425068</v>
      </c>
      <c r="E20" s="26">
        <v>853.35255500000005</v>
      </c>
      <c r="F20" s="26">
        <v>334.93</v>
      </c>
      <c r="G20" s="26">
        <v>199.524857</v>
      </c>
      <c r="H20" s="26">
        <f>('P&amp;L_New Nilgiris'!H6-'P&amp;L_New Nilgiris'!H7)/12*1*0+183.9</f>
        <v>183.9</v>
      </c>
      <c r="I20" s="26">
        <f>('P&amp;L_New Nilgiris'!I6-'P&amp;L_New Nilgiris'!I7)/365*I26</f>
        <v>217.75622377135738</v>
      </c>
      <c r="J20" s="26">
        <f>('P&amp;L_New Nilgiris'!J6-'P&amp;L_New Nilgiris'!J7)/365*J26</f>
        <v>250.42211700165703</v>
      </c>
      <c r="K20" s="26">
        <f>('P&amp;L_New Nilgiris'!K6-'P&amp;L_New Nilgiris'!K7)/365*K26</f>
        <v>292.98375108477097</v>
      </c>
      <c r="L20" s="26">
        <f>('P&amp;L_New Nilgiris'!L6-'P&amp;L_New Nilgiris'!L7)/365*L26</f>
        <v>341.36337581815036</v>
      </c>
      <c r="M20" s="26">
        <f>('P&amp;L_New Nilgiris'!M6-'P&amp;L_New Nilgiris'!M7)/365*M26</f>
        <v>394.05896954385923</v>
      </c>
      <c r="N20" s="30"/>
      <c r="O20" s="33"/>
    </row>
    <row r="21" spans="2:18" x14ac:dyDescent="0.35">
      <c r="B21" s="21" t="s">
        <v>85</v>
      </c>
      <c r="C21" s="26">
        <v>2768.1437119000002</v>
      </c>
      <c r="D21" s="26">
        <v>3507.6062202999997</v>
      </c>
      <c r="E21" s="26">
        <v>1782.1149061000001</v>
      </c>
      <c r="F21" s="26">
        <f>1384.01+0.01</f>
        <v>1384.02</v>
      </c>
      <c r="G21" s="26">
        <v>666.17683020000004</v>
      </c>
      <c r="H21" s="26">
        <f>'P&amp;L_New Nilgiris'!H6/365*35*0+556.24</f>
        <v>556.24</v>
      </c>
      <c r="I21" s="26">
        <f>'P&amp;L_New Nilgiris'!I6/365*I27</f>
        <v>550.88387761387457</v>
      </c>
      <c r="J21" s="26">
        <f>'P&amp;L_New Nilgiris'!J6/365*J27</f>
        <v>546.1444897643147</v>
      </c>
      <c r="K21" s="26">
        <f>'P&amp;L_New Nilgiris'!K6/365*K27</f>
        <v>638.67006276814345</v>
      </c>
      <c r="L21" s="26">
        <f>'P&amp;L_New Nilgiris'!L6/365*L27</f>
        <v>736.64897487430517</v>
      </c>
      <c r="M21" s="26">
        <f>'P&amp;L_New Nilgiris'!M6/365*M27</f>
        <v>850.910441348311</v>
      </c>
      <c r="N21" s="30"/>
      <c r="O21" s="33"/>
      <c r="P21" s="3" t="s">
        <v>323</v>
      </c>
      <c r="Q21" s="3" t="s">
        <v>281</v>
      </c>
    </row>
    <row r="22" spans="2:18" x14ac:dyDescent="0.35">
      <c r="B22" s="21" t="s">
        <v>86</v>
      </c>
      <c r="C22" s="26">
        <v>1874.6916392000001</v>
      </c>
      <c r="D22" s="26">
        <v>1889.2845193999999</v>
      </c>
      <c r="E22" s="26">
        <f>14112.8987848+0.9461255</f>
        <v>14113.8449103</v>
      </c>
      <c r="F22" s="26">
        <v>12838.529999999999</v>
      </c>
      <c r="G22" s="26">
        <v>7872.6999907999998</v>
      </c>
      <c r="H22" s="26">
        <f>1105.31</f>
        <v>1105.31</v>
      </c>
      <c r="I22" s="26">
        <f>H22</f>
        <v>1105.31</v>
      </c>
      <c r="J22" s="26">
        <f t="shared" ref="J22:M22" si="9">I22</f>
        <v>1105.31</v>
      </c>
      <c r="K22" s="26">
        <f t="shared" si="9"/>
        <v>1105.31</v>
      </c>
      <c r="L22" s="26">
        <f t="shared" si="9"/>
        <v>1105.31</v>
      </c>
      <c r="M22" s="26">
        <f t="shared" si="9"/>
        <v>1105.31</v>
      </c>
      <c r="N22" s="30"/>
      <c r="O22" s="33">
        <v>27322664.32</v>
      </c>
      <c r="P22" s="8" t="s">
        <v>422</v>
      </c>
      <c r="Q22" s="220">
        <v>68630641</v>
      </c>
    </row>
    <row r="23" spans="2:18" s="31" customFormat="1" x14ac:dyDescent="0.35">
      <c r="B23" s="23" t="s">
        <v>87</v>
      </c>
      <c r="C23" s="126">
        <f t="shared" ref="C23:M23" si="10">SUM(C17:C22)</f>
        <v>23100.968115299998</v>
      </c>
      <c r="D23" s="126">
        <f t="shared" si="10"/>
        <v>23459.0234098</v>
      </c>
      <c r="E23" s="126">
        <f t="shared" si="10"/>
        <v>20882.8117146</v>
      </c>
      <c r="F23" s="126">
        <f t="shared" si="10"/>
        <v>18171.8</v>
      </c>
      <c r="G23" s="126">
        <f t="shared" si="10"/>
        <v>11615.0244649</v>
      </c>
      <c r="H23" s="126">
        <f t="shared" si="10"/>
        <v>5155.4699999999993</v>
      </c>
      <c r="I23" s="126">
        <f t="shared" si="10"/>
        <v>4996.7697235532323</v>
      </c>
      <c r="J23" s="126">
        <f t="shared" si="10"/>
        <v>4854.6559342250112</v>
      </c>
      <c r="K23" s="126">
        <f t="shared" si="10"/>
        <v>4833.0877114389659</v>
      </c>
      <c r="L23" s="126">
        <f t="shared" si="10"/>
        <v>4833.231012977576</v>
      </c>
      <c r="M23" s="126">
        <f t="shared" si="10"/>
        <v>4862.1161896425638</v>
      </c>
      <c r="N23" s="32"/>
      <c r="O23" s="33">
        <v>83208531</v>
      </c>
      <c r="P23" s="146" t="s">
        <v>420</v>
      </c>
      <c r="Q23" s="344">
        <v>678517</v>
      </c>
    </row>
    <row r="24" spans="2:18" x14ac:dyDescent="0.35">
      <c r="C24" s="30">
        <f t="shared" ref="C24:M24" si="11">C16-C23</f>
        <v>0</v>
      </c>
      <c r="D24" s="30">
        <f t="shared" si="11"/>
        <v>0</v>
      </c>
      <c r="E24" s="30">
        <f t="shared" si="11"/>
        <v>0</v>
      </c>
      <c r="F24" s="30">
        <f t="shared" si="11"/>
        <v>0</v>
      </c>
      <c r="G24" s="30">
        <f t="shared" si="11"/>
        <v>-2.999995558639057E-6</v>
      </c>
      <c r="H24" s="30">
        <f t="shared" si="11"/>
        <v>-3.5226999989390606E-3</v>
      </c>
      <c r="I24" s="30">
        <f t="shared" si="11"/>
        <v>-3.5226999998485553E-3</v>
      </c>
      <c r="J24" s="30">
        <f t="shared" si="11"/>
        <v>-3.5226999998485553E-3</v>
      </c>
      <c r="K24" s="30">
        <f t="shared" si="11"/>
        <v>-3.52270000075805E-3</v>
      </c>
      <c r="L24" s="30">
        <f t="shared" si="11"/>
        <v>-3.52270000075805E-3</v>
      </c>
      <c r="M24" s="30">
        <f t="shared" si="11"/>
        <v>-3.52270000075805E-3</v>
      </c>
      <c r="N24" s="30"/>
      <c r="O24" s="33"/>
      <c r="P24" s="8" t="s">
        <v>421</v>
      </c>
      <c r="Q24" s="220">
        <f>(117899426.66-107082653.66)+3082600</f>
        <v>13899373</v>
      </c>
      <c r="R24" s="33"/>
    </row>
    <row r="25" spans="2:18" x14ac:dyDescent="0.35">
      <c r="E25" s="33"/>
      <c r="F25" s="33"/>
      <c r="G25" s="36"/>
      <c r="H25" s="36"/>
      <c r="I25" s="33"/>
      <c r="J25" s="33"/>
      <c r="P25" s="8"/>
      <c r="Q25" s="220">
        <f>SUM(Q22:Q24)</f>
        <v>83208531</v>
      </c>
    </row>
    <row r="26" spans="2:18" x14ac:dyDescent="0.35">
      <c r="B26" t="s">
        <v>239</v>
      </c>
      <c r="E26" s="33"/>
      <c r="G26" s="36"/>
      <c r="H26" s="349">
        <f>H20/('P&amp;L_New Nilgiris'!H6-'P&amp;L_New Nilgiris'!H7)*365</f>
        <v>18.989609860882826</v>
      </c>
      <c r="I26" s="349">
        <f>H26</f>
        <v>18.989609860882826</v>
      </c>
      <c r="J26" s="349">
        <f t="shared" ref="J26:M26" si="12">I26</f>
        <v>18.989609860882826</v>
      </c>
      <c r="K26" s="349">
        <f t="shared" si="12"/>
        <v>18.989609860882826</v>
      </c>
      <c r="L26" s="349">
        <f t="shared" si="12"/>
        <v>18.989609860882826</v>
      </c>
      <c r="M26" s="349">
        <f t="shared" si="12"/>
        <v>18.989609860882826</v>
      </c>
      <c r="P26" s="8"/>
      <c r="Q26" s="8"/>
    </row>
    <row r="27" spans="2:18" x14ac:dyDescent="0.35">
      <c r="B27" t="s">
        <v>240</v>
      </c>
      <c r="E27" s="33"/>
      <c r="G27" s="36"/>
      <c r="H27" s="349">
        <f>H21/'P&amp;L_New Nilgiris'!H6*365</f>
        <v>42.41226934564471</v>
      </c>
      <c r="I27" s="349">
        <v>35</v>
      </c>
      <c r="J27" s="349">
        <v>30</v>
      </c>
      <c r="K27" s="349">
        <f t="shared" ref="J27:M27" si="13">J27</f>
        <v>30</v>
      </c>
      <c r="L27" s="349">
        <f t="shared" si="13"/>
        <v>30</v>
      </c>
      <c r="M27" s="349">
        <f t="shared" si="13"/>
        <v>30</v>
      </c>
      <c r="P27" s="8" t="s">
        <v>423</v>
      </c>
      <c r="Q27" s="220">
        <v>9789727.1999999993</v>
      </c>
    </row>
    <row r="28" spans="2:18" x14ac:dyDescent="0.35">
      <c r="B28" t="s">
        <v>241</v>
      </c>
      <c r="E28" s="33"/>
      <c r="G28" s="36"/>
      <c r="H28" s="349">
        <f>H12/('P&amp;L_New Nilgiris'!H6-'P&amp;L_New Nilgiris'!H7)*365</f>
        <v>140.03778852058105</v>
      </c>
      <c r="I28" s="349">
        <v>110</v>
      </c>
      <c r="J28" s="349">
        <v>70</v>
      </c>
      <c r="K28" s="349">
        <v>45</v>
      </c>
      <c r="L28" s="349">
        <v>30</v>
      </c>
      <c r="M28" s="349">
        <f t="shared" ref="J28:M28" si="14">L28</f>
        <v>30</v>
      </c>
      <c r="P28" s="8" t="s">
        <v>424</v>
      </c>
      <c r="Q28" s="220">
        <v>16620039.4</v>
      </c>
    </row>
    <row r="29" spans="2:18" x14ac:dyDescent="0.35">
      <c r="I29" s="33"/>
      <c r="P29" s="8" t="s">
        <v>425</v>
      </c>
      <c r="Q29" s="228">
        <v>164800</v>
      </c>
    </row>
    <row r="30" spans="2:18" x14ac:dyDescent="0.35">
      <c r="B30" t="s">
        <v>438</v>
      </c>
      <c r="H30" s="25">
        <f>H20+H21-H12-H13</f>
        <v>-2645.42</v>
      </c>
      <c r="I30" s="25">
        <f>I20+I21-I12-I13</f>
        <v>-2522.143612673638</v>
      </c>
      <c r="J30" s="25">
        <f t="shared" ref="J30:M30" si="15">J20+J21-J12-J13</f>
        <v>-2155.9459963120698</v>
      </c>
      <c r="K30" s="25">
        <f t="shared" si="15"/>
        <v>-1792.0347415940987</v>
      </c>
      <c r="L30" s="25">
        <f t="shared" si="15"/>
        <v>-1490.6773635022528</v>
      </c>
      <c r="M30" s="25">
        <f t="shared" si="15"/>
        <v>-1406.96939706237</v>
      </c>
      <c r="N30" s="33" t="e">
        <f>M30/#REF!*#REF!</f>
        <v>#REF!</v>
      </c>
      <c r="P30" s="8"/>
      <c r="Q30" s="228"/>
    </row>
    <row r="31" spans="2:18" x14ac:dyDescent="0.35">
      <c r="B31" t="s">
        <v>439</v>
      </c>
      <c r="I31" s="25">
        <f>H30-I30</f>
        <v>-123.27638732636206</v>
      </c>
      <c r="J31" s="25">
        <f t="shared" ref="J31:N31" si="16">I30-J30</f>
        <v>-366.19761636156818</v>
      </c>
      <c r="K31" s="25">
        <f t="shared" si="16"/>
        <v>-363.91125471797113</v>
      </c>
      <c r="L31" s="25">
        <f t="shared" si="16"/>
        <v>-301.35737809184593</v>
      </c>
      <c r="M31" s="25">
        <f t="shared" si="16"/>
        <v>-83.707966439882739</v>
      </c>
      <c r="N31" s="25" t="e">
        <f t="shared" si="16"/>
        <v>#REF!</v>
      </c>
      <c r="P31" s="8"/>
      <c r="Q31" s="228"/>
    </row>
    <row r="32" spans="2:18" x14ac:dyDescent="0.35">
      <c r="I32" s="33">
        <f>I31-'Cash flow'!I7</f>
        <v>0</v>
      </c>
      <c r="J32" s="33">
        <f>J31-'Cash flow'!J7</f>
        <v>0</v>
      </c>
      <c r="K32" s="33">
        <f>K31-'Cash flow'!K7</f>
        <v>0</v>
      </c>
      <c r="L32" s="33">
        <f>L31-'Cash flow'!L7</f>
        <v>0</v>
      </c>
      <c r="M32" s="33">
        <f>M31-'Cash flow'!M7</f>
        <v>-2.2737367544323206E-13</v>
      </c>
      <c r="P32" s="8"/>
      <c r="Q32" s="228"/>
    </row>
    <row r="33" spans="1:17" x14ac:dyDescent="0.35">
      <c r="I33" s="33"/>
      <c r="P33" s="8"/>
      <c r="Q33" s="228"/>
    </row>
    <row r="34" spans="1:17" x14ac:dyDescent="0.35">
      <c r="H34" s="33"/>
      <c r="I34" s="33"/>
      <c r="P34" s="8" t="s">
        <v>426</v>
      </c>
      <c r="Q34" s="220">
        <v>748097.72</v>
      </c>
    </row>
    <row r="35" spans="1:17" x14ac:dyDescent="0.35">
      <c r="B35" s="21" t="s">
        <v>75</v>
      </c>
      <c r="C35" s="24"/>
      <c r="D35" s="24"/>
      <c r="E35" s="24">
        <v>1969.6530504</v>
      </c>
      <c r="F35" s="24">
        <v>807.21999999999991</v>
      </c>
      <c r="G35" s="24">
        <v>639.43215250000003</v>
      </c>
      <c r="I35" s="33"/>
      <c r="P35" s="8"/>
      <c r="Q35" s="220">
        <f>SUM(Q27:Q34)</f>
        <v>27322664.32</v>
      </c>
    </row>
    <row r="36" spans="1:17" x14ac:dyDescent="0.35">
      <c r="B36" s="21" t="s">
        <v>81</v>
      </c>
      <c r="C36" s="24"/>
      <c r="D36" s="24"/>
      <c r="E36" s="24">
        <v>1298.9960900000001</v>
      </c>
      <c r="F36" s="24">
        <v>589.51</v>
      </c>
      <c r="G36" s="24">
        <v>33.229880000000001</v>
      </c>
      <c r="I36" s="33"/>
    </row>
    <row r="37" spans="1:17" x14ac:dyDescent="0.35">
      <c r="B37" s="21" t="s">
        <v>164</v>
      </c>
      <c r="C37" s="24"/>
      <c r="D37" s="24"/>
      <c r="E37" s="24">
        <v>246.53</v>
      </c>
      <c r="F37" s="24"/>
      <c r="G37" s="24">
        <f>55.56031+562.6990725</f>
        <v>618.25938250000002</v>
      </c>
      <c r="P37" s="3" t="s">
        <v>323</v>
      </c>
      <c r="Q37" s="3" t="s">
        <v>281</v>
      </c>
    </row>
    <row r="38" spans="1:17" x14ac:dyDescent="0.35">
      <c r="B38" s="8" t="s">
        <v>112</v>
      </c>
      <c r="C38" s="8"/>
      <c r="D38" s="8"/>
      <c r="E38" s="38">
        <f t="shared" ref="E38:F38" si="17">E35-E36-E37</f>
        <v>424.12696039999992</v>
      </c>
      <c r="F38" s="38">
        <f t="shared" si="17"/>
        <v>217.70999999999992</v>
      </c>
      <c r="G38" s="38">
        <f>G35-G36-G37</f>
        <v>-12.057109999999966</v>
      </c>
      <c r="P38" s="8" t="s">
        <v>422</v>
      </c>
      <c r="Q38" s="220">
        <v>68630641</v>
      </c>
    </row>
    <row r="41" spans="1:17" x14ac:dyDescent="0.35">
      <c r="B41" t="s">
        <v>330</v>
      </c>
      <c r="H41" t="str">
        <f>H2</f>
        <v>FY23</v>
      </c>
      <c r="I41" t="str">
        <f t="shared" ref="I41:M41" si="18">I2</f>
        <v>FY1</v>
      </c>
      <c r="J41" t="str">
        <f t="shared" si="18"/>
        <v>FY2</v>
      </c>
      <c r="K41" t="str">
        <f t="shared" si="18"/>
        <v>FY3</v>
      </c>
      <c r="L41" t="str">
        <f t="shared" si="18"/>
        <v>FY4</v>
      </c>
      <c r="M41" t="str">
        <f t="shared" si="18"/>
        <v>FY5</v>
      </c>
    </row>
    <row r="42" spans="1:17" x14ac:dyDescent="0.35">
      <c r="B42" t="s">
        <v>331</v>
      </c>
      <c r="C42">
        <v>21</v>
      </c>
      <c r="H42" s="218">
        <f>H20/('P&amp;L'!H7-'P&amp;L'!H8)*365</f>
        <v>21.089728977669957</v>
      </c>
      <c r="I42" s="57">
        <f>C42</f>
        <v>21</v>
      </c>
      <c r="J42" s="57">
        <f>I42</f>
        <v>21</v>
      </c>
      <c r="K42" s="57">
        <f t="shared" ref="K42:M42" si="19">J42</f>
        <v>21</v>
      </c>
      <c r="L42" s="57">
        <f t="shared" si="19"/>
        <v>21</v>
      </c>
      <c r="M42" s="57">
        <f t="shared" si="19"/>
        <v>21</v>
      </c>
    </row>
    <row r="43" spans="1:17" x14ac:dyDescent="0.35">
      <c r="B43" t="s">
        <v>85</v>
      </c>
    </row>
    <row r="44" spans="1:17" x14ac:dyDescent="0.35">
      <c r="B44" t="s">
        <v>332</v>
      </c>
    </row>
    <row r="47" spans="1:17" x14ac:dyDescent="0.35">
      <c r="B47" s="35" t="s">
        <v>436</v>
      </c>
      <c r="H47" s="25">
        <v>3462.9</v>
      </c>
      <c r="I47" s="25">
        <v>3462.9</v>
      </c>
      <c r="J47" s="25">
        <v>3462.9</v>
      </c>
      <c r="K47" s="25">
        <v>3462.9</v>
      </c>
      <c r="L47" s="25">
        <v>3462.9</v>
      </c>
      <c r="M47" s="25">
        <v>3462.9</v>
      </c>
    </row>
    <row r="48" spans="1:17" x14ac:dyDescent="0.35">
      <c r="A48" s="227">
        <v>0.12</v>
      </c>
      <c r="B48" t="s">
        <v>437</v>
      </c>
      <c r="G48" s="125"/>
      <c r="H48" s="125">
        <f>462.56*4/3</f>
        <v>616.74666666666667</v>
      </c>
      <c r="I48" s="125">
        <f t="shared" ref="I48:M48" si="20">I47*$A$48</f>
        <v>415.548</v>
      </c>
      <c r="J48" s="125">
        <f t="shared" si="20"/>
        <v>415.548</v>
      </c>
      <c r="K48" s="125">
        <f t="shared" si="20"/>
        <v>415.548</v>
      </c>
      <c r="L48" s="125">
        <f t="shared" si="20"/>
        <v>415.548</v>
      </c>
      <c r="M48" s="125">
        <f t="shared" si="20"/>
        <v>415.548</v>
      </c>
    </row>
    <row r="49" spans="2:13" x14ac:dyDescent="0.35">
      <c r="G49" s="125"/>
      <c r="H49" s="227"/>
      <c r="I49" s="125"/>
      <c r="J49" s="125"/>
      <c r="K49" s="125"/>
      <c r="L49" s="125"/>
      <c r="M49" s="125"/>
    </row>
    <row r="51" spans="2:13" x14ac:dyDescent="0.35">
      <c r="B51" s="31"/>
      <c r="C51" s="31"/>
      <c r="D51" s="31"/>
      <c r="E51" s="31"/>
      <c r="F51" s="31"/>
      <c r="G51" s="31"/>
      <c r="H51" s="31"/>
      <c r="I51" s="219"/>
      <c r="J51" s="219"/>
      <c r="K51" s="219"/>
      <c r="L51" s="219"/>
      <c r="M51" s="219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31"/>
  <sheetViews>
    <sheetView workbookViewId="0">
      <selection activeCell="I7" sqref="I7"/>
    </sheetView>
  </sheetViews>
  <sheetFormatPr defaultColWidth="9.1796875" defaultRowHeight="14.5" x14ac:dyDescent="0.35"/>
  <cols>
    <col min="1" max="1" width="9.1796875" style="116"/>
    <col min="2" max="2" width="44.81640625" style="116" bestFit="1" customWidth="1"/>
    <col min="3" max="7" width="9.7265625" style="116" hidden="1" customWidth="1"/>
    <col min="8" max="8" width="10.7265625" style="116" hidden="1" customWidth="1"/>
    <col min="9" max="12" width="9.453125" style="116" customWidth="1"/>
    <col min="13" max="13" width="10.453125" style="116" customWidth="1"/>
    <col min="14" max="16384" width="9.1796875" style="116"/>
  </cols>
  <sheetData>
    <row r="1" spans="2:13" x14ac:dyDescent="0.35">
      <c r="B1" s="116" t="s">
        <v>391</v>
      </c>
    </row>
    <row r="2" spans="2:13" x14ac:dyDescent="0.35">
      <c r="B2" s="3" t="s">
        <v>323</v>
      </c>
      <c r="C2" s="3" t="s">
        <v>12</v>
      </c>
      <c r="D2" s="3" t="s">
        <v>11</v>
      </c>
      <c r="E2" s="3" t="s">
        <v>10</v>
      </c>
      <c r="F2" s="3" t="s">
        <v>9</v>
      </c>
      <c r="G2" s="3" t="s">
        <v>8</v>
      </c>
      <c r="H2" s="309" t="s">
        <v>0</v>
      </c>
      <c r="I2" s="309" t="s">
        <v>1</v>
      </c>
      <c r="J2" s="309" t="s">
        <v>2</v>
      </c>
      <c r="K2" s="309" t="s">
        <v>3</v>
      </c>
      <c r="L2" s="309" t="s">
        <v>4</v>
      </c>
      <c r="M2" s="309" t="s">
        <v>5</v>
      </c>
    </row>
    <row r="3" spans="2:13" x14ac:dyDescent="0.35">
      <c r="B3" s="304" t="s">
        <v>88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3" x14ac:dyDescent="0.35">
      <c r="B4" s="305" t="s">
        <v>261</v>
      </c>
      <c r="C4" s="26">
        <v>-1607.11</v>
      </c>
      <c r="D4" s="26">
        <v>-2172.8000000000002</v>
      </c>
      <c r="E4" s="26">
        <v>-3722.0533567999964</v>
      </c>
      <c r="F4" s="26">
        <v>-3268.42</v>
      </c>
      <c r="G4" s="26">
        <v>-6987.819999999997</v>
      </c>
      <c r="H4" s="26"/>
      <c r="I4" s="26">
        <f>'P&amp;L_New Nilgiris'!I30</f>
        <v>-416.47286102534514</v>
      </c>
      <c r="J4" s="26">
        <f>'P&amp;L_New Nilgiris'!J30</f>
        <v>-305.32691145391277</v>
      </c>
      <c r="K4" s="26">
        <f>'P&amp;L_New Nilgiris'!K30</f>
        <v>-203.11054065608101</v>
      </c>
      <c r="L4" s="26">
        <f>'P&amp;L_New Nilgiris'!L30</f>
        <v>-178.57174358238805</v>
      </c>
      <c r="M4" s="26">
        <f>'P&amp;L_New Nilgiris'!M30</f>
        <v>-65.683569427151895</v>
      </c>
    </row>
    <row r="5" spans="2:13" x14ac:dyDescent="0.35">
      <c r="B5" s="305" t="s">
        <v>166</v>
      </c>
      <c r="C5" s="26">
        <v>1479.07</v>
      </c>
      <c r="D5" s="26">
        <f>1983</f>
        <v>1983</v>
      </c>
      <c r="E5" s="26">
        <v>2880.1282526</v>
      </c>
      <c r="F5" s="26">
        <v>3087.5099999999993</v>
      </c>
      <c r="G5" s="26">
        <v>7066.1799999999994</v>
      </c>
      <c r="H5" s="26"/>
      <c r="I5" s="26">
        <f>'P&amp;L_New Nilgiris'!I21+'P&amp;L_New Nilgiris'!I23</f>
        <v>602.74837783199996</v>
      </c>
      <c r="J5" s="26">
        <f>'P&amp;L_New Nilgiris'!J21+'P&amp;L_New Nilgiris'!J23</f>
        <v>585.58829470896001</v>
      </c>
      <c r="K5" s="26">
        <f>'P&amp;L_New Nilgiris'!K21+'P&amp;L_New Nilgiris'!K23</f>
        <v>572.20342987298886</v>
      </c>
      <c r="L5" s="26">
        <f>'P&amp;L_New Nilgiris'!L21+'P&amp;L_New Nilgiris'!L23</f>
        <v>561.76323530093134</v>
      </c>
      <c r="M5" s="26">
        <f>'P&amp;L_New Nilgiris'!M21+'P&amp;L_New Nilgiris'!M23</f>
        <v>553.61988353472634</v>
      </c>
    </row>
    <row r="6" spans="2:13" x14ac:dyDescent="0.35">
      <c r="B6" s="305" t="s">
        <v>89</v>
      </c>
      <c r="C6" s="26">
        <v>-41.891516200000069</v>
      </c>
      <c r="D6" s="26">
        <v>-123.91999999999992</v>
      </c>
      <c r="E6" s="26">
        <v>-95.258841099999998</v>
      </c>
      <c r="F6" s="26">
        <v>46.96</v>
      </c>
      <c r="G6" s="26">
        <v>72.319999999999993</v>
      </c>
      <c r="H6" s="26"/>
      <c r="I6" s="26">
        <f>'P&amp;L'!I43</f>
        <v>0</v>
      </c>
      <c r="J6" s="26">
        <f>'P&amp;L'!J43</f>
        <v>0</v>
      </c>
      <c r="K6" s="26">
        <f>'P&amp;L'!K43</f>
        <v>0</v>
      </c>
      <c r="L6" s="26">
        <f>'P&amp;L'!L43</f>
        <v>0</v>
      </c>
      <c r="M6" s="26">
        <f>'P&amp;L'!M43</f>
        <v>0</v>
      </c>
    </row>
    <row r="7" spans="2:13" x14ac:dyDescent="0.35">
      <c r="B7" s="305" t="s">
        <v>90</v>
      </c>
      <c r="C7" s="26">
        <v>-802.61</v>
      </c>
      <c r="D7" s="26">
        <f>121.5</f>
        <v>121.5</v>
      </c>
      <c r="E7" s="26">
        <f>698.65</f>
        <v>698.65</v>
      </c>
      <c r="F7" s="26">
        <v>542.35000000000014</v>
      </c>
      <c r="G7" s="26">
        <v>306.26</v>
      </c>
      <c r="H7" s="26"/>
      <c r="I7" s="26">
        <f>-(SUM('Balance sheet'!I20:I21)-SUM('Balance sheet'!H20:H21)-SUM('Balance sheet'!I12:I14)+SUM('Balance sheet'!H12:H14))</f>
        <v>-123.27638732636206</v>
      </c>
      <c r="J7" s="26">
        <f>-(SUM('Balance sheet'!J20:J21)-SUM('Balance sheet'!I20:I21)-SUM('Balance sheet'!J12:J14)+SUM('Balance sheet'!I12:I14))</f>
        <v>-366.19761636156818</v>
      </c>
      <c r="K7" s="26">
        <f>-(SUM('Balance sheet'!K20:K21)-SUM('Balance sheet'!J20:J21)-SUM('Balance sheet'!K12:K14)+SUM('Balance sheet'!J12:J14))</f>
        <v>-363.91125471797113</v>
      </c>
      <c r="L7" s="26">
        <f>-(SUM('Balance sheet'!L20:L21)-SUM('Balance sheet'!K20:K21)-SUM('Balance sheet'!L12:L14)+SUM('Balance sheet'!K12:K14))</f>
        <v>-301.35737809184593</v>
      </c>
      <c r="M7" s="26">
        <f>-(SUM('Balance sheet'!M20:M21)-SUM('Balance sheet'!L20:L21)-SUM('Balance sheet'!M12:M14)+SUM('Balance sheet'!L12:L14))</f>
        <v>-83.707966439882512</v>
      </c>
    </row>
    <row r="8" spans="2:13" x14ac:dyDescent="0.35">
      <c r="B8" s="306" t="s">
        <v>91</v>
      </c>
      <c r="C8" s="26">
        <v>-972.54151620000005</v>
      </c>
      <c r="D8" s="26">
        <f t="shared" ref="D8:E8" si="0">SUM(D4:D7)</f>
        <v>-192.22000000000008</v>
      </c>
      <c r="E8" s="26">
        <f t="shared" si="0"/>
        <v>-238.5339452999965</v>
      </c>
      <c r="F8" s="26">
        <f t="shared" ref="F8" si="1">SUM(F4:F7)</f>
        <v>408.39999999999941</v>
      </c>
      <c r="G8" s="26">
        <f>SUM(G4:G7)</f>
        <v>456.94000000000239</v>
      </c>
      <c r="H8" s="26"/>
      <c r="I8" s="26">
        <f t="shared" ref="H8:M8" si="2">SUM(I4:I7)</f>
        <v>62.999129480292765</v>
      </c>
      <c r="J8" s="26">
        <f t="shared" si="2"/>
        <v>-85.936233106520945</v>
      </c>
      <c r="K8" s="26">
        <f t="shared" si="2"/>
        <v>5.1816344989367167</v>
      </c>
      <c r="L8" s="26">
        <f t="shared" si="2"/>
        <v>81.834113626697331</v>
      </c>
      <c r="M8" s="26">
        <f t="shared" si="2"/>
        <v>404.22834766769193</v>
      </c>
    </row>
    <row r="9" spans="2:13" x14ac:dyDescent="0.35">
      <c r="B9" s="304" t="s">
        <v>92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2:13" x14ac:dyDescent="0.35">
      <c r="B10" s="305" t="s">
        <v>105</v>
      </c>
      <c r="C10" s="26">
        <v>2.67</v>
      </c>
      <c r="D10" s="26">
        <v>1.1299999999999999</v>
      </c>
      <c r="E10" s="26">
        <v>36.367317799999995</v>
      </c>
      <c r="F10" s="26">
        <v>3.45</v>
      </c>
      <c r="G10" s="26">
        <v>42.88</v>
      </c>
      <c r="H10" s="26"/>
      <c r="I10" s="26">
        <v>0</v>
      </c>
      <c r="J10" s="26">
        <v>0</v>
      </c>
      <c r="K10" s="26">
        <v>0</v>
      </c>
      <c r="L10" s="26">
        <v>0</v>
      </c>
      <c r="M10" s="26">
        <v>0</v>
      </c>
    </row>
    <row r="11" spans="2:13" x14ac:dyDescent="0.35">
      <c r="B11" s="305" t="s">
        <v>412</v>
      </c>
      <c r="C11" s="26"/>
      <c r="D11" s="26"/>
      <c r="E11" s="26">
        <v>1111</v>
      </c>
      <c r="F11" s="26">
        <v>984.25</v>
      </c>
      <c r="G11" s="26">
        <v>15.75</v>
      </c>
      <c r="H11" s="26"/>
      <c r="I11" s="26">
        <v>0</v>
      </c>
      <c r="J11" s="26">
        <v>0</v>
      </c>
      <c r="K11" s="26">
        <v>0</v>
      </c>
      <c r="L11" s="26">
        <v>0</v>
      </c>
      <c r="M11" s="26">
        <v>0</v>
      </c>
    </row>
    <row r="12" spans="2:13" x14ac:dyDescent="0.35">
      <c r="B12" s="305" t="s">
        <v>165</v>
      </c>
      <c r="C12" s="26">
        <v>-1054.3016645000009</v>
      </c>
      <c r="D12" s="26">
        <v>-498.92999999999989</v>
      </c>
      <c r="E12" s="26">
        <f>243.95</f>
        <v>243.95</v>
      </c>
      <c r="F12" s="26">
        <v>1.9800000000000004</v>
      </c>
      <c r="G12" s="26">
        <v>46.790000000000006</v>
      </c>
      <c r="H12" s="26"/>
      <c r="I12" s="26">
        <f>'Balance sheet'!H22-'Balance sheet'!I22</f>
        <v>0</v>
      </c>
      <c r="J12" s="26">
        <f>'Balance sheet'!I22-'Balance sheet'!J22</f>
        <v>0</v>
      </c>
      <c r="K12" s="26">
        <f>'Balance sheet'!J22-'Balance sheet'!K22</f>
        <v>0</v>
      </c>
      <c r="L12" s="26">
        <f>'Balance sheet'!K22-'Balance sheet'!L22</f>
        <v>0</v>
      </c>
      <c r="M12" s="26">
        <f>'Balance sheet'!L22-'Balance sheet'!M22</f>
        <v>0</v>
      </c>
    </row>
    <row r="13" spans="2:13" x14ac:dyDescent="0.35">
      <c r="B13" s="306" t="s">
        <v>93</v>
      </c>
      <c r="C13" s="26">
        <v>-1051.6316645000009</v>
      </c>
      <c r="D13" s="26">
        <f t="shared" ref="D13" si="3">SUM(D10:D12)</f>
        <v>-497.7999999999999</v>
      </c>
      <c r="E13" s="26">
        <f>SUM(E10:E12)</f>
        <v>1391.3173178</v>
      </c>
      <c r="F13" s="26">
        <f t="shared" ref="F13" si="4">SUM(F10:F12)</f>
        <v>989.68000000000006</v>
      </c>
      <c r="G13" s="26">
        <f>SUM(G10:G12)</f>
        <v>105.42000000000002</v>
      </c>
      <c r="H13" s="26"/>
      <c r="I13" s="26">
        <f t="shared" ref="H13:M13" si="5">SUM(I10:I12)</f>
        <v>0</v>
      </c>
      <c r="J13" s="26">
        <f t="shared" si="5"/>
        <v>0</v>
      </c>
      <c r="K13" s="26">
        <f t="shared" si="5"/>
        <v>0</v>
      </c>
      <c r="L13" s="26">
        <f t="shared" si="5"/>
        <v>0</v>
      </c>
      <c r="M13" s="26">
        <f t="shared" si="5"/>
        <v>0</v>
      </c>
    </row>
    <row r="14" spans="2:13" x14ac:dyDescent="0.35">
      <c r="B14" s="306" t="s">
        <v>94</v>
      </c>
      <c r="C14" s="26">
        <v>-2024.173180700001</v>
      </c>
      <c r="D14" s="26">
        <f t="shared" ref="D14" si="6">D8+D13</f>
        <v>-690.02</v>
      </c>
      <c r="E14" s="26">
        <f>E8+E13</f>
        <v>1152.7833725000035</v>
      </c>
      <c r="F14" s="26">
        <f t="shared" ref="F14" si="7">F8+F13</f>
        <v>1398.0799999999995</v>
      </c>
      <c r="G14" s="26">
        <f>G8+G13</f>
        <v>562.3600000000024</v>
      </c>
      <c r="H14" s="26"/>
      <c r="I14" s="26">
        <f t="shared" ref="H14:M14" si="8">I8+I13</f>
        <v>62.999129480292765</v>
      </c>
      <c r="J14" s="26">
        <f t="shared" si="8"/>
        <v>-85.936233106520945</v>
      </c>
      <c r="K14" s="26">
        <f t="shared" si="8"/>
        <v>5.1816344989367167</v>
      </c>
      <c r="L14" s="26">
        <f t="shared" si="8"/>
        <v>81.834113626697331</v>
      </c>
      <c r="M14" s="26">
        <f t="shared" si="8"/>
        <v>404.22834766769193</v>
      </c>
    </row>
    <row r="15" spans="2:13" x14ac:dyDescent="0.35">
      <c r="B15" s="304" t="s">
        <v>95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2:13" x14ac:dyDescent="0.35">
      <c r="B16" s="305" t="s">
        <v>96</v>
      </c>
      <c r="C16" s="26"/>
      <c r="D16" s="26"/>
      <c r="E16" s="26"/>
      <c r="F16" s="26"/>
      <c r="G16" s="26"/>
      <c r="H16" s="26"/>
      <c r="I16" s="26"/>
      <c r="J16" s="26"/>
      <c r="K16" s="26"/>
      <c r="L16" s="26">
        <v>0</v>
      </c>
      <c r="M16" s="26">
        <v>0</v>
      </c>
    </row>
    <row r="17" spans="2:13" x14ac:dyDescent="0.35">
      <c r="B17" s="305" t="s">
        <v>106</v>
      </c>
      <c r="C17" s="26"/>
      <c r="D17" s="26"/>
      <c r="E17" s="26">
        <f>2173</f>
        <v>2173</v>
      </c>
      <c r="F17" s="26">
        <f>-800.51</f>
        <v>-800.51</v>
      </c>
      <c r="G17" s="26">
        <v>0</v>
      </c>
      <c r="H17" s="26"/>
      <c r="I17" s="26"/>
      <c r="J17" s="26"/>
      <c r="K17" s="26"/>
      <c r="L17" s="26"/>
      <c r="M17" s="26"/>
    </row>
    <row r="18" spans="2:13" x14ac:dyDescent="0.35">
      <c r="B18" s="305" t="s">
        <v>97</v>
      </c>
      <c r="C18" s="26">
        <v>400</v>
      </c>
      <c r="D18" s="26">
        <v>-92.310000000000329</v>
      </c>
      <c r="E18" s="26">
        <v>-123.07693019999999</v>
      </c>
      <c r="F18" s="26">
        <v>-123.08</v>
      </c>
      <c r="G18" s="26">
        <v>-61.54</v>
      </c>
      <c r="H18" s="26"/>
      <c r="I18" s="26">
        <v>0</v>
      </c>
      <c r="J18" s="26">
        <v>0</v>
      </c>
      <c r="K18" s="26">
        <v>0</v>
      </c>
      <c r="L18" s="26">
        <v>0</v>
      </c>
      <c r="M18" s="26">
        <v>0</v>
      </c>
    </row>
    <row r="19" spans="2:13" x14ac:dyDescent="0.35">
      <c r="B19" s="305" t="s">
        <v>98</v>
      </c>
      <c r="C19" s="26">
        <v>2200.29</v>
      </c>
      <c r="D19" s="26">
        <v>1606.2000000000007</v>
      </c>
      <c r="E19" s="26">
        <v>-2097.3528216999994</v>
      </c>
      <c r="F19" s="26">
        <v>-187.05</v>
      </c>
      <c r="G19" s="26">
        <v>-288.89</v>
      </c>
      <c r="H19" s="26"/>
      <c r="I19" s="26">
        <v>0</v>
      </c>
      <c r="J19" s="26">
        <v>0</v>
      </c>
      <c r="K19" s="26">
        <v>0</v>
      </c>
      <c r="L19" s="26">
        <v>0</v>
      </c>
      <c r="M19" s="26">
        <v>0</v>
      </c>
    </row>
    <row r="20" spans="2:13" x14ac:dyDescent="0.35">
      <c r="B20" s="305" t="s">
        <v>99</v>
      </c>
      <c r="C20" s="26">
        <v>-598.51112999999998</v>
      </c>
      <c r="D20" s="26">
        <v>-896.6999999999997</v>
      </c>
      <c r="E20" s="26">
        <v>-983.46197189999998</v>
      </c>
      <c r="F20" s="26">
        <v>-373.21</v>
      </c>
      <c r="G20" s="26">
        <v>-171.12</v>
      </c>
      <c r="H20" s="26"/>
      <c r="I20" s="26">
        <v>0</v>
      </c>
      <c r="J20" s="26">
        <v>0</v>
      </c>
      <c r="K20" s="26">
        <v>0</v>
      </c>
      <c r="L20" s="26">
        <v>0</v>
      </c>
      <c r="M20" s="26">
        <v>0</v>
      </c>
    </row>
    <row r="21" spans="2:13" x14ac:dyDescent="0.35">
      <c r="B21" s="305" t="s">
        <v>100</v>
      </c>
      <c r="C21" s="26"/>
      <c r="D21" s="26"/>
      <c r="E21" s="26">
        <v>-42.221289599999999</v>
      </c>
      <c r="F21" s="26">
        <v>0</v>
      </c>
      <c r="G21" s="26">
        <v>-22.43</v>
      </c>
      <c r="H21" s="26"/>
      <c r="I21" s="26">
        <f>'P&amp;L'!I41</f>
        <v>0</v>
      </c>
      <c r="J21" s="26">
        <f>'P&amp;L'!J41</f>
        <v>0</v>
      </c>
      <c r="K21" s="26">
        <f>'P&amp;L'!K41</f>
        <v>0</v>
      </c>
      <c r="L21" s="26">
        <f>'P&amp;L'!L41</f>
        <v>0</v>
      </c>
      <c r="M21" s="26">
        <f>'P&amp;L'!M41</f>
        <v>0</v>
      </c>
    </row>
    <row r="22" spans="2:13" x14ac:dyDescent="0.35">
      <c r="B22" s="310" t="s">
        <v>101</v>
      </c>
      <c r="C22" s="147">
        <v>2001.7788700000001</v>
      </c>
      <c r="D22" s="147">
        <f t="shared" ref="D22" si="9">SUM(D16:D21)</f>
        <v>617.19000000000062</v>
      </c>
      <c r="E22" s="147">
        <f>SUM(E16:E21)</f>
        <v>-1073.1130133999993</v>
      </c>
      <c r="F22" s="147">
        <f>SUM(F16:F21)</f>
        <v>-1483.8500000000001</v>
      </c>
      <c r="G22" s="147">
        <f>SUM(G16:G21)</f>
        <v>-543.9799999999999</v>
      </c>
      <c r="H22" s="147"/>
      <c r="I22" s="147">
        <f t="shared" ref="H22:M22" si="10">SUM(I16:I21)</f>
        <v>0</v>
      </c>
      <c r="J22" s="147">
        <f t="shared" si="10"/>
        <v>0</v>
      </c>
      <c r="K22" s="147">
        <f t="shared" si="10"/>
        <v>0</v>
      </c>
      <c r="L22" s="147">
        <f t="shared" si="10"/>
        <v>0</v>
      </c>
      <c r="M22" s="147">
        <f t="shared" si="10"/>
        <v>0</v>
      </c>
    </row>
    <row r="23" spans="2:13" x14ac:dyDescent="0.35">
      <c r="B23" s="30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2:13" x14ac:dyDescent="0.35">
      <c r="B24" s="307" t="s">
        <v>102</v>
      </c>
      <c r="C24" s="26">
        <v>-22.394310700000801</v>
      </c>
      <c r="D24" s="26">
        <f t="shared" ref="D24" si="11">D22+D13+D8</f>
        <v>-72.829999999999359</v>
      </c>
      <c r="E24" s="26">
        <f>E22+E13+E8</f>
        <v>79.670359100004134</v>
      </c>
      <c r="F24" s="26">
        <f t="shared" ref="F24" si="12">F22+F13+F8</f>
        <v>-85.770000000000664</v>
      </c>
      <c r="G24" s="26">
        <f>G22+G13+G8</f>
        <v>18.380000000002497</v>
      </c>
      <c r="H24" s="26"/>
      <c r="I24" s="26">
        <f t="shared" ref="H24:M24" si="13">I22+I13+I8</f>
        <v>62.999129480292765</v>
      </c>
      <c r="J24" s="26">
        <f t="shared" si="13"/>
        <v>-85.936233106520945</v>
      </c>
      <c r="K24" s="26">
        <f t="shared" si="13"/>
        <v>5.1816344989367167</v>
      </c>
      <c r="L24" s="26">
        <f t="shared" si="13"/>
        <v>81.834113626697331</v>
      </c>
      <c r="M24" s="26">
        <f t="shared" si="13"/>
        <v>404.22834766769193</v>
      </c>
    </row>
    <row r="25" spans="2:13" x14ac:dyDescent="0.35">
      <c r="B25" s="304" t="s">
        <v>103</v>
      </c>
      <c r="C25" s="26">
        <v>134.24304091323643</v>
      </c>
      <c r="D25" s="26">
        <v>111.83999511100183</v>
      </c>
      <c r="E25" s="26">
        <v>39.009999999999764</v>
      </c>
      <c r="F25" s="26">
        <v>118.68</v>
      </c>
      <c r="G25" s="26">
        <v>32.909999999999798</v>
      </c>
      <c r="H25" s="26"/>
      <c r="I25" s="26">
        <f>H26</f>
        <v>108.74</v>
      </c>
      <c r="J25" s="26">
        <f>I26</f>
        <v>171.73912948029277</v>
      </c>
      <c r="K25" s="26">
        <f>J26</f>
        <v>85.80289637377183</v>
      </c>
      <c r="L25" s="26">
        <f t="shared" ref="L25:M25" si="14">K26</f>
        <v>90.984530872708547</v>
      </c>
      <c r="M25" s="26">
        <f t="shared" si="14"/>
        <v>172.81864449940588</v>
      </c>
    </row>
    <row r="26" spans="2:13" x14ac:dyDescent="0.35">
      <c r="B26" s="304" t="s">
        <v>104</v>
      </c>
      <c r="C26" s="26">
        <v>111.84873021323563</v>
      </c>
      <c r="D26" s="26">
        <f t="shared" ref="D26" si="15">SUM(D24:D25)</f>
        <v>39.009995111002468</v>
      </c>
      <c r="E26" s="26">
        <f>SUM(E24:E25)</f>
        <v>118.6803591000039</v>
      </c>
      <c r="F26" s="26">
        <f t="shared" ref="F26" si="16">SUM(F24:F25)</f>
        <v>32.909999999999343</v>
      </c>
      <c r="G26" s="26">
        <f>SUM(G24:G25)</f>
        <v>51.290000000002294</v>
      </c>
      <c r="H26" s="26">
        <f>'Balance sheet'!H8</f>
        <v>108.74</v>
      </c>
      <c r="I26" s="26">
        <f t="shared" ref="H26:M26" si="17">SUM(I24:I25)</f>
        <v>171.73912948029277</v>
      </c>
      <c r="J26" s="26">
        <f t="shared" si="17"/>
        <v>85.80289637377183</v>
      </c>
      <c r="K26" s="26">
        <f t="shared" si="17"/>
        <v>90.984530872708547</v>
      </c>
      <c r="L26" s="26">
        <f t="shared" si="17"/>
        <v>172.81864449940588</v>
      </c>
      <c r="M26" s="26">
        <f t="shared" si="17"/>
        <v>577.04699216709787</v>
      </c>
    </row>
    <row r="27" spans="2:13" x14ac:dyDescent="0.35">
      <c r="B27" s="308"/>
      <c r="C27" s="124"/>
      <c r="D27" s="124"/>
      <c r="E27" s="124"/>
      <c r="F27" s="124"/>
      <c r="G27" s="124"/>
      <c r="H27" s="348">
        <f>'Balance sheet'!H8-H26</f>
        <v>0</v>
      </c>
      <c r="I27" s="348">
        <f>'Balance sheet'!I8-I26</f>
        <v>0</v>
      </c>
      <c r="J27" s="348">
        <f>'Balance sheet'!J8-J26</f>
        <v>0</v>
      </c>
      <c r="K27" s="348">
        <f>'Balance sheet'!K8-K26</f>
        <v>0</v>
      </c>
      <c r="L27" s="348">
        <f>'Balance sheet'!L8-L26</f>
        <v>0</v>
      </c>
      <c r="M27" s="348">
        <f>'Balance sheet'!M8-M26</f>
        <v>0</v>
      </c>
    </row>
    <row r="28" spans="2:13" x14ac:dyDescent="0.35">
      <c r="B28" s="308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</row>
    <row r="29" spans="2:13" x14ac:dyDescent="0.35">
      <c r="H29" s="303"/>
    </row>
    <row r="31" spans="2:13" x14ac:dyDescent="0.35">
      <c r="I31" s="25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17"/>
  <sheetViews>
    <sheetView showGridLines="0" zoomScale="85" zoomScaleNormal="85" workbookViewId="0">
      <pane xSplit="2" ySplit="2" topLeftCell="C93" activePane="bottomRight" state="frozen"/>
      <selection activeCell="I79" sqref="I79:M79"/>
      <selection pane="topRight" activeCell="I79" sqref="I79:M79"/>
      <selection pane="bottomLeft" activeCell="I79" sqref="I79:M79"/>
      <selection pane="bottomRight" activeCell="C108" sqref="C108"/>
    </sheetView>
  </sheetViews>
  <sheetFormatPr defaultRowHeight="14.5" outlineLevelRow="1" x14ac:dyDescent="0.35"/>
  <cols>
    <col min="1" max="1" width="12.7265625" bestFit="1" customWidth="1"/>
    <col min="2" max="2" width="16.7265625" bestFit="1" customWidth="1"/>
    <col min="3" max="3" width="12.26953125" style="53" customWidth="1"/>
    <col min="4" max="4" width="24.26953125" style="53" customWidth="1"/>
    <col min="5" max="5" width="12.1796875" style="53" customWidth="1"/>
    <col min="6" max="6" width="9.26953125" style="53" customWidth="1"/>
    <col min="7" max="7" width="11.1796875" style="53" customWidth="1"/>
    <col min="8" max="8" width="9.26953125" style="53" bestFit="1" customWidth="1"/>
    <col min="9" max="9" width="9.453125" customWidth="1"/>
    <col min="10" max="13" width="10.1796875" customWidth="1"/>
    <col min="14" max="14" width="11.26953125" customWidth="1"/>
  </cols>
  <sheetData>
    <row r="1" spans="1:23" x14ac:dyDescent="0.35">
      <c r="B1" t="s">
        <v>347</v>
      </c>
      <c r="I1" s="25"/>
    </row>
    <row r="2" spans="1:23" x14ac:dyDescent="0.35">
      <c r="A2" s="8"/>
      <c r="B2" s="8"/>
      <c r="C2" s="26" t="s">
        <v>12</v>
      </c>
      <c r="D2" s="26" t="s">
        <v>11</v>
      </c>
      <c r="E2" s="26" t="s">
        <v>10</v>
      </c>
      <c r="F2" s="26" t="s">
        <v>9</v>
      </c>
      <c r="G2" s="26" t="s">
        <v>8</v>
      </c>
      <c r="H2" s="311" t="s">
        <v>0</v>
      </c>
      <c r="I2" s="2" t="s">
        <v>1</v>
      </c>
      <c r="J2" s="2" t="s">
        <v>2</v>
      </c>
      <c r="K2" s="2" t="s">
        <v>3</v>
      </c>
      <c r="L2" s="2" t="s">
        <v>4</v>
      </c>
      <c r="M2" s="2" t="s">
        <v>5</v>
      </c>
      <c r="O2" s="26" t="s">
        <v>10</v>
      </c>
      <c r="P2" s="26" t="s">
        <v>9</v>
      </c>
      <c r="Q2" s="26" t="s">
        <v>8</v>
      </c>
      <c r="R2" s="345" t="s">
        <v>0</v>
      </c>
      <c r="S2" s="345" t="s">
        <v>1</v>
      </c>
      <c r="T2" s="345" t="s">
        <v>2</v>
      </c>
      <c r="U2" s="345" t="s">
        <v>3</v>
      </c>
      <c r="V2" s="345" t="s">
        <v>4</v>
      </c>
      <c r="W2" s="345" t="s">
        <v>5</v>
      </c>
    </row>
    <row r="3" spans="1:23" x14ac:dyDescent="0.35">
      <c r="A3" s="8" t="s">
        <v>38</v>
      </c>
      <c r="B3" s="3" t="s">
        <v>262</v>
      </c>
      <c r="C3" s="126">
        <f>SUM(C4:C8)</f>
        <v>13079.390027098098</v>
      </c>
      <c r="D3" s="126">
        <f t="shared" ref="D3:H3" si="0">SUM(D4:D8)</f>
        <v>15586.663071440616</v>
      </c>
      <c r="E3" s="126">
        <f t="shared" si="0"/>
        <v>9625.2036685054245</v>
      </c>
      <c r="F3" s="126">
        <f t="shared" si="0"/>
        <v>3112.7450398767105</v>
      </c>
      <c r="G3" s="126">
        <f t="shared" si="0"/>
        <v>3895.6744976000004</v>
      </c>
      <c r="H3" s="126">
        <f t="shared" si="0"/>
        <v>3788.6158406</v>
      </c>
      <c r="I3" s="126">
        <f>'Bottomup Sales'!AR5</f>
        <v>4448.1255031056126</v>
      </c>
      <c r="J3" s="126">
        <f>'Bottomup Sales'!AR6</f>
        <v>5144.4138934161747</v>
      </c>
      <c r="K3" s="126">
        <f>'Bottomup Sales'!AR7</f>
        <v>6051.9291667577927</v>
      </c>
      <c r="L3" s="126">
        <f>'Bottomup Sales'!AR8</f>
        <v>7095.6845176735733</v>
      </c>
      <c r="M3" s="126">
        <f>'Bottomup Sales'!AR9</f>
        <v>8241.9250483609303</v>
      </c>
    </row>
    <row r="4" spans="1:23" x14ac:dyDescent="0.35">
      <c r="A4" s="8"/>
      <c r="B4" s="8" t="s">
        <v>65</v>
      </c>
      <c r="C4" s="26">
        <v>2587.5612005328057</v>
      </c>
      <c r="D4" s="26">
        <v>2803.6935510692056</v>
      </c>
      <c r="E4" s="26">
        <v>2201.7675597432758</v>
      </c>
      <c r="F4" s="26">
        <v>708.24222190248327</v>
      </c>
      <c r="G4" s="26">
        <v>712.01626890000398</v>
      </c>
      <c r="H4" s="104">
        <v>690</v>
      </c>
      <c r="I4" s="26">
        <f>I$3*S4</f>
        <v>753.06011500224611</v>
      </c>
      <c r="J4" s="26">
        <f t="shared" ref="J4:M8" si="1">J$3*T4</f>
        <v>810.83206189258351</v>
      </c>
      <c r="K4" s="26">
        <f t="shared" si="1"/>
        <v>876.02918943420764</v>
      </c>
      <c r="L4" s="26">
        <f t="shared" si="1"/>
        <v>1016.0835824452524</v>
      </c>
      <c r="M4" s="26">
        <f t="shared" si="1"/>
        <v>1218.8560945285517</v>
      </c>
      <c r="O4" s="227">
        <f>E4/E$3</f>
        <v>0.228750230703966</v>
      </c>
      <c r="P4" s="227">
        <f t="shared" ref="P4:R8" si="2">F4/F$3</f>
        <v>0.2275297889256408</v>
      </c>
      <c r="Q4" s="227">
        <f t="shared" si="2"/>
        <v>0.18277098595856872</v>
      </c>
      <c r="R4" s="227">
        <f t="shared" si="2"/>
        <v>0.18212456185336681</v>
      </c>
      <c r="S4" s="346">
        <v>0.16929830655103395</v>
      </c>
      <c r="T4" s="346">
        <v>0.15761407979445183</v>
      </c>
      <c r="U4" s="346">
        <v>0.14475205596359017</v>
      </c>
      <c r="V4" s="346">
        <v>0.14319740116889959</v>
      </c>
      <c r="W4" s="346">
        <v>0.1478848797309732</v>
      </c>
    </row>
    <row r="5" spans="1:23" x14ac:dyDescent="0.35">
      <c r="A5" s="8"/>
      <c r="B5" s="8" t="s">
        <v>66</v>
      </c>
      <c r="C5" s="26">
        <v>1748.377051548513</v>
      </c>
      <c r="D5" s="26">
        <v>1888.6199930079986</v>
      </c>
      <c r="E5" s="26">
        <v>1427.4799959178529</v>
      </c>
      <c r="F5" s="26">
        <v>416.44450651540654</v>
      </c>
      <c r="G5" s="26">
        <v>572.35651459998587</v>
      </c>
      <c r="H5" s="104">
        <v>497</v>
      </c>
      <c r="I5" s="26">
        <f t="shared" ref="I5:I8" si="3">I$3*S5</f>
        <v>553.07662186801883</v>
      </c>
      <c r="J5" s="26">
        <f t="shared" si="1"/>
        <v>584.63484650709984</v>
      </c>
      <c r="K5" s="26">
        <f t="shared" si="1"/>
        <v>620.15206643513204</v>
      </c>
      <c r="L5" s="26">
        <f t="shared" si="1"/>
        <v>726.79837327411781</v>
      </c>
      <c r="M5" s="26">
        <f t="shared" si="1"/>
        <v>891.56473342229344</v>
      </c>
      <c r="O5" s="227">
        <f t="shared" ref="O5:O8" si="4">E5/E$3</f>
        <v>0.14830647174653583</v>
      </c>
      <c r="P5" s="227">
        <f t="shared" si="2"/>
        <v>0.13378689908117275</v>
      </c>
      <c r="Q5" s="227">
        <f t="shared" si="2"/>
        <v>0.14692103124955544</v>
      </c>
      <c r="R5" s="227">
        <f t="shared" si="2"/>
        <v>0.13118247426249754</v>
      </c>
      <c r="S5" s="346">
        <v>0.12433925739772164</v>
      </c>
      <c r="T5" s="346">
        <v>0.11364459754206714</v>
      </c>
      <c r="U5" s="346">
        <v>0.10247179855334738</v>
      </c>
      <c r="V5" s="346">
        <v>0.10242822541839974</v>
      </c>
      <c r="W5" s="346">
        <v>0.10817433162651713</v>
      </c>
    </row>
    <row r="6" spans="1:23" x14ac:dyDescent="0.35">
      <c r="A6" s="8"/>
      <c r="B6" s="8" t="s">
        <v>40</v>
      </c>
      <c r="C6" s="26">
        <v>6603.2958696339774</v>
      </c>
      <c r="D6" s="26">
        <v>8467.8860342634125</v>
      </c>
      <c r="E6" s="26">
        <v>5324.0429912442951</v>
      </c>
      <c r="F6" s="26">
        <v>1830.2354517215967</v>
      </c>
      <c r="G6" s="26">
        <v>2500.99181090001</v>
      </c>
      <c r="H6" s="104">
        <v>2463.31</v>
      </c>
      <c r="I6" s="26">
        <f t="shared" si="3"/>
        <v>2957.5518315937161</v>
      </c>
      <c r="J6" s="26">
        <f t="shared" si="1"/>
        <v>3581.7242962290684</v>
      </c>
      <c r="K6" s="26">
        <f t="shared" si="1"/>
        <v>4353.9715334479606</v>
      </c>
      <c r="L6" s="26">
        <f t="shared" si="1"/>
        <v>5100.3470025899587</v>
      </c>
      <c r="M6" s="26">
        <f t="shared" si="1"/>
        <v>5798.2236932933447</v>
      </c>
      <c r="O6" s="227">
        <f t="shared" si="4"/>
        <v>0.55313561921448651</v>
      </c>
      <c r="P6" s="227">
        <f t="shared" si="2"/>
        <v>0.58798116398061584</v>
      </c>
      <c r="Q6" s="227">
        <f t="shared" si="2"/>
        <v>0.64199198686666215</v>
      </c>
      <c r="R6" s="227">
        <f t="shared" si="2"/>
        <v>0.65018732530292322</v>
      </c>
      <c r="S6" s="346">
        <v>0.66489846779925588</v>
      </c>
      <c r="T6" s="346">
        <v>0.6962356393627197</v>
      </c>
      <c r="U6" s="346">
        <v>0.71943530954783452</v>
      </c>
      <c r="V6" s="346">
        <v>0.71879562710070766</v>
      </c>
      <c r="W6" s="346">
        <v>0.70350356976935091</v>
      </c>
    </row>
    <row r="7" spans="1:23" x14ac:dyDescent="0.35">
      <c r="A7" s="8"/>
      <c r="B7" s="8" t="s">
        <v>316</v>
      </c>
      <c r="C7" s="26">
        <v>1924</v>
      </c>
      <c r="D7" s="26">
        <v>2203</v>
      </c>
      <c r="E7" s="26">
        <v>649</v>
      </c>
      <c r="F7" s="26">
        <v>51.644399612736756</v>
      </c>
      <c r="G7" s="26">
        <v>58.692670900000522</v>
      </c>
      <c r="H7" s="104">
        <v>81</v>
      </c>
      <c r="I7" s="26">
        <f t="shared" si="3"/>
        <v>132.864938728521</v>
      </c>
      <c r="J7" s="26">
        <f t="shared" si="1"/>
        <v>167.22268878742213</v>
      </c>
      <c r="K7" s="26">
        <f t="shared" si="1"/>
        <v>201.77637744049181</v>
      </c>
      <c r="L7" s="26">
        <f t="shared" si="1"/>
        <v>252.45555936424532</v>
      </c>
      <c r="M7" s="26">
        <f t="shared" si="1"/>
        <v>333.28052711674087</v>
      </c>
      <c r="O7" s="227">
        <f t="shared" si="4"/>
        <v>6.7427144645633763E-2</v>
      </c>
      <c r="P7" s="227">
        <f t="shared" si="2"/>
        <v>1.659127199662401E-2</v>
      </c>
      <c r="Q7" s="227">
        <f t="shared" si="2"/>
        <v>1.5066112668334889E-2</v>
      </c>
      <c r="R7" s="227">
        <f t="shared" si="2"/>
        <v>2.137983986974306E-2</v>
      </c>
      <c r="S7" s="346">
        <v>2.9869871845062991E-2</v>
      </c>
      <c r="T7" s="346">
        <v>3.2505683300761215E-2</v>
      </c>
      <c r="U7" s="346">
        <v>3.334083593522786E-2</v>
      </c>
      <c r="V7" s="346">
        <v>3.557874631199312E-2</v>
      </c>
      <c r="W7" s="346">
        <v>4.0437218873158799E-2</v>
      </c>
    </row>
    <row r="8" spans="1:23" x14ac:dyDescent="0.35">
      <c r="A8" s="8"/>
      <c r="B8" s="8" t="s">
        <v>41</v>
      </c>
      <c r="C8" s="26">
        <v>216.15590538280063</v>
      </c>
      <c r="D8" s="26">
        <v>223.46349309999931</v>
      </c>
      <c r="E8" s="26">
        <v>22.913121600000014</v>
      </c>
      <c r="F8" s="26">
        <v>106.17846012448712</v>
      </c>
      <c r="G8" s="26">
        <v>51.617232299999984</v>
      </c>
      <c r="H8" s="26">
        <v>57.305840599999975</v>
      </c>
      <c r="I8" s="26">
        <f t="shared" si="3"/>
        <v>51.571995913110264</v>
      </c>
      <c r="J8" s="26">
        <f t="shared" si="1"/>
        <v>0</v>
      </c>
      <c r="K8" s="26">
        <f t="shared" si="1"/>
        <v>0</v>
      </c>
      <c r="L8" s="26">
        <f t="shared" si="1"/>
        <v>0</v>
      </c>
      <c r="M8" s="26">
        <f t="shared" si="1"/>
        <v>0</v>
      </c>
      <c r="O8" s="227">
        <f t="shared" si="4"/>
        <v>2.3805336893778064E-3</v>
      </c>
      <c r="P8" s="227">
        <f t="shared" si="2"/>
        <v>3.4110876015946562E-2</v>
      </c>
      <c r="Q8" s="227">
        <f t="shared" si="2"/>
        <v>1.3249883256878802E-2</v>
      </c>
      <c r="R8" s="227">
        <f t="shared" si="2"/>
        <v>1.5125798711469383E-2</v>
      </c>
      <c r="S8" s="346">
        <v>1.1594096406925455E-2</v>
      </c>
      <c r="T8" s="346">
        <v>0</v>
      </c>
      <c r="U8" s="346">
        <v>0</v>
      </c>
      <c r="V8" s="346">
        <v>0</v>
      </c>
      <c r="W8" s="346">
        <v>0</v>
      </c>
    </row>
    <row r="9" spans="1:23" x14ac:dyDescent="0.35">
      <c r="A9" s="8"/>
      <c r="B9" s="8"/>
      <c r="C9" s="26"/>
      <c r="D9" s="26"/>
      <c r="E9" s="26"/>
      <c r="F9" s="26"/>
      <c r="G9" s="26"/>
      <c r="H9" s="104"/>
      <c r="I9" s="26"/>
      <c r="J9" s="26"/>
      <c r="K9" s="26"/>
      <c r="L9" s="26"/>
      <c r="M9" s="26"/>
    </row>
    <row r="10" spans="1:23" x14ac:dyDescent="0.35">
      <c r="B10" s="8" t="s">
        <v>64</v>
      </c>
      <c r="C10" s="26"/>
      <c r="D10" s="26"/>
      <c r="E10" s="26"/>
      <c r="F10" s="26"/>
      <c r="G10" s="26"/>
      <c r="H10" s="26"/>
      <c r="I10" s="8"/>
      <c r="J10" s="8"/>
      <c r="K10" s="8"/>
      <c r="L10" s="8"/>
      <c r="M10" s="8"/>
    </row>
    <row r="11" spans="1:23" x14ac:dyDescent="0.35">
      <c r="A11" s="8"/>
      <c r="B11" s="8" t="s">
        <v>65</v>
      </c>
      <c r="C11" s="96">
        <v>0.26479113346692312</v>
      </c>
      <c r="D11" s="96">
        <v>0.29202394448376845</v>
      </c>
      <c r="E11" s="96">
        <v>0.18331717506361492</v>
      </c>
      <c r="F11" s="96">
        <v>0.17485344718374904</v>
      </c>
      <c r="G11" s="96">
        <v>0.13574273316720722</v>
      </c>
      <c r="H11" s="96">
        <v>0.14900535417410757</v>
      </c>
      <c r="I11" s="347">
        <v>0.15</v>
      </c>
      <c r="J11" s="347">
        <v>0.15</v>
      </c>
      <c r="K11" s="347">
        <v>0.15</v>
      </c>
      <c r="L11" s="347">
        <v>0.15</v>
      </c>
      <c r="M11" s="347">
        <v>0.15</v>
      </c>
    </row>
    <row r="12" spans="1:23" x14ac:dyDescent="0.35">
      <c r="A12" s="8"/>
      <c r="B12" s="8" t="s">
        <v>66</v>
      </c>
      <c r="C12" s="96">
        <v>0.37437215692070092</v>
      </c>
      <c r="D12" s="96">
        <v>0.2484810393156392</v>
      </c>
      <c r="E12" s="96">
        <v>0.28070307635799785</v>
      </c>
      <c r="F12" s="96">
        <v>0.28698453860067591</v>
      </c>
      <c r="G12" s="96">
        <v>0.2819943706114551</v>
      </c>
      <c r="H12" s="96">
        <v>0.24454449667636358</v>
      </c>
      <c r="I12" s="347">
        <f>H12</f>
        <v>0.24454449667636358</v>
      </c>
      <c r="J12" s="347">
        <f t="shared" ref="J12:M12" si="5">I12</f>
        <v>0.24454449667636358</v>
      </c>
      <c r="K12" s="347">
        <f t="shared" si="5"/>
        <v>0.24454449667636358</v>
      </c>
      <c r="L12" s="347">
        <f t="shared" si="5"/>
        <v>0.24454449667636358</v>
      </c>
      <c r="M12" s="347">
        <f t="shared" si="5"/>
        <v>0.24454449667636358</v>
      </c>
    </row>
    <row r="13" spans="1:23" x14ac:dyDescent="0.35">
      <c r="A13" s="8"/>
      <c r="B13" s="8" t="s">
        <v>40</v>
      </c>
      <c r="C13" s="96">
        <v>0.14456158866166829</v>
      </c>
      <c r="D13" s="96">
        <v>0.10009702537506739</v>
      </c>
      <c r="E13" s="96">
        <v>0.10290434534549311</v>
      </c>
      <c r="F13" s="96">
        <v>0.13169362881000793</v>
      </c>
      <c r="G13" s="96">
        <v>0.16956874862673002</v>
      </c>
      <c r="H13" s="96">
        <v>0.14349999999999999</v>
      </c>
      <c r="I13" s="347">
        <f>H13</f>
        <v>0.14349999999999999</v>
      </c>
      <c r="J13" s="347">
        <f t="shared" ref="J13:M13" si="6">I13</f>
        <v>0.14349999999999999</v>
      </c>
      <c r="K13" s="347">
        <f t="shared" si="6"/>
        <v>0.14349999999999999</v>
      </c>
      <c r="L13" s="347">
        <f t="shared" si="6"/>
        <v>0.14349999999999999</v>
      </c>
      <c r="M13" s="347">
        <f t="shared" si="6"/>
        <v>0.14349999999999999</v>
      </c>
    </row>
    <row r="14" spans="1:23" x14ac:dyDescent="0.35">
      <c r="A14" s="8"/>
      <c r="B14" s="8" t="s">
        <v>317</v>
      </c>
      <c r="C14" s="96">
        <v>0.1053</v>
      </c>
      <c r="D14" s="96">
        <v>0.12230000000000001</v>
      </c>
      <c r="E14" s="96">
        <v>0.12942989214175654</v>
      </c>
      <c r="F14" s="96">
        <v>0.30693462784415371</v>
      </c>
      <c r="G14" s="96">
        <v>0.29326153395415394</v>
      </c>
      <c r="H14" s="96">
        <v>0.27518683988751214</v>
      </c>
      <c r="I14" s="347">
        <f>H14</f>
        <v>0.27518683988751214</v>
      </c>
      <c r="J14" s="347">
        <f t="shared" ref="J14:M14" si="7">I14</f>
        <v>0.27518683988751214</v>
      </c>
      <c r="K14" s="347">
        <f t="shared" si="7"/>
        <v>0.27518683988751214</v>
      </c>
      <c r="L14" s="347">
        <f t="shared" si="7"/>
        <v>0.27518683988751214</v>
      </c>
      <c r="M14" s="347">
        <f t="shared" si="7"/>
        <v>0.27518683988751214</v>
      </c>
    </row>
    <row r="15" spans="1:23" x14ac:dyDescent="0.35">
      <c r="A15" s="8"/>
      <c r="B15" s="8" t="s">
        <v>41</v>
      </c>
      <c r="C15" s="96">
        <v>1.8446021003034982E-2</v>
      </c>
      <c r="D15" s="96">
        <v>2.7504640711608075E-2</v>
      </c>
      <c r="E15" s="96">
        <v>-2.9379320144663286</v>
      </c>
      <c r="F15" s="96">
        <v>0.17561349057358483</v>
      </c>
      <c r="G15" s="96">
        <v>0.1708416086462681</v>
      </c>
      <c r="H15" s="96">
        <v>0.1</v>
      </c>
      <c r="I15" s="347">
        <v>0.05</v>
      </c>
      <c r="J15" s="347">
        <v>0.05</v>
      </c>
      <c r="K15" s="347">
        <v>0.05</v>
      </c>
      <c r="L15" s="347">
        <v>0.05</v>
      </c>
      <c r="M15" s="347">
        <v>0.05</v>
      </c>
    </row>
    <row r="16" spans="1:23" x14ac:dyDescent="0.35">
      <c r="A16" s="8"/>
      <c r="B16" s="8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</row>
    <row r="17" spans="1:13" x14ac:dyDescent="0.35">
      <c r="A17" s="3" t="s">
        <v>39</v>
      </c>
      <c r="B17" s="3"/>
      <c r="C17" s="126">
        <f t="shared" ref="C17:H17" si="8">SUM(C18:C22)</f>
        <v>2500.8743087909279</v>
      </c>
      <c r="D17" s="126">
        <f t="shared" si="8"/>
        <v>2411.2152949765759</v>
      </c>
      <c r="E17" s="126">
        <f t="shared" si="8"/>
        <v>1368.8698005977449</v>
      </c>
      <c r="F17" s="126">
        <f t="shared" si="8"/>
        <v>518.87990129133766</v>
      </c>
      <c r="G17" s="126">
        <f t="shared" si="8"/>
        <v>708.17307490000746</v>
      </c>
      <c r="H17" s="126">
        <f t="shared" si="8"/>
        <v>605.85801231917526</v>
      </c>
      <c r="I17" s="126">
        <f>SUM(I18:I22)</f>
        <v>711.76083161841836</v>
      </c>
      <c r="J17" s="126">
        <f t="shared" ref="J17:M17" si="9">SUM(J18:J22)</f>
        <v>824.5889633562042</v>
      </c>
      <c r="K17" s="126">
        <f t="shared" si="9"/>
        <v>963.38027208589847</v>
      </c>
      <c r="L17" s="126">
        <f t="shared" si="9"/>
        <v>1131.5193222094467</v>
      </c>
      <c r="M17" s="126">
        <f t="shared" si="9"/>
        <v>1324.6151782093289</v>
      </c>
    </row>
    <row r="18" spans="1:13" x14ac:dyDescent="0.35">
      <c r="A18" s="8"/>
      <c r="B18" s="8" t="s">
        <v>65</v>
      </c>
      <c r="C18" s="104">
        <f t="shared" ref="C18:G18" si="10">C4*C11</f>
        <v>685.16326320411395</v>
      </c>
      <c r="D18" s="104">
        <f t="shared" si="10"/>
        <v>818.74564990693329</v>
      </c>
      <c r="E18" s="104">
        <f t="shared" si="10"/>
        <v>403.62180919884628</v>
      </c>
      <c r="F18" s="104">
        <f t="shared" si="10"/>
        <v>123.83859394072692</v>
      </c>
      <c r="G18" s="104">
        <f t="shared" si="10"/>
        <v>96.651034400003709</v>
      </c>
      <c r="H18" s="104">
        <f t="shared" ref="H18" si="11">H4*H11</f>
        <v>102.81369438013422</v>
      </c>
      <c r="I18" s="104">
        <f t="shared" ref="I18:M18" si="12">I4*I11</f>
        <v>112.95901725033691</v>
      </c>
      <c r="J18" s="104">
        <f t="shared" si="12"/>
        <v>121.62480928388752</v>
      </c>
      <c r="K18" s="104">
        <f t="shared" si="12"/>
        <v>131.40437841513113</v>
      </c>
      <c r="L18" s="104">
        <f t="shared" si="12"/>
        <v>152.41253736678786</v>
      </c>
      <c r="M18" s="104">
        <f t="shared" si="12"/>
        <v>182.82841417928276</v>
      </c>
    </row>
    <row r="19" spans="1:13" x14ac:dyDescent="0.35">
      <c r="A19" s="8"/>
      <c r="B19" s="8" t="s">
        <v>66</v>
      </c>
      <c r="C19" s="104">
        <f t="shared" ref="C19:M19" si="13">C5*C12</f>
        <v>654.54368789887235</v>
      </c>
      <c r="D19" s="104">
        <f t="shared" si="13"/>
        <v>469.28625873492274</v>
      </c>
      <c r="E19" s="104">
        <f t="shared" si="13"/>
        <v>400.69802629364352</v>
      </c>
      <c r="F19" s="104">
        <f t="shared" si="13"/>
        <v>119.51313455511011</v>
      </c>
      <c r="G19" s="104">
        <f t="shared" si="13"/>
        <v>161.40131509998912</v>
      </c>
      <c r="H19" s="104">
        <f t="shared" si="13"/>
        <v>121.5386148481527</v>
      </c>
      <c r="I19" s="104">
        <f t="shared" si="13"/>
        <v>135.25184411817813</v>
      </c>
      <c r="J19" s="104">
        <f t="shared" si="13"/>
        <v>142.96923427854182</v>
      </c>
      <c r="K19" s="104">
        <f t="shared" si="13"/>
        <v>151.65477494918616</v>
      </c>
      <c r="L19" s="104">
        <f t="shared" si="13"/>
        <v>177.73454237751895</v>
      </c>
      <c r="M19" s="104">
        <f t="shared" si="13"/>
        <v>218.02724898915102</v>
      </c>
    </row>
    <row r="20" spans="1:13" x14ac:dyDescent="0.35">
      <c r="A20" s="8"/>
      <c r="B20" s="8" t="s">
        <v>40</v>
      </c>
      <c r="C20" s="104">
        <f t="shared" ref="C20:M20" si="14">C6*C13</f>
        <v>954.58294131732032</v>
      </c>
      <c r="D20" s="104">
        <f t="shared" si="14"/>
        <v>847.61020324484355</v>
      </c>
      <c r="E20" s="104">
        <f t="shared" si="14"/>
        <v>547.8671586052551</v>
      </c>
      <c r="F20" s="104">
        <f t="shared" si="14"/>
        <v>241.03034821394115</v>
      </c>
      <c r="G20" s="104">
        <f t="shared" si="14"/>
        <v>424.0900517000141</v>
      </c>
      <c r="H20" s="104">
        <f t="shared" si="14"/>
        <v>353.48498499999994</v>
      </c>
      <c r="I20" s="104">
        <f t="shared" si="14"/>
        <v>424.40868783369825</v>
      </c>
      <c r="J20" s="104">
        <f t="shared" si="14"/>
        <v>513.97743650887128</v>
      </c>
      <c r="K20" s="104">
        <f t="shared" si="14"/>
        <v>624.79491504978228</v>
      </c>
      <c r="L20" s="104">
        <f t="shared" si="14"/>
        <v>731.89979487165897</v>
      </c>
      <c r="M20" s="104">
        <f t="shared" si="14"/>
        <v>832.04509998759488</v>
      </c>
    </row>
    <row r="21" spans="1:13" x14ac:dyDescent="0.35">
      <c r="A21" s="8"/>
      <c r="B21" s="8" t="s">
        <v>316</v>
      </c>
      <c r="C21" s="104">
        <f t="shared" ref="C21:M21" si="15">C7*C14</f>
        <v>202.59720000000002</v>
      </c>
      <c r="D21" s="104">
        <f t="shared" si="15"/>
        <v>269.42689999999999</v>
      </c>
      <c r="E21" s="104">
        <f t="shared" si="15"/>
        <v>84</v>
      </c>
      <c r="F21" s="104">
        <f t="shared" si="15"/>
        <v>15.851454575370111</v>
      </c>
      <c r="G21" s="104">
        <f t="shared" si="15"/>
        <v>17.212302700000485</v>
      </c>
      <c r="H21" s="104">
        <f t="shared" si="15"/>
        <v>22.290134030888481</v>
      </c>
      <c r="I21" s="104">
        <f t="shared" si="15"/>
        <v>36.562682620549616</v>
      </c>
      <c r="J21" s="104">
        <f t="shared" si="15"/>
        <v>46.017483284903605</v>
      </c>
      <c r="K21" s="104">
        <f t="shared" si="15"/>
        <v>55.526203671798839</v>
      </c>
      <c r="L21" s="104">
        <f t="shared" si="15"/>
        <v>69.472447593480894</v>
      </c>
      <c r="M21" s="104">
        <f t="shared" si="15"/>
        <v>91.714415053300215</v>
      </c>
    </row>
    <row r="22" spans="1:13" x14ac:dyDescent="0.35">
      <c r="A22" s="8"/>
      <c r="B22" s="8" t="s">
        <v>41</v>
      </c>
      <c r="C22" s="104">
        <f t="shared" ref="C22:M22" si="16">C8*C15</f>
        <v>3.9872163706211827</v>
      </c>
      <c r="D22" s="104">
        <f t="shared" si="16"/>
        <v>6.1462830898763912</v>
      </c>
      <c r="E22" s="104">
        <f t="shared" si="16"/>
        <v>-67.317193499999988</v>
      </c>
      <c r="F22" s="104">
        <f t="shared" si="16"/>
        <v>18.646370006189372</v>
      </c>
      <c r="G22" s="104">
        <f t="shared" si="16"/>
        <v>8.8183710000001057</v>
      </c>
      <c r="H22" s="104">
        <f t="shared" si="16"/>
        <v>5.7305840599999982</v>
      </c>
      <c r="I22" s="104">
        <f t="shared" si="16"/>
        <v>2.5785997956555136</v>
      </c>
      <c r="J22" s="104">
        <f t="shared" si="16"/>
        <v>0</v>
      </c>
      <c r="K22" s="104">
        <f t="shared" si="16"/>
        <v>0</v>
      </c>
      <c r="L22" s="104">
        <f t="shared" si="16"/>
        <v>0</v>
      </c>
      <c r="M22" s="104">
        <f t="shared" si="16"/>
        <v>0</v>
      </c>
    </row>
    <row r="23" spans="1:13" hidden="1" outlineLevel="1" x14ac:dyDescent="0.35">
      <c r="A23" s="8"/>
      <c r="B23" s="8"/>
      <c r="C23" s="26"/>
      <c r="D23" s="26"/>
      <c r="E23" s="26"/>
      <c r="F23" s="26"/>
      <c r="G23" s="26"/>
      <c r="H23" s="26"/>
      <c r="I23" s="8"/>
      <c r="J23" s="8"/>
      <c r="K23" s="8"/>
      <c r="L23" s="8"/>
      <c r="M23" s="8"/>
    </row>
    <row r="24" spans="1:13" hidden="1" outlineLevel="1" x14ac:dyDescent="0.35">
      <c r="A24" s="8" t="s">
        <v>38</v>
      </c>
      <c r="B24" s="8" t="s">
        <v>59</v>
      </c>
      <c r="C24" s="26">
        <f>SUM(C25:C29)</f>
        <v>2028.6698070652399</v>
      </c>
      <c r="D24" s="26">
        <f t="shared" ref="D24" si="17">SUM(D25:D29)</f>
        <v>2927.576905038276</v>
      </c>
      <c r="E24" s="26">
        <f t="shared" ref="E24" si="18">SUM(E25:E29)</f>
        <v>2499.6318027978941</v>
      </c>
      <c r="F24" s="26">
        <f t="shared" ref="F24" si="19">SUM(F25:F29)</f>
        <v>979.21122799202715</v>
      </c>
      <c r="G24" s="26">
        <f t="shared" ref="G24" si="20">SUM(G25:G29)</f>
        <v>1559.2193813000051</v>
      </c>
      <c r="H24" s="26">
        <f t="shared" ref="H24" si="21">SUM(H25:H29)</f>
        <v>0</v>
      </c>
      <c r="I24" s="26">
        <f t="shared" ref="I24" si="22">SUM(I25:I29)</f>
        <v>0</v>
      </c>
      <c r="J24" s="26">
        <f t="shared" ref="J24" si="23">SUM(J25:J29)</f>
        <v>0</v>
      </c>
      <c r="K24" s="26">
        <f t="shared" ref="K24" si="24">SUM(K25:K29)</f>
        <v>0</v>
      </c>
      <c r="L24" s="26">
        <f t="shared" ref="L24" si="25">SUM(L25:L29)</f>
        <v>0</v>
      </c>
      <c r="M24" s="26">
        <f t="shared" ref="M24" si="26">SUM(M25:M29)</f>
        <v>0</v>
      </c>
    </row>
    <row r="25" spans="1:13" hidden="1" outlineLevel="1" x14ac:dyDescent="0.35">
      <c r="A25" s="8"/>
      <c r="B25" s="8" t="s">
        <v>65</v>
      </c>
      <c r="C25" s="26">
        <v>1095.5805734185001</v>
      </c>
      <c r="D25" s="26">
        <v>1708.3539594429899</v>
      </c>
      <c r="E25" s="26">
        <v>1279.5590043914599</v>
      </c>
      <c r="F25" s="26">
        <v>402.06299061989313</v>
      </c>
      <c r="G25" s="26">
        <v>411.81069140000199</v>
      </c>
      <c r="H25" s="26">
        <v>0</v>
      </c>
      <c r="I25" s="8">
        <v>0</v>
      </c>
      <c r="J25" s="8">
        <v>0</v>
      </c>
      <c r="K25" s="8">
        <v>0</v>
      </c>
      <c r="L25" s="8">
        <v>0</v>
      </c>
      <c r="M25" s="8"/>
    </row>
    <row r="26" spans="1:13" hidden="1" outlineLevel="1" x14ac:dyDescent="0.35">
      <c r="A26" s="8"/>
      <c r="B26" s="8" t="s">
        <v>66</v>
      </c>
      <c r="C26" s="26">
        <v>613.84337178940461</v>
      </c>
      <c r="D26" s="26">
        <v>736.22323020170143</v>
      </c>
      <c r="E26" s="26">
        <v>506.97353228923743</v>
      </c>
      <c r="F26" s="26">
        <v>283.77894321163672</v>
      </c>
      <c r="G26" s="26">
        <v>437.52473940000192</v>
      </c>
      <c r="H26" s="26">
        <v>0</v>
      </c>
      <c r="I26" s="8">
        <v>0</v>
      </c>
      <c r="J26" s="8">
        <v>0</v>
      </c>
      <c r="K26" s="8">
        <v>0</v>
      </c>
      <c r="L26" s="8">
        <v>0</v>
      </c>
      <c r="M26" s="8"/>
    </row>
    <row r="27" spans="1:13" hidden="1" outlineLevel="1" x14ac:dyDescent="0.35">
      <c r="A27" s="8"/>
      <c r="B27" s="8" t="s">
        <v>40</v>
      </c>
      <c r="C27" s="26">
        <v>265.33711673054825</v>
      </c>
      <c r="D27" s="26">
        <v>268.46536411266027</v>
      </c>
      <c r="E27" s="26">
        <v>132.33876267890525</v>
      </c>
      <c r="F27" s="26">
        <v>33.865827258780847</v>
      </c>
      <c r="G27" s="26">
        <v>412.30513440000107</v>
      </c>
      <c r="H27" s="26">
        <v>0</v>
      </c>
      <c r="I27" s="8">
        <v>0</v>
      </c>
      <c r="J27" s="8">
        <v>0</v>
      </c>
      <c r="K27" s="8">
        <v>0</v>
      </c>
      <c r="L27" s="8">
        <v>0</v>
      </c>
      <c r="M27" s="8"/>
    </row>
    <row r="28" spans="1:13" hidden="1" outlineLevel="1" x14ac:dyDescent="0.35">
      <c r="A28" s="8"/>
      <c r="B28" s="8" t="s">
        <v>317</v>
      </c>
      <c r="C28" s="26">
        <v>21</v>
      </c>
      <c r="D28" s="26">
        <v>117.01555148801222</v>
      </c>
      <c r="E28" s="26">
        <v>544.6663214298012</v>
      </c>
      <c r="F28" s="26">
        <v>162.84258861193089</v>
      </c>
      <c r="G28" s="26">
        <v>285.35022330000049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</row>
    <row r="29" spans="1:13" hidden="1" outlineLevel="1" x14ac:dyDescent="0.35">
      <c r="A29" s="8"/>
      <c r="B29" s="8" t="s">
        <v>41</v>
      </c>
      <c r="C29" s="26">
        <v>32.908745126787188</v>
      </c>
      <c r="D29" s="26">
        <v>97.518799792912304</v>
      </c>
      <c r="E29" s="26">
        <v>36.094182008489781</v>
      </c>
      <c r="F29" s="26">
        <v>96.660878289785629</v>
      </c>
      <c r="G29" s="26">
        <v>12.228592799999989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</row>
    <row r="30" spans="1:13" hidden="1" outlineLevel="1" x14ac:dyDescent="0.35">
      <c r="A30" s="8"/>
      <c r="B30" s="8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hidden="1" outlineLevel="1" x14ac:dyDescent="0.35">
      <c r="A31" s="3" t="s">
        <v>39</v>
      </c>
      <c r="B31" s="8" t="s">
        <v>65</v>
      </c>
      <c r="C31" s="96">
        <v>0.29902541430754298</v>
      </c>
      <c r="D31" s="96">
        <v>0.28979063073945827</v>
      </c>
      <c r="E31" s="96">
        <v>0.14768891168754061</v>
      </c>
      <c r="F31" s="96">
        <v>0.2275398981118055</v>
      </c>
      <c r="G31" s="96">
        <v>9.3252458718645515E-2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</row>
    <row r="32" spans="1:13" hidden="1" outlineLevel="1" x14ac:dyDescent="0.35">
      <c r="A32" s="8"/>
      <c r="B32" s="8" t="s">
        <v>66</v>
      </c>
      <c r="C32" s="96">
        <v>0.35667320266619401</v>
      </c>
      <c r="D32" s="96">
        <v>0.25653928779178325</v>
      </c>
      <c r="E32" s="96">
        <v>0.26745486318641637</v>
      </c>
      <c r="F32" s="96">
        <v>0.31718134847080304</v>
      </c>
      <c r="G32" s="96">
        <v>0.25165314645467618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</row>
    <row r="33" spans="1:23" hidden="1" outlineLevel="1" x14ac:dyDescent="0.35">
      <c r="A33" s="8"/>
      <c r="B33" s="8" t="s">
        <v>40</v>
      </c>
      <c r="C33" s="96">
        <v>5.8992737110845697E-2</v>
      </c>
      <c r="D33" s="96">
        <v>5.2107245706558634E-2</v>
      </c>
      <c r="E33" s="96">
        <v>7.5795914893741378E-2</v>
      </c>
      <c r="F33" s="96">
        <v>1.076614241130017E-2</v>
      </c>
      <c r="G33" s="96">
        <v>5.8813420826596165E-2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</row>
    <row r="34" spans="1:23" hidden="1" outlineLevel="1" x14ac:dyDescent="0.35">
      <c r="A34" s="8"/>
      <c r="B34" s="8" t="s">
        <v>317</v>
      </c>
      <c r="C34" s="96">
        <v>0.11940945557892292</v>
      </c>
      <c r="D34" s="96">
        <v>0.22084071325069818</v>
      </c>
      <c r="E34" s="96">
        <v>0.32306098974730102</v>
      </c>
      <c r="F34" s="96">
        <v>0.30578128969758422</v>
      </c>
      <c r="G34" s="96">
        <v>0.27619779260451444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</row>
    <row r="35" spans="1:23" hidden="1" outlineLevel="1" x14ac:dyDescent="0.35">
      <c r="A35" s="8"/>
      <c r="B35" s="8" t="s">
        <v>41</v>
      </c>
      <c r="C35" s="96">
        <v>0.11907309271464159</v>
      </c>
      <c r="D35" s="96">
        <v>0.13852791657300215</v>
      </c>
      <c r="E35" s="96">
        <v>-6.7172299956023354</v>
      </c>
      <c r="F35" s="96">
        <v>0.15639232131573458</v>
      </c>
      <c r="G35" s="96">
        <v>6.9544649932687427E-2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</row>
    <row r="36" spans="1:23" hidden="1" outlineLevel="1" x14ac:dyDescent="0.35">
      <c r="A36" s="8"/>
      <c r="B36" s="8"/>
      <c r="C36" s="26"/>
      <c r="D36" s="26"/>
      <c r="E36" s="26"/>
      <c r="F36" s="26"/>
      <c r="G36" s="26"/>
      <c r="H36" s="26"/>
      <c r="I36" s="8"/>
      <c r="J36" s="8"/>
      <c r="K36" s="8"/>
      <c r="L36" s="8"/>
      <c r="M36" s="8"/>
    </row>
    <row r="37" spans="1:23" hidden="1" outlineLevel="1" x14ac:dyDescent="0.35">
      <c r="A37" s="3" t="s">
        <v>39</v>
      </c>
      <c r="B37" s="3"/>
      <c r="C37" s="126">
        <f t="shared" ref="C37" si="27">SUM(C38:C42)</f>
        <v>568.62702362510151</v>
      </c>
      <c r="D37" s="126">
        <f t="shared" ref="D37" si="28">SUM(D38:D42)</f>
        <v>737.27501927051298</v>
      </c>
      <c r="E37" s="126">
        <f t="shared" ref="E37" si="29">SUM(E38:E42)</f>
        <v>268.10746993824876</v>
      </c>
      <c r="F37" s="126">
        <f t="shared" ref="F37" si="30">SUM(F38:F42)</f>
        <v>246.77060001441581</v>
      </c>
      <c r="G37" s="126">
        <f t="shared" ref="G37" si="31">SUM(G38:G42)</f>
        <v>252.41944719999262</v>
      </c>
      <c r="H37" s="126">
        <f t="shared" ref="H37" si="32">SUM(H38:H42)</f>
        <v>0</v>
      </c>
      <c r="I37" s="126">
        <f>SUM(I38:I42)</f>
        <v>0</v>
      </c>
      <c r="J37" s="126">
        <f t="shared" ref="J37" si="33">SUM(J38:J42)</f>
        <v>0</v>
      </c>
      <c r="K37" s="126">
        <f t="shared" ref="K37" si="34">SUM(K38:K42)</f>
        <v>0</v>
      </c>
      <c r="L37" s="126">
        <f t="shared" ref="L37" si="35">SUM(L38:L42)</f>
        <v>0</v>
      </c>
      <c r="M37" s="126">
        <f t="shared" ref="M37" si="36">SUM(M38:M42)</f>
        <v>0</v>
      </c>
    </row>
    <row r="38" spans="1:23" hidden="1" outlineLevel="1" x14ac:dyDescent="0.35">
      <c r="A38" s="8"/>
      <c r="B38" s="8" t="s">
        <v>65</v>
      </c>
      <c r="C38" s="104">
        <f>C25*C31</f>
        <v>327.60643487376251</v>
      </c>
      <c r="D38" s="104">
        <f t="shared" ref="D38:M38" si="37">D25*D31</f>
        <v>495.06497143323497</v>
      </c>
      <c r="E38" s="104">
        <f t="shared" si="37"/>
        <v>188.97667679856772</v>
      </c>
      <c r="F38" s="104">
        <f t="shared" si="37"/>
        <v>91.485371920178295</v>
      </c>
      <c r="G38" s="104">
        <f t="shared" si="37"/>
        <v>38.402359499675555</v>
      </c>
      <c r="H38" s="104">
        <f t="shared" si="37"/>
        <v>0</v>
      </c>
      <c r="I38" s="104">
        <f t="shared" si="37"/>
        <v>0</v>
      </c>
      <c r="J38" s="104">
        <f t="shared" si="37"/>
        <v>0</v>
      </c>
      <c r="K38" s="104">
        <f t="shared" si="37"/>
        <v>0</v>
      </c>
      <c r="L38" s="104">
        <f t="shared" si="37"/>
        <v>0</v>
      </c>
      <c r="M38" s="104">
        <f t="shared" si="37"/>
        <v>0</v>
      </c>
    </row>
    <row r="39" spans="1:23" hidden="1" outlineLevel="1" x14ac:dyDescent="0.35">
      <c r="A39" s="8"/>
      <c r="B39" s="8" t="s">
        <v>66</v>
      </c>
      <c r="C39" s="104">
        <f t="shared" ref="C39:M39" si="38">C26*C32</f>
        <v>218.94148135154219</v>
      </c>
      <c r="D39" s="104">
        <f t="shared" si="38"/>
        <v>188.87018313171058</v>
      </c>
      <c r="E39" s="104">
        <f t="shared" si="38"/>
        <v>135.59253671755224</v>
      </c>
      <c r="F39" s="104">
        <f t="shared" si="38"/>
        <v>90.009387875486368</v>
      </c>
      <c r="G39" s="104">
        <f t="shared" si="38"/>
        <v>110.10447732177272</v>
      </c>
      <c r="H39" s="104">
        <f t="shared" si="38"/>
        <v>0</v>
      </c>
      <c r="I39" s="104">
        <f t="shared" si="38"/>
        <v>0</v>
      </c>
      <c r="J39" s="104">
        <f t="shared" si="38"/>
        <v>0</v>
      </c>
      <c r="K39" s="104">
        <f t="shared" si="38"/>
        <v>0</v>
      </c>
      <c r="L39" s="104">
        <f t="shared" si="38"/>
        <v>0</v>
      </c>
      <c r="M39" s="104">
        <f t="shared" si="38"/>
        <v>0</v>
      </c>
    </row>
    <row r="40" spans="1:23" hidden="1" outlineLevel="1" x14ac:dyDescent="0.35">
      <c r="A40" s="8"/>
      <c r="B40" s="8" t="s">
        <v>40</v>
      </c>
      <c r="C40" s="104">
        <f t="shared" ref="C40:M40" si="39">C27*C33</f>
        <v>15.652962773035011</v>
      </c>
      <c r="D40" s="104">
        <f t="shared" si="39"/>
        <v>13.988990691519117</v>
      </c>
      <c r="E40" s="104">
        <f t="shared" si="39"/>
        <v>10.03073759315334</v>
      </c>
      <c r="F40" s="104">
        <f t="shared" si="39"/>
        <v>0.36460431914452585</v>
      </c>
      <c r="G40" s="104">
        <f t="shared" si="39"/>
        <v>24.249075378433552</v>
      </c>
      <c r="H40" s="104">
        <f t="shared" si="39"/>
        <v>0</v>
      </c>
      <c r="I40" s="104">
        <f t="shared" si="39"/>
        <v>0</v>
      </c>
      <c r="J40" s="104">
        <f t="shared" si="39"/>
        <v>0</v>
      </c>
      <c r="K40" s="104">
        <f t="shared" si="39"/>
        <v>0</v>
      </c>
      <c r="L40" s="104">
        <f t="shared" si="39"/>
        <v>0</v>
      </c>
      <c r="M40" s="104">
        <f t="shared" si="39"/>
        <v>0</v>
      </c>
    </row>
    <row r="41" spans="1:23" hidden="1" outlineLevel="1" x14ac:dyDescent="0.35">
      <c r="A41" s="8"/>
      <c r="B41" s="8" t="s">
        <v>316</v>
      </c>
      <c r="C41" s="104">
        <f t="shared" ref="C41:M41" si="40">C28*C34</f>
        <v>2.5075985671573813</v>
      </c>
      <c r="D41" s="104">
        <f t="shared" si="40"/>
        <v>25.841797852036414</v>
      </c>
      <c r="E41" s="104">
        <f t="shared" si="40"/>
        <v>175.96044088313317</v>
      </c>
      <c r="F41" s="104">
        <f t="shared" si="40"/>
        <v>49.79421676344937</v>
      </c>
      <c r="G41" s="104">
        <f t="shared" si="40"/>
        <v>78.813101794665414</v>
      </c>
      <c r="H41" s="104">
        <f t="shared" si="40"/>
        <v>0</v>
      </c>
      <c r="I41" s="104">
        <f t="shared" si="40"/>
        <v>0</v>
      </c>
      <c r="J41" s="104">
        <f t="shared" si="40"/>
        <v>0</v>
      </c>
      <c r="K41" s="104">
        <f t="shared" si="40"/>
        <v>0</v>
      </c>
      <c r="L41" s="104">
        <f t="shared" si="40"/>
        <v>0</v>
      </c>
      <c r="M41" s="104">
        <f t="shared" si="40"/>
        <v>0</v>
      </c>
    </row>
    <row r="42" spans="1:23" hidden="1" outlineLevel="1" x14ac:dyDescent="0.35">
      <c r="A42" s="8"/>
      <c r="B42" s="8" t="s">
        <v>41</v>
      </c>
      <c r="C42" s="104">
        <f t="shared" ref="C42:M42" si="41">C29*C35</f>
        <v>3.9185460596044406</v>
      </c>
      <c r="D42" s="104">
        <f t="shared" si="41"/>
        <v>13.509076162011855</v>
      </c>
      <c r="E42" s="104">
        <f t="shared" si="41"/>
        <v>-242.45292205415771</v>
      </c>
      <c r="F42" s="104">
        <f t="shared" si="41"/>
        <v>15.117019136157266</v>
      </c>
      <c r="G42" s="104">
        <f t="shared" si="41"/>
        <v>0.85043320544538115</v>
      </c>
      <c r="H42" s="104">
        <f t="shared" si="41"/>
        <v>0</v>
      </c>
      <c r="I42" s="104">
        <f t="shared" si="41"/>
        <v>0</v>
      </c>
      <c r="J42" s="104">
        <f t="shared" si="41"/>
        <v>0</v>
      </c>
      <c r="K42" s="104">
        <f t="shared" si="41"/>
        <v>0</v>
      </c>
      <c r="L42" s="104">
        <f t="shared" si="41"/>
        <v>0</v>
      </c>
      <c r="M42" s="104">
        <f t="shared" si="41"/>
        <v>0</v>
      </c>
    </row>
    <row r="43" spans="1:23" collapsed="1" x14ac:dyDescent="0.35">
      <c r="A43" s="8"/>
      <c r="B43" s="8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</row>
    <row r="44" spans="1:23" x14ac:dyDescent="0.35">
      <c r="A44" s="8" t="s">
        <v>38</v>
      </c>
      <c r="B44" s="3" t="s">
        <v>236</v>
      </c>
      <c r="C44" s="26">
        <f>SUM(C45:C49)</f>
        <v>6933.5508841066594</v>
      </c>
      <c r="D44" s="26">
        <f t="shared" ref="D44" si="42">SUM(D45:D49)</f>
        <v>4910.1151635558535</v>
      </c>
      <c r="E44" s="26">
        <f t="shared" ref="E44" si="43">SUM(E45:E49)</f>
        <v>4752.7137738113042</v>
      </c>
      <c r="F44" s="26">
        <f t="shared" ref="F44" si="44">SUM(F45:F49)</f>
        <v>1453.6537321310216</v>
      </c>
      <c r="G44" s="26">
        <f t="shared" ref="G44" si="45">SUM(G45:G49)</f>
        <v>266.77635600000002</v>
      </c>
      <c r="H44" s="26">
        <f t="shared" ref="H44" si="46">SUM(H45:H49)</f>
        <v>437.80157130000032</v>
      </c>
      <c r="I44" s="26">
        <f>I87</f>
        <v>575.81517211999994</v>
      </c>
      <c r="J44" s="26">
        <f t="shared" ref="J44:M44" si="47">J87</f>
        <v>632.75375493199999</v>
      </c>
      <c r="K44" s="26">
        <f t="shared" si="47"/>
        <v>696.02913042520015</v>
      </c>
      <c r="L44" s="26">
        <f t="shared" si="47"/>
        <v>765.63204346772022</v>
      </c>
      <c r="M44" s="26">
        <f t="shared" si="47"/>
        <v>842.19524781449229</v>
      </c>
    </row>
    <row r="45" spans="1:23" x14ac:dyDescent="0.35">
      <c r="A45" s="8"/>
      <c r="B45" s="8" t="s">
        <v>65</v>
      </c>
      <c r="C45" s="26">
        <v>5197.1022570014929</v>
      </c>
      <c r="D45" s="26">
        <v>3550.7161138938445</v>
      </c>
      <c r="E45" s="26">
        <v>3770.0292502410452</v>
      </c>
      <c r="F45" s="26">
        <v>347.92536457358563</v>
      </c>
      <c r="G45" s="26">
        <v>123.08734669999998</v>
      </c>
      <c r="H45" s="104">
        <v>34.824386599999997</v>
      </c>
      <c r="I45" s="26">
        <f>I$44*S45</f>
        <v>0</v>
      </c>
      <c r="J45" s="26">
        <f t="shared" ref="J45:M49" si="48">J$44*T45</f>
        <v>0</v>
      </c>
      <c r="K45" s="26">
        <f t="shared" si="48"/>
        <v>0</v>
      </c>
      <c r="L45" s="26">
        <f t="shared" si="48"/>
        <v>0</v>
      </c>
      <c r="M45" s="26">
        <f t="shared" si="48"/>
        <v>0</v>
      </c>
      <c r="O45" s="227">
        <f>E45/E$44</f>
        <v>0.79323717557217355</v>
      </c>
      <c r="P45" s="227">
        <f t="shared" ref="P45:R49" si="49">F45/F$44</f>
        <v>0.23934542104709858</v>
      </c>
      <c r="Q45" s="227">
        <f t="shared" si="49"/>
        <v>0.46138776518860602</v>
      </c>
      <c r="R45" s="227">
        <f t="shared" si="49"/>
        <v>7.9543767959975739E-2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</row>
    <row r="46" spans="1:23" x14ac:dyDescent="0.35">
      <c r="A46" s="8"/>
      <c r="B46" s="8" t="s">
        <v>66</v>
      </c>
      <c r="C46" s="26">
        <v>1485.9150522039049</v>
      </c>
      <c r="D46" s="26">
        <v>1172.4628890086244</v>
      </c>
      <c r="E46" s="26">
        <v>948.12043357025891</v>
      </c>
      <c r="F46" s="26">
        <v>159.86494769243834</v>
      </c>
      <c r="G46" s="26">
        <v>43.582753599999982</v>
      </c>
      <c r="H46" s="104">
        <v>149.2327257</v>
      </c>
      <c r="I46" s="26">
        <f t="shared" ref="I46:I49" si="50">I$44*S46</f>
        <v>575.81517211999994</v>
      </c>
      <c r="J46" s="26">
        <f t="shared" si="48"/>
        <v>632.75375493199999</v>
      </c>
      <c r="K46" s="26">
        <f t="shared" si="48"/>
        <v>696.02913042520015</v>
      </c>
      <c r="L46" s="26">
        <f t="shared" si="48"/>
        <v>765.63204346772022</v>
      </c>
      <c r="M46" s="26">
        <f t="shared" si="48"/>
        <v>842.19524781449229</v>
      </c>
      <c r="O46" s="227">
        <f t="shared" ref="O46:O49" si="51">E46/E$44</f>
        <v>0.19949032882953113</v>
      </c>
      <c r="P46" s="227">
        <f t="shared" si="49"/>
        <v>0.10997457245755504</v>
      </c>
      <c r="Q46" s="227">
        <f t="shared" si="49"/>
        <v>0.16336812697149211</v>
      </c>
      <c r="R46" s="227">
        <f t="shared" si="49"/>
        <v>0.34086841044647453</v>
      </c>
      <c r="S46" s="346">
        <v>1</v>
      </c>
      <c r="T46" s="346">
        <v>1</v>
      </c>
      <c r="U46" s="346">
        <v>1</v>
      </c>
      <c r="V46" s="346">
        <v>1</v>
      </c>
      <c r="W46" s="346">
        <v>1</v>
      </c>
    </row>
    <row r="47" spans="1:23" x14ac:dyDescent="0.35">
      <c r="A47" s="8"/>
      <c r="B47" s="8" t="s">
        <v>40</v>
      </c>
      <c r="C47" s="26">
        <v>108.9248602645778</v>
      </c>
      <c r="D47" s="26">
        <v>135.7633479106658</v>
      </c>
      <c r="E47" s="26">
        <v>9.5640899999999984</v>
      </c>
      <c r="F47" s="26">
        <v>78.489078435890875</v>
      </c>
      <c r="G47" s="26">
        <v>12.264065700000003</v>
      </c>
      <c r="H47" s="104">
        <v>50.272377100000035</v>
      </c>
      <c r="I47" s="26">
        <f t="shared" si="50"/>
        <v>0</v>
      </c>
      <c r="J47" s="26">
        <f t="shared" si="48"/>
        <v>0</v>
      </c>
      <c r="K47" s="26">
        <f t="shared" si="48"/>
        <v>0</v>
      </c>
      <c r="L47" s="26">
        <f t="shared" si="48"/>
        <v>0</v>
      </c>
      <c r="M47" s="26">
        <f t="shared" si="48"/>
        <v>0</v>
      </c>
      <c r="O47" s="227">
        <f t="shared" si="51"/>
        <v>2.012342938196833E-3</v>
      </c>
      <c r="P47" s="227">
        <f t="shared" si="49"/>
        <v>5.3994343151327909E-2</v>
      </c>
      <c r="Q47" s="227">
        <f t="shared" si="49"/>
        <v>4.597133675519581E-2</v>
      </c>
      <c r="R47" s="227">
        <f t="shared" si="49"/>
        <v>0.1148291381200897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</row>
    <row r="48" spans="1:23" x14ac:dyDescent="0.35">
      <c r="A48" s="8"/>
      <c r="B48" s="8" t="s">
        <v>317</v>
      </c>
      <c r="C48" s="26">
        <v>35.508979956106749</v>
      </c>
      <c r="D48" s="26">
        <v>38.730492586290097</v>
      </c>
      <c r="E48" s="26">
        <v>25</v>
      </c>
      <c r="F48" s="26">
        <v>13.094784281862173</v>
      </c>
      <c r="G48" s="26">
        <v>1.7223504999999999</v>
      </c>
      <c r="H48" s="104">
        <v>0.78189580000000036</v>
      </c>
      <c r="I48" s="26">
        <f t="shared" si="50"/>
        <v>0</v>
      </c>
      <c r="J48" s="26">
        <f t="shared" si="48"/>
        <v>0</v>
      </c>
      <c r="K48" s="26">
        <f t="shared" si="48"/>
        <v>0</v>
      </c>
      <c r="L48" s="26">
        <f t="shared" si="48"/>
        <v>0</v>
      </c>
      <c r="M48" s="26">
        <f t="shared" si="48"/>
        <v>0</v>
      </c>
      <c r="O48" s="227">
        <f t="shared" si="51"/>
        <v>5.260152660098434E-3</v>
      </c>
      <c r="P48" s="227">
        <f t="shared" si="49"/>
        <v>9.0081867451786701E-3</v>
      </c>
      <c r="Q48" s="227">
        <f t="shared" si="49"/>
        <v>6.4561587309484043E-3</v>
      </c>
      <c r="R48" s="227">
        <f t="shared" si="49"/>
        <v>1.7859593278257376E-3</v>
      </c>
      <c r="S48" s="346">
        <v>0</v>
      </c>
      <c r="T48" s="346">
        <v>0</v>
      </c>
      <c r="U48" s="346">
        <v>0</v>
      </c>
      <c r="V48" s="346">
        <v>0</v>
      </c>
      <c r="W48" s="346">
        <v>0</v>
      </c>
    </row>
    <row r="49" spans="1:23" x14ac:dyDescent="0.35">
      <c r="A49" s="8"/>
      <c r="B49" s="8" t="s">
        <v>41</v>
      </c>
      <c r="C49" s="26">
        <v>106.09973468057815</v>
      </c>
      <c r="D49" s="26">
        <v>12.442320156428336</v>
      </c>
      <c r="E49" s="26">
        <v>0</v>
      </c>
      <c r="F49" s="26">
        <v>854.27955714724442</v>
      </c>
      <c r="G49" s="26">
        <v>86.119839500000026</v>
      </c>
      <c r="H49" s="104">
        <v>202.69018610000029</v>
      </c>
      <c r="I49" s="26">
        <f t="shared" si="50"/>
        <v>0</v>
      </c>
      <c r="J49" s="26">
        <f t="shared" si="48"/>
        <v>0</v>
      </c>
      <c r="K49" s="26">
        <f t="shared" si="48"/>
        <v>0</v>
      </c>
      <c r="L49" s="26">
        <f t="shared" si="48"/>
        <v>0</v>
      </c>
      <c r="M49" s="26">
        <f t="shared" si="48"/>
        <v>0</v>
      </c>
      <c r="O49" s="227">
        <f t="shared" si="51"/>
        <v>0</v>
      </c>
      <c r="P49" s="227">
        <f t="shared" si="49"/>
        <v>0.58767747659883973</v>
      </c>
      <c r="Q49" s="227">
        <f t="shared" si="49"/>
        <v>0.32281661235375753</v>
      </c>
      <c r="R49" s="227">
        <f t="shared" si="49"/>
        <v>0.46297272414563428</v>
      </c>
      <c r="S49" s="346">
        <v>0</v>
      </c>
      <c r="T49" s="346">
        <v>0</v>
      </c>
      <c r="U49" s="346">
        <v>0</v>
      </c>
      <c r="V49" s="346">
        <v>0</v>
      </c>
      <c r="W49" s="346">
        <v>0</v>
      </c>
    </row>
    <row r="50" spans="1:23" x14ac:dyDescent="0.35">
      <c r="A50" s="8"/>
      <c r="C50" s="26"/>
      <c r="D50" s="26"/>
      <c r="E50" s="26"/>
      <c r="F50" s="26"/>
      <c r="G50" s="26"/>
      <c r="H50" s="104"/>
      <c r="I50" s="8"/>
      <c r="J50" s="8"/>
      <c r="K50" s="8"/>
      <c r="L50" s="8"/>
      <c r="M50" s="8"/>
    </row>
    <row r="51" spans="1:23" ht="15" customHeight="1" x14ac:dyDescent="0.35">
      <c r="A51" s="8" t="s">
        <v>390</v>
      </c>
      <c r="B51" s="8" t="s">
        <v>65</v>
      </c>
      <c r="C51" s="96">
        <f>'[4]GM Buildup'!C54</f>
        <v>0.12008623430348239</v>
      </c>
      <c r="D51" s="96">
        <f>'[4]GM Buildup'!D54</f>
        <v>0.11721002661076245</v>
      </c>
      <c r="E51" s="96">
        <v>9.6302073436189076E-3</v>
      </c>
      <c r="F51" s="96">
        <v>0.11650625189485735</v>
      </c>
      <c r="G51" s="96">
        <v>9.2704248697563205E-2</v>
      </c>
      <c r="H51" s="96">
        <v>0.2481511711713629</v>
      </c>
      <c r="I51" s="347">
        <v>0</v>
      </c>
      <c r="J51" s="347">
        <v>0</v>
      </c>
      <c r="K51" s="347">
        <v>0</v>
      </c>
      <c r="L51" s="347">
        <v>0</v>
      </c>
      <c r="M51" s="347">
        <v>0</v>
      </c>
    </row>
    <row r="52" spans="1:23" x14ac:dyDescent="0.35">
      <c r="A52" s="8"/>
      <c r="B52" s="8" t="s">
        <v>66</v>
      </c>
      <c r="C52" s="96">
        <f>'[4]GM Buildup'!C55</f>
        <v>0.3154092993470986</v>
      </c>
      <c r="D52" s="96">
        <f>'[4]GM Buildup'!D55</f>
        <v>6.4795398678346869E-2</v>
      </c>
      <c r="E52" s="96">
        <v>9.9992126244349736E-2</v>
      </c>
      <c r="F52" s="96">
        <v>0.28506608492547125</v>
      </c>
      <c r="G52" s="96">
        <v>0.29729273003071544</v>
      </c>
      <c r="H52" s="96">
        <v>0.30681160673608848</v>
      </c>
      <c r="I52" s="347">
        <f>I91</f>
        <v>0.22</v>
      </c>
      <c r="J52" s="347">
        <f t="shared" ref="J52:M52" si="52">J91</f>
        <v>0.22</v>
      </c>
      <c r="K52" s="347">
        <f t="shared" si="52"/>
        <v>0.22</v>
      </c>
      <c r="L52" s="347">
        <f t="shared" si="52"/>
        <v>0.22</v>
      </c>
      <c r="M52" s="347">
        <f t="shared" si="52"/>
        <v>0.22</v>
      </c>
    </row>
    <row r="53" spans="1:23" ht="15" customHeight="1" x14ac:dyDescent="0.35">
      <c r="A53" s="8"/>
      <c r="B53" s="8" t="s">
        <v>40</v>
      </c>
      <c r="C53" s="96">
        <f>'[4]GM Buildup'!C56</f>
        <v>7.1432615680883826E-2</v>
      </c>
      <c r="D53" s="96">
        <f>'[4]GM Buildup'!D56</f>
        <v>-0.21063821899551408</v>
      </c>
      <c r="E53" s="96">
        <v>-1.4400382176088096</v>
      </c>
      <c r="F53" s="96">
        <v>5.0595302242647432E-2</v>
      </c>
      <c r="G53" s="96">
        <v>-3.2646777976735728</v>
      </c>
      <c r="H53" s="96">
        <v>9.593671869556375E-2</v>
      </c>
      <c r="I53" s="347">
        <v>0</v>
      </c>
      <c r="J53" s="347">
        <v>0</v>
      </c>
      <c r="K53" s="347">
        <v>0</v>
      </c>
      <c r="L53" s="347">
        <v>0</v>
      </c>
      <c r="M53" s="347">
        <v>0</v>
      </c>
    </row>
    <row r="54" spans="1:23" ht="15" customHeight="1" x14ac:dyDescent="0.35">
      <c r="A54" s="8"/>
      <c r="B54" s="8" t="s">
        <v>317</v>
      </c>
      <c r="C54" s="96">
        <f>'[4]GM Buildup'!C57</f>
        <v>0.14523001321836554</v>
      </c>
      <c r="D54" s="96">
        <f>'[4]GM Buildup'!D57</f>
        <v>0.35785607190065055</v>
      </c>
      <c r="E54" s="96">
        <v>0.36</v>
      </c>
      <c r="F54" s="96">
        <v>0.23745864490504917</v>
      </c>
      <c r="G54" s="96">
        <v>0.10185162659981173</v>
      </c>
      <c r="H54" s="96">
        <v>0.31300027446112383</v>
      </c>
      <c r="I54" s="347">
        <v>0</v>
      </c>
      <c r="J54" s="347">
        <v>0</v>
      </c>
      <c r="K54" s="347">
        <v>0</v>
      </c>
      <c r="L54" s="347">
        <v>0</v>
      </c>
      <c r="M54" s="347">
        <v>0</v>
      </c>
    </row>
    <row r="55" spans="1:23" ht="15" customHeight="1" x14ac:dyDescent="0.35">
      <c r="A55" s="8"/>
      <c r="B55" s="8" t="s">
        <v>41</v>
      </c>
      <c r="C55" s="96">
        <f>'[4]GM Buildup'!C58</f>
        <v>7.6454862295155843E-2</v>
      </c>
      <c r="D55" s="96">
        <f>'[4]GM Buildup'!D58</f>
        <v>-9.1454621594641211E-2</v>
      </c>
      <c r="E55" s="96">
        <v>0.13560649943814734</v>
      </c>
      <c r="F55" s="96">
        <v>-0.13846603680794506</v>
      </c>
      <c r="G55" s="96">
        <v>-0.29387195966615837</v>
      </c>
      <c r="H55" s="96">
        <v>0.12982813872901314</v>
      </c>
      <c r="I55" s="347">
        <v>0</v>
      </c>
      <c r="J55" s="347">
        <v>0</v>
      </c>
      <c r="K55" s="347">
        <v>0</v>
      </c>
      <c r="L55" s="347">
        <v>0</v>
      </c>
      <c r="M55" s="347">
        <v>0</v>
      </c>
    </row>
    <row r="56" spans="1:23" x14ac:dyDescent="0.35">
      <c r="A56" s="8"/>
      <c r="B56" s="351" t="s">
        <v>346</v>
      </c>
      <c r="C56" s="352"/>
      <c r="D56" s="352"/>
      <c r="E56" s="352"/>
      <c r="F56" s="352"/>
      <c r="G56" s="352"/>
      <c r="H56" s="352"/>
      <c r="I56" s="352"/>
      <c r="J56" s="352"/>
      <c r="K56" s="352"/>
      <c r="L56" s="352"/>
      <c r="M56" s="353"/>
    </row>
    <row r="57" spans="1:23" x14ac:dyDescent="0.35">
      <c r="A57" s="3" t="s">
        <v>39</v>
      </c>
      <c r="B57" s="3"/>
      <c r="C57" s="126"/>
      <c r="D57" s="126"/>
      <c r="E57" s="126"/>
      <c r="F57" s="126"/>
      <c r="G57" s="126"/>
      <c r="H57" s="126">
        <f>SUM(H58:H62)</f>
        <v>85.810634769737618</v>
      </c>
      <c r="I57" s="126">
        <f t="shared" ref="I57:M57" si="53">SUM(I58:I62)</f>
        <v>126.67933786639999</v>
      </c>
      <c r="J57" s="126">
        <f t="shared" si="53"/>
        <v>139.20582608504</v>
      </c>
      <c r="K57" s="126">
        <f t="shared" si="53"/>
        <v>153.12640869354402</v>
      </c>
      <c r="L57" s="126">
        <f t="shared" si="53"/>
        <v>168.43904956289845</v>
      </c>
      <c r="M57" s="126">
        <f t="shared" si="53"/>
        <v>185.28295451918831</v>
      </c>
      <c r="N57" s="8"/>
      <c r="O57" s="8"/>
    </row>
    <row r="58" spans="1:23" x14ac:dyDescent="0.35">
      <c r="A58" s="8"/>
      <c r="B58" s="8" t="s">
        <v>65</v>
      </c>
      <c r="C58" s="104">
        <f t="shared" ref="C58:G58" si="54">C45*C51</f>
        <v>624.10043933343843</v>
      </c>
      <c r="D58" s="104">
        <f t="shared" si="54"/>
        <v>416.17953019676054</v>
      </c>
      <c r="E58" s="104">
        <f t="shared" si="54"/>
        <v>36.306163371329397</v>
      </c>
      <c r="F58" s="104">
        <f t="shared" si="54"/>
        <v>40.535480165620243</v>
      </c>
      <c r="G58" s="104">
        <f t="shared" si="54"/>
        <v>11.410719999999984</v>
      </c>
      <c r="H58" s="104">
        <f>H45*H51</f>
        <v>8.6417123201143156</v>
      </c>
      <c r="I58" s="104">
        <f t="shared" ref="I58:M58" si="55">I45*I51</f>
        <v>0</v>
      </c>
      <c r="J58" s="104">
        <f t="shared" si="55"/>
        <v>0</v>
      </c>
      <c r="K58" s="104">
        <f t="shared" si="55"/>
        <v>0</v>
      </c>
      <c r="L58" s="104">
        <f t="shared" si="55"/>
        <v>0</v>
      </c>
      <c r="M58" s="104">
        <f t="shared" si="55"/>
        <v>0</v>
      </c>
      <c r="N58" s="8"/>
      <c r="O58" s="8"/>
    </row>
    <row r="59" spans="1:23" x14ac:dyDescent="0.35">
      <c r="A59" s="8"/>
      <c r="B59" s="8" t="s">
        <v>66</v>
      </c>
      <c r="C59" s="104">
        <f t="shared" ref="C59:M59" si="56">C46*C52</f>
        <v>468.67142550494111</v>
      </c>
      <c r="D59" s="104">
        <f t="shared" si="56"/>
        <v>75.970200328880168</v>
      </c>
      <c r="E59" s="104">
        <f t="shared" si="56"/>
        <v>94.804578088404938</v>
      </c>
      <c r="F59" s="104">
        <f t="shared" si="56"/>
        <v>45.572074755498647</v>
      </c>
      <c r="G59" s="104">
        <f t="shared" si="56"/>
        <v>12.956835799999986</v>
      </c>
      <c r="H59" s="104">
        <f t="shared" si="56"/>
        <v>45.786332349622967</v>
      </c>
      <c r="I59" s="104">
        <f t="shared" si="56"/>
        <v>126.67933786639999</v>
      </c>
      <c r="J59" s="104">
        <f t="shared" si="56"/>
        <v>139.20582608504</v>
      </c>
      <c r="K59" s="104">
        <f t="shared" si="56"/>
        <v>153.12640869354402</v>
      </c>
      <c r="L59" s="104">
        <f t="shared" si="56"/>
        <v>168.43904956289845</v>
      </c>
      <c r="M59" s="104">
        <f t="shared" si="56"/>
        <v>185.28295451918831</v>
      </c>
      <c r="N59" s="8"/>
      <c r="O59" s="8"/>
    </row>
    <row r="60" spans="1:23" x14ac:dyDescent="0.35">
      <c r="A60" s="8"/>
      <c r="B60" s="8" t="s">
        <v>40</v>
      </c>
      <c r="C60" s="104">
        <f t="shared" ref="C60:M60" si="57">C47*C53</f>
        <v>7.7807876813735604</v>
      </c>
      <c r="D60" s="104">
        <f t="shared" si="57"/>
        <v>-28.59694980877099</v>
      </c>
      <c r="E60" s="104">
        <f t="shared" si="57"/>
        <v>-13.772655116650236</v>
      </c>
      <c r="F60" s="104">
        <f t="shared" si="57"/>
        <v>3.9711786462107597</v>
      </c>
      <c r="G60" s="104">
        <f t="shared" si="57"/>
        <v>-40.038223000000016</v>
      </c>
      <c r="H60" s="104">
        <f t="shared" si="57"/>
        <v>4.8229669000000044</v>
      </c>
      <c r="I60" s="104">
        <f t="shared" si="57"/>
        <v>0</v>
      </c>
      <c r="J60" s="104">
        <f t="shared" si="57"/>
        <v>0</v>
      </c>
      <c r="K60" s="104">
        <f t="shared" si="57"/>
        <v>0</v>
      </c>
      <c r="L60" s="104">
        <f t="shared" si="57"/>
        <v>0</v>
      </c>
      <c r="M60" s="104">
        <f t="shared" si="57"/>
        <v>0</v>
      </c>
      <c r="N60" s="8"/>
      <c r="O60" s="8"/>
    </row>
    <row r="61" spans="1:23" x14ac:dyDescent="0.35">
      <c r="A61" s="8"/>
      <c r="B61" s="8" t="s">
        <v>316</v>
      </c>
      <c r="C61" s="104">
        <f t="shared" ref="C61:M61" si="58">C48*C54</f>
        <v>5.1569696283960598</v>
      </c>
      <c r="D61" s="104">
        <f t="shared" si="58"/>
        <v>13.859941939707042</v>
      </c>
      <c r="E61" s="104">
        <f t="shared" si="58"/>
        <v>9</v>
      </c>
      <c r="F61" s="104">
        <f t="shared" si="58"/>
        <v>3.1094697308949293</v>
      </c>
      <c r="G61" s="104">
        <f t="shared" si="58"/>
        <v>0.17542419999999903</v>
      </c>
      <c r="H61" s="104">
        <f t="shared" si="58"/>
        <v>0.24473360000000011</v>
      </c>
      <c r="I61" s="104">
        <f t="shared" si="58"/>
        <v>0</v>
      </c>
      <c r="J61" s="104">
        <f t="shared" si="58"/>
        <v>0</v>
      </c>
      <c r="K61" s="104">
        <f t="shared" si="58"/>
        <v>0</v>
      </c>
      <c r="L61" s="104">
        <f t="shared" si="58"/>
        <v>0</v>
      </c>
      <c r="M61" s="104">
        <f t="shared" si="58"/>
        <v>0</v>
      </c>
      <c r="N61" s="8"/>
      <c r="O61" s="8"/>
    </row>
    <row r="62" spans="1:23" x14ac:dyDescent="0.35">
      <c r="A62" s="8"/>
      <c r="B62" s="8" t="s">
        <v>41</v>
      </c>
      <c r="C62" s="104">
        <f t="shared" ref="C62:M62" si="59">C49*C55</f>
        <v>8.1118406045561731</v>
      </c>
      <c r="D62" s="104">
        <f t="shared" si="59"/>
        <v>-1.1379076816655305</v>
      </c>
      <c r="E62" s="104">
        <f t="shared" si="59"/>
        <v>0</v>
      </c>
      <c r="F62" s="104">
        <f t="shared" si="59"/>
        <v>-118.28870460422534</v>
      </c>
      <c r="G62" s="104">
        <f t="shared" si="59"/>
        <v>-25.308206000000041</v>
      </c>
      <c r="H62" s="104">
        <f t="shared" si="59"/>
        <v>26.314889600000328</v>
      </c>
      <c r="I62" s="104">
        <f t="shared" si="59"/>
        <v>0</v>
      </c>
      <c r="J62" s="104">
        <f t="shared" si="59"/>
        <v>0</v>
      </c>
      <c r="K62" s="104">
        <f t="shared" si="59"/>
        <v>0</v>
      </c>
      <c r="L62" s="104">
        <f t="shared" si="59"/>
        <v>0</v>
      </c>
      <c r="M62" s="104">
        <f t="shared" si="59"/>
        <v>0</v>
      </c>
      <c r="N62" s="8"/>
      <c r="O62" s="8"/>
    </row>
    <row r="64" spans="1:23" x14ac:dyDescent="0.35">
      <c r="A64" s="8" t="s">
        <v>38</v>
      </c>
      <c r="B64" s="3" t="s">
        <v>345</v>
      </c>
      <c r="C64" s="27">
        <f t="shared" ref="C64:H64" si="60">SUM(C65:C69)</f>
        <v>22041.610718269996</v>
      </c>
      <c r="D64" s="27">
        <f t="shared" si="60"/>
        <v>23424.355140034746</v>
      </c>
      <c r="E64" s="27">
        <f t="shared" si="60"/>
        <v>16877.549245114624</v>
      </c>
      <c r="F64" s="27">
        <f t="shared" si="60"/>
        <v>5545.6099999997596</v>
      </c>
      <c r="G64" s="27">
        <f t="shared" si="60"/>
        <v>5721.6702349000061</v>
      </c>
      <c r="H64" s="27">
        <f t="shared" si="60"/>
        <v>4226.4174118999999</v>
      </c>
      <c r="I64" s="27">
        <f>SUM(I65:I69)</f>
        <v>5023.9406752256127</v>
      </c>
      <c r="J64" s="27">
        <f t="shared" ref="J64:M64" si="61">SUM(J65:J69)</f>
        <v>5777.1676483481733</v>
      </c>
      <c r="K64" s="27">
        <f t="shared" si="61"/>
        <v>6747.9582971829923</v>
      </c>
      <c r="L64" s="27">
        <f t="shared" si="61"/>
        <v>7861.3165611412951</v>
      </c>
      <c r="M64" s="27">
        <f t="shared" si="61"/>
        <v>9084.1202961754243</v>
      </c>
      <c r="N64" s="8"/>
      <c r="O64" s="8"/>
    </row>
    <row r="65" spans="1:15" x14ac:dyDescent="0.35">
      <c r="A65" s="8"/>
      <c r="B65" s="8" t="s">
        <v>65</v>
      </c>
      <c r="C65" s="26">
        <f t="shared" ref="C65:M65" si="62">C4+C25+C45</f>
        <v>8880.2440309527992</v>
      </c>
      <c r="D65" s="26">
        <f t="shared" si="62"/>
        <v>8062.7636244060395</v>
      </c>
      <c r="E65" s="26">
        <f t="shared" si="62"/>
        <v>7251.3558143757809</v>
      </c>
      <c r="F65" s="26">
        <f t="shared" si="62"/>
        <v>1458.230577095962</v>
      </c>
      <c r="G65" s="26">
        <f t="shared" si="62"/>
        <v>1246.9143070000059</v>
      </c>
      <c r="H65" s="104">
        <f t="shared" si="62"/>
        <v>724.82438660000003</v>
      </c>
      <c r="I65" s="26">
        <f t="shared" si="62"/>
        <v>753.06011500224611</v>
      </c>
      <c r="J65" s="26">
        <f t="shared" si="62"/>
        <v>810.83206189258351</v>
      </c>
      <c r="K65" s="26">
        <f t="shared" si="62"/>
        <v>876.02918943420764</v>
      </c>
      <c r="L65" s="26">
        <f t="shared" si="62"/>
        <v>1016.0835824452524</v>
      </c>
      <c r="M65" s="26">
        <f t="shared" si="62"/>
        <v>1218.8560945285517</v>
      </c>
      <c r="N65" s="8"/>
      <c r="O65" s="8"/>
    </row>
    <row r="66" spans="1:15" x14ac:dyDescent="0.35">
      <c r="A66" s="8"/>
      <c r="B66" s="8" t="s">
        <v>66</v>
      </c>
      <c r="C66" s="26">
        <f t="shared" ref="C66:M66" si="63">C5+C26+C46</f>
        <v>3848.1354755418224</v>
      </c>
      <c r="D66" s="26">
        <f t="shared" si="63"/>
        <v>3797.3061122183244</v>
      </c>
      <c r="E66" s="26">
        <f t="shared" si="63"/>
        <v>2882.5739617773493</v>
      </c>
      <c r="F66" s="26">
        <f t="shared" si="63"/>
        <v>860.08839741948168</v>
      </c>
      <c r="G66" s="26">
        <f t="shared" si="63"/>
        <v>1053.4640075999878</v>
      </c>
      <c r="H66" s="104">
        <f t="shared" si="63"/>
        <v>646.23272569999995</v>
      </c>
      <c r="I66" s="26">
        <f t="shared" si="63"/>
        <v>1128.8917939880189</v>
      </c>
      <c r="J66" s="26">
        <f t="shared" si="63"/>
        <v>1217.3886014390998</v>
      </c>
      <c r="K66" s="26">
        <f t="shared" si="63"/>
        <v>1316.1811968603322</v>
      </c>
      <c r="L66" s="26">
        <f t="shared" si="63"/>
        <v>1492.4304167418381</v>
      </c>
      <c r="M66" s="26">
        <f t="shared" si="63"/>
        <v>1733.7599812367857</v>
      </c>
      <c r="N66" s="8"/>
      <c r="O66" s="8"/>
    </row>
    <row r="67" spans="1:15" x14ac:dyDescent="0.35">
      <c r="A67" s="8"/>
      <c r="B67" s="8" t="s">
        <v>40</v>
      </c>
      <c r="C67" s="26">
        <f t="shared" ref="C67:M67" si="64">C6+C27+C47</f>
        <v>6977.5578466291036</v>
      </c>
      <c r="D67" s="26">
        <f t="shared" si="64"/>
        <v>8872.1147462867393</v>
      </c>
      <c r="E67" s="26">
        <f t="shared" si="64"/>
        <v>5465.9458439232003</v>
      </c>
      <c r="F67" s="26">
        <f t="shared" si="64"/>
        <v>1942.5903574162685</v>
      </c>
      <c r="G67" s="26">
        <f t="shared" si="64"/>
        <v>2925.5610110000111</v>
      </c>
      <c r="H67" s="104">
        <f t="shared" si="64"/>
        <v>2513.5823771</v>
      </c>
      <c r="I67" s="26">
        <f t="shared" si="64"/>
        <v>2957.5518315937161</v>
      </c>
      <c r="J67" s="26">
        <f t="shared" si="64"/>
        <v>3581.7242962290684</v>
      </c>
      <c r="K67" s="26">
        <f t="shared" si="64"/>
        <v>4353.9715334479606</v>
      </c>
      <c r="L67" s="26">
        <f t="shared" si="64"/>
        <v>5100.3470025899587</v>
      </c>
      <c r="M67" s="26">
        <f t="shared" si="64"/>
        <v>5798.2236932933447</v>
      </c>
      <c r="N67" s="8"/>
      <c r="O67" s="8"/>
    </row>
    <row r="68" spans="1:15" x14ac:dyDescent="0.35">
      <c r="A68" s="8"/>
      <c r="B68" s="8" t="s">
        <v>317</v>
      </c>
      <c r="C68" s="26">
        <f t="shared" ref="C68:M68" si="65">C7+C28+C48</f>
        <v>1980.5089799561067</v>
      </c>
      <c r="D68" s="26">
        <f t="shared" si="65"/>
        <v>2358.7460440743021</v>
      </c>
      <c r="E68" s="26">
        <f t="shared" si="65"/>
        <v>1218.6663214298012</v>
      </c>
      <c r="F68" s="26">
        <f t="shared" si="65"/>
        <v>227.5817725065298</v>
      </c>
      <c r="G68" s="26">
        <f t="shared" si="65"/>
        <v>345.76524470000101</v>
      </c>
      <c r="H68" s="104">
        <f t="shared" si="65"/>
        <v>81.781895800000001</v>
      </c>
      <c r="I68" s="26">
        <f t="shared" si="65"/>
        <v>132.864938728521</v>
      </c>
      <c r="J68" s="26">
        <f t="shared" si="65"/>
        <v>167.22268878742213</v>
      </c>
      <c r="K68" s="26">
        <f t="shared" si="65"/>
        <v>201.77637744049181</v>
      </c>
      <c r="L68" s="26">
        <f t="shared" si="65"/>
        <v>252.45555936424532</v>
      </c>
      <c r="M68" s="26">
        <f t="shared" si="65"/>
        <v>333.28052711674087</v>
      </c>
      <c r="N68" s="8"/>
      <c r="O68" s="8"/>
    </row>
    <row r="69" spans="1:15" x14ac:dyDescent="0.35">
      <c r="A69" s="8"/>
      <c r="B69" s="8" t="s">
        <v>41</v>
      </c>
      <c r="C69" s="26">
        <f t="shared" ref="C69:M69" si="66">C8+C29+C49</f>
        <v>355.16438519016594</v>
      </c>
      <c r="D69" s="26">
        <f t="shared" si="66"/>
        <v>333.42461304933994</v>
      </c>
      <c r="E69" s="26">
        <f t="shared" si="66"/>
        <v>59.007303608489792</v>
      </c>
      <c r="F69" s="26">
        <f t="shared" si="66"/>
        <v>1057.1188955615171</v>
      </c>
      <c r="G69" s="26">
        <f t="shared" si="66"/>
        <v>149.9656646</v>
      </c>
      <c r="H69" s="104">
        <f t="shared" si="66"/>
        <v>259.99602670000024</v>
      </c>
      <c r="I69" s="26">
        <f t="shared" si="66"/>
        <v>51.571995913110264</v>
      </c>
      <c r="J69" s="26">
        <f t="shared" si="66"/>
        <v>0</v>
      </c>
      <c r="K69" s="26">
        <f t="shared" si="66"/>
        <v>0</v>
      </c>
      <c r="L69" s="26">
        <f t="shared" si="66"/>
        <v>0</v>
      </c>
      <c r="M69" s="26">
        <f t="shared" si="66"/>
        <v>0</v>
      </c>
      <c r="N69" s="8"/>
      <c r="O69" s="8"/>
    </row>
    <row r="70" spans="1:15" x14ac:dyDescent="0.35">
      <c r="A70" s="8"/>
      <c r="B70" s="8"/>
      <c r="C70" s="26"/>
      <c r="D70" s="26"/>
      <c r="E70" s="26"/>
      <c r="F70" s="26"/>
      <c r="G70" s="26"/>
      <c r="H70" s="104"/>
      <c r="I70" s="26"/>
      <c r="J70" s="26"/>
      <c r="K70" s="26"/>
      <c r="L70" s="26"/>
      <c r="M70" s="26"/>
      <c r="N70" s="8"/>
      <c r="O70" s="8"/>
    </row>
    <row r="71" spans="1:15" x14ac:dyDescent="0.35">
      <c r="A71" s="26" t="s">
        <v>38</v>
      </c>
      <c r="B71" s="26" t="s">
        <v>64</v>
      </c>
      <c r="C71" s="26">
        <f t="shared" ref="C71:M71" si="67">C3</f>
        <v>13079.390027098098</v>
      </c>
      <c r="D71" s="26">
        <f t="shared" si="67"/>
        <v>15586.663071440616</v>
      </c>
      <c r="E71" s="26">
        <f t="shared" si="67"/>
        <v>9625.2036685054245</v>
      </c>
      <c r="F71" s="26">
        <f t="shared" si="67"/>
        <v>3112.7450398767105</v>
      </c>
      <c r="G71" s="26">
        <f t="shared" si="67"/>
        <v>3895.6744976000004</v>
      </c>
      <c r="H71" s="26">
        <f t="shared" si="67"/>
        <v>3788.6158406</v>
      </c>
      <c r="I71" s="26">
        <f t="shared" si="67"/>
        <v>4448.1255031056126</v>
      </c>
      <c r="J71" s="26">
        <f t="shared" si="67"/>
        <v>5144.4138934161747</v>
      </c>
      <c r="K71" s="26">
        <f t="shared" si="67"/>
        <v>6051.9291667577927</v>
      </c>
      <c r="L71" s="26">
        <f t="shared" si="67"/>
        <v>7095.6845176735733</v>
      </c>
      <c r="M71" s="26">
        <f t="shared" si="67"/>
        <v>8241.9250483609303</v>
      </c>
      <c r="N71" s="26"/>
      <c r="O71" s="26"/>
    </row>
    <row r="72" spans="1:15" x14ac:dyDescent="0.35">
      <c r="A72" s="26" t="s">
        <v>38</v>
      </c>
      <c r="B72" s="26" t="s">
        <v>59</v>
      </c>
      <c r="C72" s="26">
        <f t="shared" ref="C72:M72" si="68">C24</f>
        <v>2028.6698070652399</v>
      </c>
      <c r="D72" s="26">
        <f t="shared" si="68"/>
        <v>2927.576905038276</v>
      </c>
      <c r="E72" s="26">
        <f t="shared" si="68"/>
        <v>2499.6318027978941</v>
      </c>
      <c r="F72" s="26">
        <f t="shared" si="68"/>
        <v>979.21122799202715</v>
      </c>
      <c r="G72" s="26">
        <f t="shared" si="68"/>
        <v>1559.2193813000051</v>
      </c>
      <c r="H72" s="26">
        <f t="shared" si="68"/>
        <v>0</v>
      </c>
      <c r="I72" s="26">
        <f t="shared" si="68"/>
        <v>0</v>
      </c>
      <c r="J72" s="26">
        <f t="shared" si="68"/>
        <v>0</v>
      </c>
      <c r="K72" s="26">
        <f t="shared" si="68"/>
        <v>0</v>
      </c>
      <c r="L72" s="26">
        <f t="shared" si="68"/>
        <v>0</v>
      </c>
      <c r="M72" s="26">
        <f t="shared" si="68"/>
        <v>0</v>
      </c>
      <c r="N72" s="26"/>
      <c r="O72" s="26"/>
    </row>
    <row r="73" spans="1:15" x14ac:dyDescent="0.35">
      <c r="A73" s="26" t="s">
        <v>38</v>
      </c>
      <c r="B73" s="26" t="s">
        <v>236</v>
      </c>
      <c r="C73" s="26">
        <f>C44</f>
        <v>6933.5508841066594</v>
      </c>
      <c r="D73" s="26">
        <f t="shared" ref="D73:M73" si="69">D44</f>
        <v>4910.1151635558535</v>
      </c>
      <c r="E73" s="26">
        <f t="shared" si="69"/>
        <v>4752.7137738113042</v>
      </c>
      <c r="F73" s="26">
        <f t="shared" si="69"/>
        <v>1453.6537321310216</v>
      </c>
      <c r="G73" s="26">
        <f t="shared" si="69"/>
        <v>266.77635600000002</v>
      </c>
      <c r="H73" s="26">
        <f t="shared" si="69"/>
        <v>437.80157130000032</v>
      </c>
      <c r="I73" s="26">
        <f t="shared" si="69"/>
        <v>575.81517211999994</v>
      </c>
      <c r="J73" s="26">
        <f t="shared" si="69"/>
        <v>632.75375493199999</v>
      </c>
      <c r="K73" s="26">
        <f t="shared" si="69"/>
        <v>696.02913042520015</v>
      </c>
      <c r="L73" s="26">
        <f t="shared" si="69"/>
        <v>765.63204346772022</v>
      </c>
      <c r="M73" s="26">
        <f t="shared" si="69"/>
        <v>842.19524781449229</v>
      </c>
      <c r="N73" s="26"/>
      <c r="O73" s="26"/>
    </row>
    <row r="74" spans="1:15" x14ac:dyDescent="0.35">
      <c r="C74" s="53">
        <f>SUM(C71:C73)</f>
        <v>22041.610718269996</v>
      </c>
      <c r="D74" s="53">
        <f t="shared" ref="D74:M74" si="70">SUM(D71:D73)</f>
        <v>23424.355140034746</v>
      </c>
      <c r="E74" s="53">
        <f t="shared" si="70"/>
        <v>16877.549245114624</v>
      </c>
      <c r="F74" s="53">
        <f t="shared" si="70"/>
        <v>5545.6099999997587</v>
      </c>
      <c r="G74" s="53">
        <f t="shared" si="70"/>
        <v>5721.6702349000061</v>
      </c>
      <c r="H74" s="53">
        <f t="shared" si="70"/>
        <v>4226.4174118999999</v>
      </c>
      <c r="I74" s="53">
        <f t="shared" si="70"/>
        <v>5023.9406752256127</v>
      </c>
      <c r="J74" s="53">
        <f t="shared" si="70"/>
        <v>5777.1676483481751</v>
      </c>
      <c r="K74" s="53">
        <f t="shared" si="70"/>
        <v>6747.9582971829932</v>
      </c>
      <c r="L74" s="53">
        <f t="shared" si="70"/>
        <v>7861.3165611412933</v>
      </c>
      <c r="M74" s="53">
        <f t="shared" si="70"/>
        <v>9084.1202961754225</v>
      </c>
    </row>
    <row r="75" spans="1:15" x14ac:dyDescent="0.35">
      <c r="I75" s="53"/>
      <c r="J75" s="53"/>
      <c r="K75" s="53"/>
      <c r="L75" s="53"/>
      <c r="M75" s="53"/>
    </row>
    <row r="77" spans="1:15" x14ac:dyDescent="0.35">
      <c r="I77" s="53"/>
      <c r="J77" s="53"/>
      <c r="K77" s="53"/>
      <c r="L77" s="53"/>
      <c r="M77" s="53"/>
    </row>
    <row r="79" spans="1:15" x14ac:dyDescent="0.35">
      <c r="I79" s="25"/>
      <c r="J79" s="25"/>
      <c r="K79" s="25"/>
      <c r="L79" s="25"/>
      <c r="M79" s="25"/>
    </row>
    <row r="80" spans="1:15" ht="18.5" x14ac:dyDescent="0.45">
      <c r="H80" s="90" t="s">
        <v>284</v>
      </c>
    </row>
    <row r="81" spans="1:19" ht="43.5" x14ac:dyDescent="0.35">
      <c r="E81" s="53">
        <f>SUM(E83:F86)</f>
        <v>435</v>
      </c>
      <c r="F81" s="235">
        <f>E81*22%</f>
        <v>95.7</v>
      </c>
      <c r="H81" s="209" t="s">
        <v>325</v>
      </c>
      <c r="I81" s="150">
        <f>(I83-N83)/N83</f>
        <v>-0.52156693775614105</v>
      </c>
      <c r="J81" s="150">
        <f>(J83-I83)/I83</f>
        <v>0.10000000000000014</v>
      </c>
      <c r="K81" s="150">
        <f>(K83-J83)/J83</f>
        <v>0.10000000000000006</v>
      </c>
      <c r="L81" s="150">
        <f>(L83-K83)/K83</f>
        <v>0.10000000000000012</v>
      </c>
      <c r="M81" s="150">
        <f>(M83-L83)/L83</f>
        <v>0.10000000000000014</v>
      </c>
    </row>
    <row r="82" spans="1:19" ht="29" x14ac:dyDescent="0.35">
      <c r="A82" s="26" t="s">
        <v>293</v>
      </c>
      <c r="B82" s="26" t="s">
        <v>294</v>
      </c>
      <c r="C82" s="26" t="s">
        <v>295</v>
      </c>
      <c r="D82" s="26" t="s">
        <v>298</v>
      </c>
      <c r="E82" s="26" t="s">
        <v>296</v>
      </c>
      <c r="F82" s="210" t="s">
        <v>297</v>
      </c>
      <c r="G82" s="208" t="s">
        <v>242</v>
      </c>
      <c r="H82" s="208" t="s">
        <v>250</v>
      </c>
      <c r="I82" s="208" t="s">
        <v>288</v>
      </c>
      <c r="J82" s="208" t="s">
        <v>289</v>
      </c>
      <c r="K82" s="208" t="s">
        <v>290</v>
      </c>
      <c r="L82" s="208" t="s">
        <v>291</v>
      </c>
      <c r="M82" s="208" t="s">
        <v>292</v>
      </c>
      <c r="N82" s="215" t="s">
        <v>305</v>
      </c>
      <c r="O82" s="215" t="s">
        <v>65</v>
      </c>
      <c r="P82" s="215" t="s">
        <v>66</v>
      </c>
      <c r="Q82" s="215" t="s">
        <v>40</v>
      </c>
      <c r="R82" s="215" t="s">
        <v>255</v>
      </c>
      <c r="S82" s="215" t="s">
        <v>41</v>
      </c>
    </row>
    <row r="83" spans="1:19" x14ac:dyDescent="0.35">
      <c r="A83" s="26">
        <v>216.38610000000006</v>
      </c>
      <c r="B83" s="26">
        <v>91.879469999999998</v>
      </c>
      <c r="C83" s="26">
        <f>B83</f>
        <v>91.879469999999998</v>
      </c>
      <c r="D83" s="26">
        <f>43</f>
        <v>43</v>
      </c>
      <c r="E83" s="26">
        <v>65</v>
      </c>
      <c r="F83" s="26">
        <v>200</v>
      </c>
      <c r="G83" s="8" t="s">
        <v>285</v>
      </c>
      <c r="H83" s="26">
        <f>SUM(D83:F83)</f>
        <v>308</v>
      </c>
      <c r="I83" s="26">
        <f>H83*1.1</f>
        <v>338.8</v>
      </c>
      <c r="J83" s="26">
        <f t="shared" ref="J83:M86" si="71">I83*1.1</f>
        <v>372.68000000000006</v>
      </c>
      <c r="K83" s="26">
        <f t="shared" si="71"/>
        <v>409.94800000000009</v>
      </c>
      <c r="L83" s="26">
        <f t="shared" si="71"/>
        <v>450.94280000000015</v>
      </c>
      <c r="M83" s="26">
        <f t="shared" si="71"/>
        <v>496.03708000000023</v>
      </c>
      <c r="N83" s="27">
        <f>SUM(A83:F83)</f>
        <v>708.14503999999999</v>
      </c>
      <c r="O83" s="8">
        <v>0</v>
      </c>
      <c r="P83" s="27">
        <f>N83</f>
        <v>708.14503999999999</v>
      </c>
      <c r="Q83" s="8">
        <v>0</v>
      </c>
      <c r="R83" s="8">
        <v>0</v>
      </c>
      <c r="S83" s="8">
        <v>0</v>
      </c>
    </row>
    <row r="84" spans="1:19" x14ac:dyDescent="0.35">
      <c r="A84" s="26">
        <v>10.8682</v>
      </c>
      <c r="B84" s="26">
        <v>3.6967599999999998</v>
      </c>
      <c r="C84" s="26">
        <f t="shared" ref="C84:C86" si="72">B84</f>
        <v>3.6967599999999998</v>
      </c>
      <c r="D84" s="26"/>
      <c r="E84" s="26"/>
      <c r="F84" s="26">
        <v>10</v>
      </c>
      <c r="G84" s="8" t="s">
        <v>286</v>
      </c>
      <c r="H84" s="26">
        <f>SUM(D84:F84)</f>
        <v>10</v>
      </c>
      <c r="I84" s="26">
        <v>45.015172120000003</v>
      </c>
      <c r="J84" s="26">
        <v>48.873754931999997</v>
      </c>
      <c r="K84" s="26">
        <v>53.761130425200008</v>
      </c>
      <c r="L84" s="26">
        <v>59.137243467720012</v>
      </c>
      <c r="M84" s="26">
        <v>65.050967814492026</v>
      </c>
      <c r="N84" s="27">
        <f>SUM(A84:F84)</f>
        <v>28.26172</v>
      </c>
      <c r="O84" s="8">
        <v>0</v>
      </c>
      <c r="P84" s="27">
        <f>N84</f>
        <v>28.26172</v>
      </c>
      <c r="Q84" s="8">
        <v>0</v>
      </c>
      <c r="R84" s="8">
        <v>0</v>
      </c>
      <c r="S84" s="8">
        <v>0</v>
      </c>
    </row>
    <row r="85" spans="1:19" x14ac:dyDescent="0.35">
      <c r="A85" s="26">
        <v>84.771029999999996</v>
      </c>
      <c r="B85" s="26">
        <v>28.710570000000001</v>
      </c>
      <c r="C85" s="26">
        <f t="shared" si="72"/>
        <v>28.710570000000001</v>
      </c>
      <c r="D85" s="26"/>
      <c r="E85" s="26"/>
      <c r="F85" s="26">
        <v>60</v>
      </c>
      <c r="G85" s="8" t="s">
        <v>287</v>
      </c>
      <c r="H85" s="26">
        <f>SUM(D85:F85)</f>
        <v>60</v>
      </c>
      <c r="I85" s="26">
        <f>H85*1.2</f>
        <v>72</v>
      </c>
      <c r="J85" s="26">
        <f t="shared" si="71"/>
        <v>79.2</v>
      </c>
      <c r="K85" s="26">
        <f t="shared" si="71"/>
        <v>87.12</v>
      </c>
      <c r="L85" s="26">
        <f t="shared" si="71"/>
        <v>95.832000000000008</v>
      </c>
      <c r="M85" s="26">
        <f t="shared" si="71"/>
        <v>105.41520000000001</v>
      </c>
      <c r="N85" s="27">
        <f>SUM(A85:F85)</f>
        <v>202.19217</v>
      </c>
      <c r="O85" s="8">
        <v>0</v>
      </c>
      <c r="P85" s="27">
        <f>N85</f>
        <v>202.19217</v>
      </c>
      <c r="Q85" s="8">
        <v>0</v>
      </c>
      <c r="R85" s="8">
        <v>0</v>
      </c>
      <c r="S85" s="8">
        <v>0</v>
      </c>
    </row>
    <row r="86" spans="1:19" ht="29" x14ac:dyDescent="0.35">
      <c r="A86" s="26">
        <v>120.62044</v>
      </c>
      <c r="B86" s="26">
        <v>61.630299999999998</v>
      </c>
      <c r="C86" s="26">
        <f t="shared" si="72"/>
        <v>61.630299999999998</v>
      </c>
      <c r="D86" s="26"/>
      <c r="E86" s="26"/>
      <c r="F86" s="26">
        <v>100</v>
      </c>
      <c r="G86" s="117" t="s">
        <v>299</v>
      </c>
      <c r="H86" s="26">
        <f>SUM(D86:F86)</f>
        <v>100</v>
      </c>
      <c r="I86" s="26">
        <f>H86*1.2</f>
        <v>120</v>
      </c>
      <c r="J86" s="26">
        <f t="shared" si="71"/>
        <v>132</v>
      </c>
      <c r="K86" s="26">
        <f t="shared" si="71"/>
        <v>145.20000000000002</v>
      </c>
      <c r="L86" s="26">
        <f t="shared" si="71"/>
        <v>159.72000000000003</v>
      </c>
      <c r="M86" s="26">
        <f t="shared" si="71"/>
        <v>175.69200000000004</v>
      </c>
      <c r="N86" s="27">
        <f>SUM(A86:F86)</f>
        <v>343.88103999999998</v>
      </c>
      <c r="O86" s="8">
        <v>0</v>
      </c>
      <c r="P86" s="27">
        <f>N86</f>
        <v>343.88103999999998</v>
      </c>
      <c r="Q86" s="8">
        <v>0</v>
      </c>
      <c r="R86" s="8">
        <v>0</v>
      </c>
      <c r="S86" s="8">
        <v>0</v>
      </c>
    </row>
    <row r="87" spans="1:19" x14ac:dyDescent="0.35">
      <c r="A87" s="26">
        <f t="shared" ref="A87:C87" si="73">SUM(A83:A86)</f>
        <v>432.64577000000008</v>
      </c>
      <c r="B87" s="26">
        <f t="shared" si="73"/>
        <v>185.9171</v>
      </c>
      <c r="C87" s="26">
        <f t="shared" si="73"/>
        <v>185.9171</v>
      </c>
      <c r="D87" s="26">
        <f>SUM(D83:D86)</f>
        <v>43</v>
      </c>
      <c r="E87" s="26">
        <f t="shared" ref="E87:F87" si="74">SUM(E83:E86)</f>
        <v>65</v>
      </c>
      <c r="F87" s="212">
        <f t="shared" si="74"/>
        <v>370</v>
      </c>
      <c r="G87" s="8" t="s">
        <v>226</v>
      </c>
      <c r="H87" s="26">
        <f t="shared" ref="H87:N87" si="75">SUM(H83:H86)</f>
        <v>478</v>
      </c>
      <c r="I87" s="26">
        <f t="shared" si="75"/>
        <v>575.81517211999994</v>
      </c>
      <c r="J87" s="26">
        <f t="shared" si="75"/>
        <v>632.75375493199999</v>
      </c>
      <c r="K87" s="26">
        <f t="shared" si="75"/>
        <v>696.02913042520015</v>
      </c>
      <c r="L87" s="26">
        <f t="shared" si="75"/>
        <v>765.63204346772022</v>
      </c>
      <c r="M87" s="26">
        <f t="shared" si="75"/>
        <v>842.19524781449229</v>
      </c>
      <c r="N87" s="26">
        <f t="shared" si="75"/>
        <v>1282.4799699999999</v>
      </c>
      <c r="O87" s="8">
        <v>0</v>
      </c>
      <c r="P87" s="27">
        <f>N87</f>
        <v>1282.4799699999999</v>
      </c>
      <c r="Q87" s="8">
        <v>0</v>
      </c>
      <c r="R87" s="8">
        <v>0</v>
      </c>
      <c r="S87" s="8">
        <v>0</v>
      </c>
    </row>
    <row r="88" spans="1:19" x14ac:dyDescent="0.35">
      <c r="A88" s="33"/>
      <c r="C88" s="126" t="s">
        <v>323</v>
      </c>
      <c r="D88" s="126" t="s">
        <v>322</v>
      </c>
      <c r="E88" s="126" t="s">
        <v>324</v>
      </c>
      <c r="G88" s="26" t="s">
        <v>301</v>
      </c>
      <c r="H88" s="26">
        <v>3789</v>
      </c>
      <c r="I88" s="27">
        <f>I3</f>
        <v>4448.1255031056126</v>
      </c>
      <c r="J88" s="27">
        <f>J3</f>
        <v>5144.4138934161747</v>
      </c>
      <c r="K88" s="27">
        <f>K3</f>
        <v>6051.9291667577927</v>
      </c>
      <c r="L88" s="27">
        <f>L3</f>
        <v>7095.6845176735733</v>
      </c>
      <c r="M88" s="27">
        <f>M3</f>
        <v>8241.9250483609303</v>
      </c>
      <c r="N88" s="26">
        <v>3789</v>
      </c>
      <c r="O88" s="26">
        <v>690</v>
      </c>
      <c r="P88" s="26">
        <v>497</v>
      </c>
      <c r="Q88" s="26">
        <v>2463.31</v>
      </c>
      <c r="R88" s="26">
        <v>81</v>
      </c>
      <c r="S88" s="26">
        <v>57.305840599999975</v>
      </c>
    </row>
    <row r="89" spans="1:19" x14ac:dyDescent="0.35">
      <c r="C89" s="26" t="s">
        <v>38</v>
      </c>
      <c r="D89" s="26">
        <v>43</v>
      </c>
      <c r="E89" s="26"/>
      <c r="G89" s="26" t="s">
        <v>226</v>
      </c>
      <c r="H89" s="26">
        <f t="shared" ref="H89:S89" si="76">H87+H88</f>
        <v>4267</v>
      </c>
      <c r="I89" s="26">
        <f t="shared" si="76"/>
        <v>5023.9406752256127</v>
      </c>
      <c r="J89" s="26">
        <f t="shared" si="76"/>
        <v>5777.1676483481751</v>
      </c>
      <c r="K89" s="26">
        <f t="shared" si="76"/>
        <v>6747.9582971829932</v>
      </c>
      <c r="L89" s="26">
        <f t="shared" si="76"/>
        <v>7861.3165611412933</v>
      </c>
      <c r="M89" s="26">
        <f t="shared" si="76"/>
        <v>9084.1202961754225</v>
      </c>
      <c r="N89" s="26">
        <f t="shared" si="76"/>
        <v>5071.4799700000003</v>
      </c>
      <c r="O89" s="26">
        <f t="shared" si="76"/>
        <v>690</v>
      </c>
      <c r="P89" s="26">
        <f t="shared" si="76"/>
        <v>1779.4799699999999</v>
      </c>
      <c r="Q89" s="26">
        <f t="shared" si="76"/>
        <v>2463.31</v>
      </c>
      <c r="R89" s="26">
        <f t="shared" si="76"/>
        <v>81</v>
      </c>
      <c r="S89" s="26">
        <f t="shared" si="76"/>
        <v>57.305840599999975</v>
      </c>
    </row>
    <row r="90" spans="1:19" x14ac:dyDescent="0.35">
      <c r="C90" s="26"/>
      <c r="D90" s="26"/>
      <c r="E90" s="26"/>
      <c r="G90" s="208" t="s">
        <v>300</v>
      </c>
      <c r="H90" s="214" t="s">
        <v>250</v>
      </c>
      <c r="I90" s="214" t="s">
        <v>288</v>
      </c>
      <c r="J90" s="214" t="s">
        <v>289</v>
      </c>
      <c r="K90" s="214" t="s">
        <v>290</v>
      </c>
      <c r="L90" s="214" t="s">
        <v>291</v>
      </c>
      <c r="M90" s="214" t="s">
        <v>292</v>
      </c>
    </row>
    <row r="91" spans="1:19" x14ac:dyDescent="0.35">
      <c r="C91" s="26"/>
      <c r="D91" s="26"/>
      <c r="E91" s="26"/>
      <c r="G91" s="208" t="s">
        <v>300</v>
      </c>
      <c r="H91" s="55"/>
      <c r="I91" s="55">
        <v>0.22</v>
      </c>
      <c r="J91" s="55">
        <v>0.22</v>
      </c>
      <c r="K91" s="55">
        <v>0.22</v>
      </c>
      <c r="L91" s="55">
        <v>0.22</v>
      </c>
      <c r="M91" s="55">
        <v>0.22</v>
      </c>
    </row>
    <row r="92" spans="1:19" x14ac:dyDescent="0.35">
      <c r="C92" s="26" t="s">
        <v>251</v>
      </c>
      <c r="D92" s="26">
        <v>32</v>
      </c>
      <c r="E92" s="26"/>
    </row>
    <row r="93" spans="1:19" x14ac:dyDescent="0.35">
      <c r="C93" s="26" t="s">
        <v>318</v>
      </c>
      <c r="D93" s="26">
        <f>D89-D92</f>
        <v>11</v>
      </c>
      <c r="E93" s="55">
        <f>D93/D89</f>
        <v>0.2558139534883721</v>
      </c>
      <c r="G93" s="208" t="s">
        <v>39</v>
      </c>
      <c r="H93" s="208" t="s">
        <v>250</v>
      </c>
      <c r="I93" s="208" t="s">
        <v>288</v>
      </c>
      <c r="J93" s="208" t="s">
        <v>289</v>
      </c>
      <c r="K93" s="208" t="s">
        <v>290</v>
      </c>
      <c r="L93" s="208" t="s">
        <v>291</v>
      </c>
      <c r="M93" s="208" t="s">
        <v>292</v>
      </c>
      <c r="N93" s="208" t="s">
        <v>39</v>
      </c>
      <c r="O93" s="215" t="s">
        <v>65</v>
      </c>
      <c r="P93" s="215" t="s">
        <v>66</v>
      </c>
      <c r="Q93" s="215" t="s">
        <v>40</v>
      </c>
      <c r="R93" s="215" t="s">
        <v>255</v>
      </c>
      <c r="S93" s="215" t="s">
        <v>41</v>
      </c>
    </row>
    <row r="94" spans="1:19" x14ac:dyDescent="0.35">
      <c r="C94" s="26" t="s">
        <v>320</v>
      </c>
      <c r="D94" s="26">
        <f>D89*8%</f>
        <v>3.44</v>
      </c>
      <c r="E94" s="55">
        <f>D94/$D$89</f>
        <v>0.08</v>
      </c>
      <c r="G94" s="8" t="s">
        <v>285</v>
      </c>
      <c r="H94" s="149">
        <v>0.22</v>
      </c>
      <c r="I94" s="26">
        <f t="shared" ref="I94:M97" si="77">I83*I$91</f>
        <v>74.536000000000001</v>
      </c>
      <c r="J94" s="26">
        <f t="shared" si="77"/>
        <v>81.98960000000001</v>
      </c>
      <c r="K94" s="26">
        <f t="shared" si="77"/>
        <v>90.188560000000024</v>
      </c>
      <c r="L94" s="26">
        <f t="shared" si="77"/>
        <v>99.207416000000038</v>
      </c>
      <c r="M94" s="26">
        <f t="shared" si="77"/>
        <v>109.12815760000005</v>
      </c>
      <c r="N94" s="38">
        <f>H83*H94</f>
        <v>67.760000000000005</v>
      </c>
      <c r="O94" s="149" t="s">
        <v>307</v>
      </c>
      <c r="P94" s="149">
        <v>0.22</v>
      </c>
      <c r="Q94" s="149" t="s">
        <v>307</v>
      </c>
      <c r="R94" s="149" t="s">
        <v>307</v>
      </c>
      <c r="S94" s="149" t="s">
        <v>307</v>
      </c>
    </row>
    <row r="95" spans="1:19" x14ac:dyDescent="0.35">
      <c r="C95" s="26" t="s">
        <v>319</v>
      </c>
      <c r="D95" s="26">
        <v>3</v>
      </c>
      <c r="E95" s="55">
        <f>D95/$D$89</f>
        <v>6.9767441860465115E-2</v>
      </c>
      <c r="G95" s="8" t="s">
        <v>286</v>
      </c>
      <c r="H95" s="149">
        <v>0.22</v>
      </c>
      <c r="I95" s="26">
        <f t="shared" si="77"/>
        <v>9.9033378664000011</v>
      </c>
      <c r="J95" s="26">
        <f t="shared" si="77"/>
        <v>10.75222608504</v>
      </c>
      <c r="K95" s="26">
        <f t="shared" si="77"/>
        <v>11.827448693544001</v>
      </c>
      <c r="L95" s="26">
        <f t="shared" si="77"/>
        <v>13.010193562898403</v>
      </c>
      <c r="M95" s="26">
        <f t="shared" si="77"/>
        <v>14.311212919188245</v>
      </c>
      <c r="N95" s="38">
        <f>H84*H95</f>
        <v>2.2000000000000002</v>
      </c>
      <c r="O95" s="149" t="s">
        <v>307</v>
      </c>
      <c r="P95" s="149">
        <v>0.22</v>
      </c>
      <c r="Q95" s="149" t="s">
        <v>307</v>
      </c>
      <c r="R95" s="149" t="s">
        <v>307</v>
      </c>
      <c r="S95" s="149" t="s">
        <v>307</v>
      </c>
    </row>
    <row r="96" spans="1:19" x14ac:dyDescent="0.35">
      <c r="C96" s="26" t="s">
        <v>321</v>
      </c>
      <c r="D96" s="26">
        <f>D93-D95-D94</f>
        <v>4.5600000000000005</v>
      </c>
      <c r="E96" s="55">
        <f>D96/D89</f>
        <v>0.10604651162790699</v>
      </c>
      <c r="G96" s="8" t="s">
        <v>287</v>
      </c>
      <c r="H96" s="149">
        <v>0.22</v>
      </c>
      <c r="I96" s="26">
        <f t="shared" si="77"/>
        <v>15.84</v>
      </c>
      <c r="J96" s="26">
        <f t="shared" si="77"/>
        <v>17.423999999999999</v>
      </c>
      <c r="K96" s="26">
        <f t="shared" si="77"/>
        <v>19.166399999999999</v>
      </c>
      <c r="L96" s="26">
        <f t="shared" si="77"/>
        <v>21.08304</v>
      </c>
      <c r="M96" s="26">
        <f t="shared" si="77"/>
        <v>23.191344000000004</v>
      </c>
      <c r="N96" s="38">
        <f>H85*H96</f>
        <v>13.2</v>
      </c>
      <c r="O96" s="149" t="s">
        <v>307</v>
      </c>
      <c r="P96" s="149">
        <v>0.22</v>
      </c>
      <c r="Q96" s="149" t="s">
        <v>307</v>
      </c>
      <c r="R96" s="149" t="s">
        <v>307</v>
      </c>
      <c r="S96" s="149" t="s">
        <v>307</v>
      </c>
    </row>
    <row r="97" spans="1:19" ht="58" x14ac:dyDescent="0.35">
      <c r="F97" s="209" t="s">
        <v>306</v>
      </c>
      <c r="G97" s="117" t="s">
        <v>299</v>
      </c>
      <c r="H97" s="149">
        <v>0.22</v>
      </c>
      <c r="I97" s="26">
        <f t="shared" si="77"/>
        <v>26.4</v>
      </c>
      <c r="J97" s="26">
        <f t="shared" si="77"/>
        <v>29.04</v>
      </c>
      <c r="K97" s="26">
        <f t="shared" si="77"/>
        <v>31.944000000000003</v>
      </c>
      <c r="L97" s="26">
        <f t="shared" si="77"/>
        <v>35.138400000000004</v>
      </c>
      <c r="M97" s="26">
        <f t="shared" si="77"/>
        <v>38.652240000000006</v>
      </c>
      <c r="N97" s="38">
        <f>H86*H97</f>
        <v>22</v>
      </c>
      <c r="O97" s="149" t="s">
        <v>307</v>
      </c>
      <c r="P97" s="149">
        <v>0.22</v>
      </c>
      <c r="Q97" s="149" t="s">
        <v>307</v>
      </c>
      <c r="R97" s="149" t="s">
        <v>307</v>
      </c>
      <c r="S97" s="149" t="s">
        <v>307</v>
      </c>
    </row>
    <row r="98" spans="1:19" x14ac:dyDescent="0.35">
      <c r="G98" s="26" t="s">
        <v>301</v>
      </c>
      <c r="H98" s="149">
        <v>0.16</v>
      </c>
      <c r="I98" s="26">
        <f>SUM(I18:I22)</f>
        <v>711.76083161841836</v>
      </c>
      <c r="J98" s="26">
        <f>SUM(J18:J22)</f>
        <v>824.5889633562042</v>
      </c>
      <c r="K98" s="26">
        <f>SUM(K18:K22)</f>
        <v>963.38027208589847</v>
      </c>
      <c r="L98" s="26">
        <f>SUM(L18:L22)</f>
        <v>1131.5193222094467</v>
      </c>
      <c r="M98" s="26">
        <f>SUM(M18:M22)</f>
        <v>1324.6151782093289</v>
      </c>
      <c r="N98" s="38">
        <f>H88*H98</f>
        <v>606.24</v>
      </c>
      <c r="O98" s="55">
        <v>0.14900535417410757</v>
      </c>
      <c r="P98" s="55">
        <v>0.24454449667636358</v>
      </c>
      <c r="Q98" s="55">
        <v>0.14349999999999999</v>
      </c>
      <c r="R98" s="55">
        <v>0.27518683988751214</v>
      </c>
      <c r="S98" s="55">
        <v>0.1</v>
      </c>
    </row>
    <row r="99" spans="1:19" x14ac:dyDescent="0.35">
      <c r="G99" s="213" t="s">
        <v>280</v>
      </c>
      <c r="H99" s="149"/>
      <c r="I99" s="27">
        <f>I117</f>
        <v>720.99119131907901</v>
      </c>
      <c r="J99" s="27">
        <f>J117</f>
        <v>867.59031045098709</v>
      </c>
      <c r="K99" s="27">
        <f>K117</f>
        <v>1022.5274664960858</v>
      </c>
      <c r="L99" s="27">
        <f>L117</f>
        <v>1101.2459664960857</v>
      </c>
      <c r="M99" s="27">
        <f>M117</f>
        <v>1268.6234068956944</v>
      </c>
      <c r="N99" s="38">
        <f>'P&amp;L'!H6</f>
        <v>560.58415939999986</v>
      </c>
      <c r="O99" s="26"/>
      <c r="P99" s="26"/>
      <c r="Q99" s="26"/>
      <c r="R99" s="26"/>
      <c r="S99" s="26"/>
    </row>
    <row r="100" spans="1:19" ht="43.5" x14ac:dyDescent="0.35">
      <c r="G100" s="210" t="s">
        <v>304</v>
      </c>
      <c r="H100" s="149">
        <f>N100/H88</f>
        <v>0.30795042475587225</v>
      </c>
      <c r="I100" s="26">
        <f t="shared" ref="I100:N100" si="78">I98+I99</f>
        <v>1432.7520229374973</v>
      </c>
      <c r="J100" s="26">
        <f t="shared" si="78"/>
        <v>1692.1792738071913</v>
      </c>
      <c r="K100" s="26">
        <f t="shared" si="78"/>
        <v>1985.9077385819842</v>
      </c>
      <c r="L100" s="26">
        <f t="shared" si="78"/>
        <v>2232.7652887055324</v>
      </c>
      <c r="M100" s="26">
        <f t="shared" si="78"/>
        <v>2593.238585105023</v>
      </c>
      <c r="N100" s="26">
        <f t="shared" si="78"/>
        <v>1166.8241593999999</v>
      </c>
      <c r="O100" s="8"/>
      <c r="P100" s="8"/>
      <c r="Q100" s="8"/>
      <c r="R100" s="8"/>
      <c r="S100" s="8"/>
    </row>
    <row r="101" spans="1:19" x14ac:dyDescent="0.35">
      <c r="G101" s="26" t="s">
        <v>226</v>
      </c>
      <c r="H101" s="149">
        <f>N101/H89</f>
        <v>0.2980979984532458</v>
      </c>
      <c r="I101" s="27">
        <f t="shared" ref="I101:N101" si="79">SUM(I94:I99)</f>
        <v>1559.4313608038974</v>
      </c>
      <c r="J101" s="27">
        <f t="shared" si="79"/>
        <v>1831.3850998922312</v>
      </c>
      <c r="K101" s="27">
        <f t="shared" si="79"/>
        <v>2139.0341472755281</v>
      </c>
      <c r="L101" s="27">
        <f t="shared" si="79"/>
        <v>2401.2043382684305</v>
      </c>
      <c r="M101" s="27">
        <f t="shared" si="79"/>
        <v>2778.5215396242115</v>
      </c>
      <c r="N101" s="27">
        <f t="shared" si="79"/>
        <v>1271.9841594</v>
      </c>
      <c r="O101" s="38"/>
      <c r="P101" s="38"/>
      <c r="Q101" s="38"/>
      <c r="R101" s="38"/>
      <c r="S101" s="38"/>
    </row>
    <row r="102" spans="1:19" x14ac:dyDescent="0.35">
      <c r="H102" s="53" t="s">
        <v>302</v>
      </c>
      <c r="N102" s="53">
        <f>'P&amp;L'!H6</f>
        <v>560.58415939999986</v>
      </c>
    </row>
    <row r="103" spans="1:19" x14ac:dyDescent="0.35">
      <c r="H103" s="53" t="s">
        <v>303</v>
      </c>
      <c r="N103" s="53">
        <f>N101+N102</f>
        <v>1832.5683187999998</v>
      </c>
    </row>
    <row r="104" spans="1:19" x14ac:dyDescent="0.35">
      <c r="N104" s="211">
        <f>N103/H89</f>
        <v>0.42947464701195215</v>
      </c>
    </row>
    <row r="105" spans="1:19" x14ac:dyDescent="0.35">
      <c r="I105" s="25"/>
      <c r="J105" s="25"/>
      <c r="K105" s="25"/>
      <c r="L105" s="25"/>
      <c r="M105" s="25"/>
    </row>
    <row r="111" spans="1:19" x14ac:dyDescent="0.35">
      <c r="A111" s="8"/>
      <c r="B111" s="8"/>
      <c r="C111" s="26" t="s">
        <v>12</v>
      </c>
      <c r="D111" s="26" t="s">
        <v>11</v>
      </c>
      <c r="E111" s="26" t="s">
        <v>10</v>
      </c>
      <c r="F111" s="26" t="s">
        <v>9</v>
      </c>
      <c r="G111" s="26" t="s">
        <v>8</v>
      </c>
      <c r="H111" s="54" t="s">
        <v>0</v>
      </c>
      <c r="I111" s="39" t="s">
        <v>1</v>
      </c>
      <c r="J111" s="39" t="s">
        <v>2</v>
      </c>
      <c r="K111" s="39" t="s">
        <v>3</v>
      </c>
      <c r="L111" s="39" t="s">
        <v>4</v>
      </c>
      <c r="M111" s="39" t="s">
        <v>5</v>
      </c>
      <c r="N111" s="39" t="s">
        <v>6</v>
      </c>
      <c r="O111" s="39" t="s">
        <v>7</v>
      </c>
    </row>
    <row r="112" spans="1:19" x14ac:dyDescent="0.35">
      <c r="A112" s="8"/>
      <c r="B112" s="8" t="s">
        <v>334</v>
      </c>
      <c r="C112" s="26">
        <v>171</v>
      </c>
      <c r="D112" s="26">
        <v>155</v>
      </c>
      <c r="E112" s="26">
        <f>'P&amp;L_New Nilgiris'!E3</f>
        <v>128</v>
      </c>
      <c r="F112" s="26">
        <f>'P&amp;L_New Nilgiris'!F3</f>
        <v>111</v>
      </c>
      <c r="G112" s="26">
        <f>'P&amp;L_New Nilgiris'!G3</f>
        <v>99</v>
      </c>
      <c r="H112" s="54">
        <f>'P&amp;L_New Nilgiris'!H3</f>
        <v>83</v>
      </c>
      <c r="I112" s="39">
        <f>'P&amp;L_New Nilgiris'!I3</f>
        <v>88</v>
      </c>
      <c r="J112" s="39">
        <f>'P&amp;L_New Nilgiris'!J3</f>
        <v>98</v>
      </c>
      <c r="K112" s="39">
        <f>'P&amp;L_New Nilgiris'!K3</f>
        <v>110</v>
      </c>
      <c r="L112" s="39">
        <f>'P&amp;L_New Nilgiris'!L3</f>
        <v>122</v>
      </c>
      <c r="M112" s="39">
        <f>'P&amp;L_New Nilgiris'!M3</f>
        <v>134</v>
      </c>
      <c r="N112" s="39"/>
      <c r="O112" s="39"/>
    </row>
    <row r="113" spans="1:15" x14ac:dyDescent="0.35">
      <c r="A113" s="8"/>
      <c r="B113" s="8" t="s">
        <v>338</v>
      </c>
      <c r="C113" s="26"/>
      <c r="D113" s="26"/>
      <c r="E113" s="26"/>
      <c r="F113" s="26"/>
      <c r="G113" s="26"/>
      <c r="H113" s="54"/>
      <c r="I113" s="233">
        <f>'Bottomup Sales'!V5+('Bottomup Sales'!AI5*'Bottomup Sales'!AH5)</f>
        <v>54479.295305526321</v>
      </c>
      <c r="J113" s="233">
        <f>'Bottomup Sales'!V6+('Bottomup Sales'!AI6*'Bottomup Sales'!AH6)</f>
        <v>63007.22483607896</v>
      </c>
      <c r="K113" s="233">
        <f>'Bottomup Sales'!V7+('Bottomup Sales'!AI7*'Bottomup Sales'!AH7)</f>
        <v>74122.197319686864</v>
      </c>
      <c r="L113" s="233">
        <f>'Bottomup Sales'!V7+('Bottomup Sales'!AI8*'Bottomup Sales'!AH8)</f>
        <v>80419.67731968686</v>
      </c>
      <c r="M113" s="233">
        <f>'Bottomup Sales'!V8+('Bottomup Sales'!AI9*'Bottomup Sales'!AH9)</f>
        <v>93809.872551655557</v>
      </c>
      <c r="N113" s="39"/>
      <c r="O113" s="39"/>
    </row>
    <row r="114" spans="1:15" x14ac:dyDescent="0.35">
      <c r="A114" s="8"/>
      <c r="B114" s="3" t="s">
        <v>333</v>
      </c>
      <c r="C114" s="126">
        <v>1033.1504</v>
      </c>
      <c r="D114" s="126">
        <v>1108.9683790000001</v>
      </c>
      <c r="E114" s="126">
        <v>985.50273549999997</v>
      </c>
      <c r="F114" s="126">
        <v>736.27440879999995</v>
      </c>
      <c r="G114" s="126">
        <v>742.54401260000009</v>
      </c>
      <c r="H114" s="126">
        <v>560.58415939999986</v>
      </c>
      <c r="I114" s="126">
        <f>I113*1.25%</f>
        <v>680.99119131907901</v>
      </c>
      <c r="J114" s="126">
        <f>J113*1.25%</f>
        <v>787.59031045098709</v>
      </c>
      <c r="K114" s="126">
        <f t="shared" ref="K114:M114" si="80">K113*1.25%</f>
        <v>926.52746649608582</v>
      </c>
      <c r="L114" s="126">
        <f t="shared" si="80"/>
        <v>1005.2459664960858</v>
      </c>
      <c r="M114" s="126">
        <f t="shared" si="80"/>
        <v>1172.6234068956944</v>
      </c>
      <c r="N114" s="8"/>
      <c r="O114" s="8"/>
    </row>
    <row r="115" spans="1:15" x14ac:dyDescent="0.35">
      <c r="A115" s="8"/>
      <c r="B115" s="8" t="s">
        <v>339</v>
      </c>
      <c r="C115" s="126"/>
      <c r="D115" s="126"/>
      <c r="E115" s="126"/>
      <c r="F115" s="126"/>
      <c r="G115" s="126"/>
      <c r="H115" s="126"/>
      <c r="I115" s="126">
        <f>((I112-H112)*2000*400)/10^5</f>
        <v>40</v>
      </c>
      <c r="J115" s="126">
        <f t="shared" ref="J115:M115" si="81">((J112-I112)*2000*400)/10^5</f>
        <v>80</v>
      </c>
      <c r="K115" s="126">
        <f t="shared" si="81"/>
        <v>96</v>
      </c>
      <c r="L115" s="126">
        <f t="shared" si="81"/>
        <v>96</v>
      </c>
      <c r="M115" s="126">
        <f t="shared" si="81"/>
        <v>96</v>
      </c>
      <c r="N115" s="8"/>
      <c r="O115" s="8"/>
    </row>
    <row r="116" spans="1:15" x14ac:dyDescent="0.35">
      <c r="A116" s="8"/>
      <c r="B116" s="8"/>
      <c r="C116" s="26"/>
      <c r="D116" s="26"/>
      <c r="E116" s="26"/>
      <c r="F116" s="26"/>
      <c r="G116" s="26"/>
      <c r="H116" s="104"/>
      <c r="I116" s="26"/>
      <c r="J116" s="26"/>
      <c r="K116" s="26"/>
      <c r="L116" s="26"/>
      <c r="M116" s="26"/>
      <c r="N116" s="8"/>
      <c r="O116" s="8"/>
    </row>
    <row r="117" spans="1:15" x14ac:dyDescent="0.35">
      <c r="B117" s="151" t="s">
        <v>335</v>
      </c>
      <c r="C117" s="26"/>
      <c r="D117" s="26"/>
      <c r="E117" s="26"/>
      <c r="F117" s="26"/>
      <c r="G117" s="26"/>
      <c r="H117" s="26">
        <f>SUM(H114:H116)</f>
        <v>560.58415939999986</v>
      </c>
      <c r="I117" s="26">
        <f t="shared" ref="I117:M117" si="82">SUM(I114:I116)</f>
        <v>720.99119131907901</v>
      </c>
      <c r="J117" s="26">
        <f t="shared" si="82"/>
        <v>867.59031045098709</v>
      </c>
      <c r="K117" s="26">
        <f t="shared" si="82"/>
        <v>1022.5274664960858</v>
      </c>
      <c r="L117" s="26">
        <f t="shared" si="82"/>
        <v>1101.2459664960857</v>
      </c>
      <c r="M117" s="26">
        <f t="shared" si="82"/>
        <v>1268.6234068956944</v>
      </c>
      <c r="N117" s="8"/>
      <c r="O117" s="8"/>
    </row>
  </sheetData>
  <mergeCells count="1">
    <mergeCell ref="B56:M5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79"/>
  <sheetViews>
    <sheetView showGridLines="0" zoomScale="85" zoomScaleNormal="85" workbookViewId="0">
      <pane xSplit="2" ySplit="2" topLeftCell="E3" activePane="bottomRight" state="frozen"/>
      <selection activeCell="I79" sqref="I79:M79"/>
      <selection pane="topRight" activeCell="I79" sqref="I79:M79"/>
      <selection pane="bottomLeft" activeCell="I79" sqref="I79:M79"/>
      <selection pane="bottomRight" activeCell="M1" sqref="M1"/>
    </sheetView>
  </sheetViews>
  <sheetFormatPr defaultRowHeight="14.5" x14ac:dyDescent="0.35"/>
  <cols>
    <col min="1" max="1" width="12.7265625" bestFit="1" customWidth="1"/>
    <col min="2" max="2" width="16.7265625" bestFit="1" customWidth="1"/>
    <col min="3" max="3" width="12.26953125" style="53" customWidth="1"/>
    <col min="4" max="4" width="24.26953125" style="53" customWidth="1"/>
    <col min="5" max="5" width="12.1796875" style="53" customWidth="1"/>
    <col min="6" max="6" width="9.26953125" style="53" customWidth="1"/>
    <col min="7" max="7" width="11.1796875" style="53" customWidth="1"/>
    <col min="8" max="8" width="9.26953125" style="53" bestFit="1" customWidth="1"/>
    <col min="9" max="9" width="9.453125" customWidth="1"/>
    <col min="10" max="13" width="10.1796875" customWidth="1"/>
    <col min="14" max="14" width="11.26953125" customWidth="1"/>
    <col min="15" max="15" width="9.1796875" customWidth="1"/>
    <col min="16" max="16" width="10.26953125" customWidth="1"/>
    <col min="22" max="22" width="10.26953125" bestFit="1" customWidth="1"/>
  </cols>
  <sheetData>
    <row r="1" spans="1:19" ht="15" thickBot="1" x14ac:dyDescent="0.4">
      <c r="A1" s="31" t="s">
        <v>67</v>
      </c>
      <c r="I1" s="25"/>
      <c r="J1" s="33"/>
      <c r="N1" s="354" t="s">
        <v>393</v>
      </c>
      <c r="O1" s="354"/>
      <c r="P1" s="354"/>
      <c r="Q1" s="354"/>
      <c r="R1" s="354"/>
    </row>
    <row r="2" spans="1:19" ht="29" x14ac:dyDescent="0.35">
      <c r="A2" s="229"/>
      <c r="B2" s="236"/>
      <c r="C2" s="237" t="s">
        <v>12</v>
      </c>
      <c r="D2" s="237" t="s">
        <v>11</v>
      </c>
      <c r="E2" s="237" t="s">
        <v>10</v>
      </c>
      <c r="F2" s="237" t="s">
        <v>9</v>
      </c>
      <c r="G2" s="285" t="s">
        <v>8</v>
      </c>
      <c r="H2" s="244" t="s">
        <v>0</v>
      </c>
      <c r="I2" s="245" t="s">
        <v>1</v>
      </c>
      <c r="J2" s="245" t="s">
        <v>2</v>
      </c>
      <c r="K2" s="245" t="s">
        <v>3</v>
      </c>
      <c r="L2" s="245" t="s">
        <v>4</v>
      </c>
      <c r="M2" s="245" t="s">
        <v>5</v>
      </c>
      <c r="N2" s="245" t="s">
        <v>1</v>
      </c>
      <c r="O2" s="245" t="s">
        <v>2</v>
      </c>
      <c r="P2" s="245" t="s">
        <v>3</v>
      </c>
      <c r="Q2" s="245" t="s">
        <v>4</v>
      </c>
      <c r="R2" s="245" t="s">
        <v>5</v>
      </c>
      <c r="S2" s="246" t="s">
        <v>348</v>
      </c>
    </row>
    <row r="3" spans="1:19" x14ac:dyDescent="0.35">
      <c r="A3" s="247" t="s">
        <v>38</v>
      </c>
      <c r="B3" s="221" t="s">
        <v>262</v>
      </c>
      <c r="C3" s="239">
        <f>SUM(C4:C8)</f>
        <v>13079.390027098098</v>
      </c>
      <c r="D3" s="239">
        <f t="shared" ref="D3:M3" si="0">SUM(D4:D8)</f>
        <v>15586.663071440616</v>
      </c>
      <c r="E3" s="239">
        <f t="shared" si="0"/>
        <v>9625.2036685054245</v>
      </c>
      <c r="F3" s="239">
        <f t="shared" si="0"/>
        <v>3112.7450398767105</v>
      </c>
      <c r="G3" s="286">
        <f t="shared" si="0"/>
        <v>3895.6744976000004</v>
      </c>
      <c r="H3" s="239">
        <f t="shared" si="0"/>
        <v>3788.6158406</v>
      </c>
      <c r="I3" s="239">
        <f t="shared" si="0"/>
        <v>4448.1255031056126</v>
      </c>
      <c r="J3" s="239">
        <f t="shared" si="0"/>
        <v>5144.4138934161738</v>
      </c>
      <c r="K3" s="239">
        <f t="shared" si="0"/>
        <v>6051.9291667577927</v>
      </c>
      <c r="L3" s="239">
        <f t="shared" si="0"/>
        <v>7095.6845176735742</v>
      </c>
      <c r="M3" s="239">
        <f t="shared" si="0"/>
        <v>8241.9250483609321</v>
      </c>
      <c r="N3" s="242">
        <f t="shared" ref="N3:R7" si="1">I3/H3-1</f>
        <v>0.17407667872738619</v>
      </c>
      <c r="O3" s="242">
        <f t="shared" si="1"/>
        <v>0.15653523935518976</v>
      </c>
      <c r="P3" s="242">
        <f t="shared" si="1"/>
        <v>0.17640790421296737</v>
      </c>
      <c r="Q3" s="242">
        <f t="shared" si="1"/>
        <v>0.17246655110389431</v>
      </c>
      <c r="R3" s="242">
        <f t="shared" si="1"/>
        <v>0.16154051491894261</v>
      </c>
      <c r="S3" s="55">
        <f>(M3/H3)^(1/5)-1</f>
        <v>0.16817960038371305</v>
      </c>
    </row>
    <row r="4" spans="1:19" x14ac:dyDescent="0.35">
      <c r="A4" s="230"/>
      <c r="B4" s="8" t="s">
        <v>65</v>
      </c>
      <c r="C4" s="26">
        <f>'GM Buildup'!C4</f>
        <v>2587.5612005328057</v>
      </c>
      <c r="D4" s="26">
        <f>'GM Buildup'!D4</f>
        <v>2803.6935510692056</v>
      </c>
      <c r="E4" s="26">
        <f>'GM Buildup'!E4</f>
        <v>2201.7675597432758</v>
      </c>
      <c r="F4" s="26">
        <f>'GM Buildup'!F4</f>
        <v>708.24222190248327</v>
      </c>
      <c r="G4" s="26">
        <f>'GM Buildup'!G4</f>
        <v>712.01626890000398</v>
      </c>
      <c r="H4" s="26">
        <f>'GM Buildup'!H4</f>
        <v>690</v>
      </c>
      <c r="I4" s="26">
        <f>'GM Buildup'!I4</f>
        <v>753.06011500224611</v>
      </c>
      <c r="J4" s="26">
        <f>'GM Buildup'!J4</f>
        <v>810.83206189258351</v>
      </c>
      <c r="K4" s="26">
        <f>'GM Buildup'!K4</f>
        <v>876.02918943420764</v>
      </c>
      <c r="L4" s="26">
        <f>'GM Buildup'!L4</f>
        <v>1016.0835824452524</v>
      </c>
      <c r="M4" s="26">
        <f>'GM Buildup'!M4</f>
        <v>1218.8560945285517</v>
      </c>
      <c r="N4" s="55">
        <f t="shared" si="1"/>
        <v>9.1391471017747916E-2</v>
      </c>
      <c r="O4" s="55">
        <f t="shared" si="1"/>
        <v>7.6716248463331693E-2</v>
      </c>
      <c r="P4" s="55">
        <f t="shared" si="1"/>
        <v>8.0407683176027644E-2</v>
      </c>
      <c r="Q4" s="55">
        <f t="shared" si="1"/>
        <v>0.15987411686761299</v>
      </c>
      <c r="R4" s="55">
        <f t="shared" si="1"/>
        <v>0.19956282690378457</v>
      </c>
      <c r="S4" s="55">
        <f>(M4/H4)^(1/5)-1</f>
        <v>0.12052272431970801</v>
      </c>
    </row>
    <row r="5" spans="1:19" x14ac:dyDescent="0.35">
      <c r="A5" s="230"/>
      <c r="B5" s="8" t="s">
        <v>66</v>
      </c>
      <c r="C5" s="26">
        <f>'GM Buildup'!C5</f>
        <v>1748.377051548513</v>
      </c>
      <c r="D5" s="26">
        <f>'GM Buildup'!D5</f>
        <v>1888.6199930079986</v>
      </c>
      <c r="E5" s="26">
        <f>'GM Buildup'!E5</f>
        <v>1427.4799959178529</v>
      </c>
      <c r="F5" s="26">
        <f>'GM Buildup'!F5</f>
        <v>416.44450651540654</v>
      </c>
      <c r="G5" s="26">
        <f>'GM Buildup'!G5</f>
        <v>572.35651459998587</v>
      </c>
      <c r="H5" s="26">
        <f>'GM Buildup'!H5</f>
        <v>497</v>
      </c>
      <c r="I5" s="26">
        <f>'GM Buildup'!I5</f>
        <v>553.07662186801883</v>
      </c>
      <c r="J5" s="26">
        <f>'GM Buildup'!J5</f>
        <v>584.63484650709984</v>
      </c>
      <c r="K5" s="26">
        <f>'GM Buildup'!K5</f>
        <v>620.15206643513204</v>
      </c>
      <c r="L5" s="26">
        <f>'GM Buildup'!L5</f>
        <v>726.79837327411781</v>
      </c>
      <c r="M5" s="26">
        <f>'GM Buildup'!M5</f>
        <v>891.56473342229344</v>
      </c>
      <c r="N5" s="55">
        <f t="shared" si="1"/>
        <v>0.11283022508655693</v>
      </c>
      <c r="O5" s="55">
        <f t="shared" si="1"/>
        <v>5.7059408030107894E-2</v>
      </c>
      <c r="P5" s="55">
        <f t="shared" si="1"/>
        <v>6.0751116941163863E-2</v>
      </c>
      <c r="Q5" s="55">
        <f t="shared" si="1"/>
        <v>0.17196799399868001</v>
      </c>
      <c r="R5" s="55">
        <f t="shared" si="1"/>
        <v>0.22670160832354069</v>
      </c>
      <c r="S5" s="55">
        <f>(M5/H5)^(1/5)-1</f>
        <v>0.12398185047250165</v>
      </c>
    </row>
    <row r="6" spans="1:19" x14ac:dyDescent="0.35">
      <c r="A6" s="230"/>
      <c r="B6" s="8" t="s">
        <v>40</v>
      </c>
      <c r="C6" s="26">
        <f>'GM Buildup'!C6</f>
        <v>6603.2958696339774</v>
      </c>
      <c r="D6" s="26">
        <f>'GM Buildup'!D6</f>
        <v>8467.8860342634125</v>
      </c>
      <c r="E6" s="26">
        <f>'GM Buildup'!E6</f>
        <v>5324.0429912442951</v>
      </c>
      <c r="F6" s="26">
        <f>'GM Buildup'!F6</f>
        <v>1830.2354517215967</v>
      </c>
      <c r="G6" s="26">
        <f>'GM Buildup'!G6</f>
        <v>2500.99181090001</v>
      </c>
      <c r="H6" s="26">
        <f>'GM Buildup'!H6</f>
        <v>2463.31</v>
      </c>
      <c r="I6" s="26">
        <f>'GM Buildup'!I6</f>
        <v>2957.5518315937161</v>
      </c>
      <c r="J6" s="26">
        <f>'GM Buildup'!J6</f>
        <v>3581.7242962290684</v>
      </c>
      <c r="K6" s="26">
        <f>'GM Buildup'!K6</f>
        <v>4353.9715334479606</v>
      </c>
      <c r="L6" s="26">
        <f>'GM Buildup'!L6</f>
        <v>5100.3470025899587</v>
      </c>
      <c r="M6" s="26">
        <f>'GM Buildup'!M6</f>
        <v>5798.2236932933447</v>
      </c>
      <c r="N6" s="55">
        <f t="shared" si="1"/>
        <v>0.2006413450169553</v>
      </c>
      <c r="O6" s="55">
        <f t="shared" si="1"/>
        <v>0.21104362668058751</v>
      </c>
      <c r="P6" s="55">
        <f t="shared" si="1"/>
        <v>0.21560767198969888</v>
      </c>
      <c r="Q6" s="55">
        <f t="shared" si="1"/>
        <v>0.1714240581060793</v>
      </c>
      <c r="R6" s="55">
        <f t="shared" si="1"/>
        <v>0.13682925697977089</v>
      </c>
      <c r="S6" s="55">
        <f>(M6/H6)^(1/5)-1</f>
        <v>0.18673890266588034</v>
      </c>
    </row>
    <row r="7" spans="1:19" x14ac:dyDescent="0.35">
      <c r="A7" s="230"/>
      <c r="B7" s="8" t="s">
        <v>316</v>
      </c>
      <c r="C7" s="26">
        <f>'GM Buildup'!C7</f>
        <v>1924</v>
      </c>
      <c r="D7" s="26">
        <f>'GM Buildup'!D7</f>
        <v>2203</v>
      </c>
      <c r="E7" s="26">
        <f>'GM Buildup'!E7</f>
        <v>649</v>
      </c>
      <c r="F7" s="26">
        <f>'GM Buildup'!F7</f>
        <v>51.644399612736756</v>
      </c>
      <c r="G7" s="26">
        <f>'GM Buildup'!G7</f>
        <v>58.692670900000522</v>
      </c>
      <c r="H7" s="26">
        <f>'GM Buildup'!H7</f>
        <v>81</v>
      </c>
      <c r="I7" s="26">
        <f>'GM Buildup'!I7</f>
        <v>132.864938728521</v>
      </c>
      <c r="J7" s="26">
        <f>'GM Buildup'!J7</f>
        <v>167.22268878742213</v>
      </c>
      <c r="K7" s="26">
        <f>'GM Buildup'!K7</f>
        <v>201.77637744049181</v>
      </c>
      <c r="L7" s="26">
        <f>'GM Buildup'!L7</f>
        <v>252.45555936424532</v>
      </c>
      <c r="M7" s="26">
        <f>'GM Buildup'!M7</f>
        <v>333.28052711674087</v>
      </c>
      <c r="N7" s="55">
        <f t="shared" si="1"/>
        <v>0.64030788553729634</v>
      </c>
      <c r="O7" s="55">
        <f t="shared" si="1"/>
        <v>0.25859154708303667</v>
      </c>
      <c r="P7" s="55">
        <f t="shared" si="1"/>
        <v>0.2066327775472816</v>
      </c>
      <c r="Q7" s="55">
        <f t="shared" si="1"/>
        <v>0.25116508962353579</v>
      </c>
      <c r="R7" s="55">
        <f t="shared" si="1"/>
        <v>0.32015523031473636</v>
      </c>
      <c r="S7" s="55">
        <f>(M7/H7)^(1/5)-1</f>
        <v>0.32698185411349812</v>
      </c>
    </row>
    <row r="8" spans="1:19" x14ac:dyDescent="0.35">
      <c r="A8" s="230"/>
      <c r="B8" s="8" t="s">
        <v>41</v>
      </c>
      <c r="C8" s="26">
        <f>'GM Buildup'!C8</f>
        <v>216.15590538280063</v>
      </c>
      <c r="D8" s="26">
        <f>'GM Buildup'!D8</f>
        <v>223.46349309999931</v>
      </c>
      <c r="E8" s="26">
        <f>'GM Buildup'!E8</f>
        <v>22.913121600000014</v>
      </c>
      <c r="F8" s="26">
        <f>'GM Buildup'!F8</f>
        <v>106.17846012448712</v>
      </c>
      <c r="G8" s="26">
        <f>'GM Buildup'!G8</f>
        <v>51.617232299999984</v>
      </c>
      <c r="H8" s="26">
        <f>'GM Buildup'!H8</f>
        <v>57.305840599999975</v>
      </c>
      <c r="I8" s="26">
        <f>'GM Buildup'!I8</f>
        <v>51.571995913110264</v>
      </c>
      <c r="J8" s="26">
        <f>'GM Buildup'!J8</f>
        <v>0</v>
      </c>
      <c r="K8" s="26">
        <f>'GM Buildup'!K8</f>
        <v>0</v>
      </c>
      <c r="L8" s="26">
        <f>'GM Buildup'!L8</f>
        <v>0</v>
      </c>
      <c r="M8" s="26">
        <f>'GM Buildup'!M8</f>
        <v>0</v>
      </c>
      <c r="N8" s="55">
        <f>I8/H8-1</f>
        <v>-0.10005689868354728</v>
      </c>
      <c r="O8" s="55"/>
      <c r="P8" s="55"/>
      <c r="Q8" s="55"/>
      <c r="R8" s="55"/>
      <c r="S8" s="55"/>
    </row>
    <row r="9" spans="1:19" x14ac:dyDescent="0.35">
      <c r="A9" s="230"/>
      <c r="B9" s="8"/>
      <c r="C9" s="26"/>
      <c r="D9" s="26"/>
      <c r="E9" s="26"/>
      <c r="F9" s="26"/>
      <c r="G9" s="287"/>
      <c r="H9" s="104"/>
      <c r="I9" s="26"/>
      <c r="J9" s="26"/>
      <c r="K9" s="26"/>
      <c r="L9" s="26"/>
      <c r="M9" s="26"/>
      <c r="N9" s="55"/>
      <c r="O9" s="55"/>
      <c r="P9" s="55"/>
      <c r="Q9" s="55"/>
      <c r="R9" s="55"/>
      <c r="S9" s="55"/>
    </row>
    <row r="10" spans="1:19" x14ac:dyDescent="0.35">
      <c r="A10" s="230"/>
      <c r="B10" s="8"/>
      <c r="C10" s="26"/>
      <c r="D10" s="26"/>
      <c r="E10" s="26"/>
      <c r="F10" s="26"/>
      <c r="G10" s="287"/>
      <c r="H10" s="26"/>
      <c r="I10" s="8"/>
      <c r="J10" s="8"/>
      <c r="K10" s="8"/>
      <c r="L10" s="8"/>
      <c r="M10" s="8"/>
      <c r="N10" s="55"/>
      <c r="O10" s="55"/>
      <c r="P10" s="55"/>
      <c r="Q10" s="55"/>
      <c r="R10" s="55"/>
      <c r="S10" s="55"/>
    </row>
    <row r="11" spans="1:19" x14ac:dyDescent="0.35">
      <c r="A11" s="247" t="s">
        <v>38</v>
      </c>
      <c r="B11" s="221" t="s">
        <v>59</v>
      </c>
      <c r="C11" s="239">
        <f>SUM(C12:C16)</f>
        <v>2028.6698070652399</v>
      </c>
      <c r="D11" s="239">
        <f t="shared" ref="D11:M11" si="2">SUM(D12:D16)</f>
        <v>2927.576905038276</v>
      </c>
      <c r="E11" s="239">
        <f t="shared" si="2"/>
        <v>2499.6318027978941</v>
      </c>
      <c r="F11" s="239">
        <f t="shared" si="2"/>
        <v>979.21122799202715</v>
      </c>
      <c r="G11" s="286">
        <f t="shared" si="2"/>
        <v>1559.2193813000051</v>
      </c>
      <c r="H11" s="239">
        <f t="shared" si="2"/>
        <v>0</v>
      </c>
      <c r="I11" s="239">
        <f t="shared" si="2"/>
        <v>0</v>
      </c>
      <c r="J11" s="239">
        <f t="shared" si="2"/>
        <v>0</v>
      </c>
      <c r="K11" s="239">
        <f t="shared" si="2"/>
        <v>0</v>
      </c>
      <c r="L11" s="239">
        <f t="shared" si="2"/>
        <v>0</v>
      </c>
      <c r="M11" s="239">
        <f t="shared" si="2"/>
        <v>0</v>
      </c>
      <c r="N11" s="242"/>
      <c r="O11" s="242"/>
      <c r="P11" s="242"/>
      <c r="Q11" s="242"/>
      <c r="R11" s="242"/>
      <c r="S11" s="55"/>
    </row>
    <row r="12" spans="1:19" x14ac:dyDescent="0.35">
      <c r="A12" s="230"/>
      <c r="B12" s="8" t="s">
        <v>65</v>
      </c>
      <c r="C12" s="26">
        <f>'GM Buildup'!C25</f>
        <v>1095.5805734185001</v>
      </c>
      <c r="D12" s="26">
        <f>'GM Buildup'!D25</f>
        <v>1708.3539594429899</v>
      </c>
      <c r="E12" s="26">
        <f>'GM Buildup'!E25</f>
        <v>1279.5590043914599</v>
      </c>
      <c r="F12" s="26">
        <f>'GM Buildup'!F25</f>
        <v>402.06299061989313</v>
      </c>
      <c r="G12" s="26">
        <f>'GM Buildup'!G25</f>
        <v>411.81069140000199</v>
      </c>
      <c r="H12" s="26">
        <f>'GM Buildup'!H25</f>
        <v>0</v>
      </c>
      <c r="I12" s="26">
        <f>'GM Buildup'!I25</f>
        <v>0</v>
      </c>
      <c r="J12" s="26">
        <f>'GM Buildup'!J25</f>
        <v>0</v>
      </c>
      <c r="K12" s="26">
        <f>'GM Buildup'!K25</f>
        <v>0</v>
      </c>
      <c r="L12" s="26">
        <f>'GM Buildup'!L25</f>
        <v>0</v>
      </c>
      <c r="M12" s="8"/>
      <c r="N12" s="55"/>
      <c r="O12" s="55"/>
      <c r="P12" s="55"/>
      <c r="Q12" s="55"/>
      <c r="R12" s="55"/>
      <c r="S12" s="55"/>
    </row>
    <row r="13" spans="1:19" x14ac:dyDescent="0.35">
      <c r="A13" s="230"/>
      <c r="B13" s="8" t="s">
        <v>66</v>
      </c>
      <c r="C13" s="26">
        <f>'GM Buildup'!C26</f>
        <v>613.84337178940461</v>
      </c>
      <c r="D13" s="26">
        <f>'GM Buildup'!D26</f>
        <v>736.22323020170143</v>
      </c>
      <c r="E13" s="26">
        <f>'GM Buildup'!E26</f>
        <v>506.97353228923743</v>
      </c>
      <c r="F13" s="26">
        <f>'GM Buildup'!F26</f>
        <v>283.77894321163672</v>
      </c>
      <c r="G13" s="26">
        <f>'GM Buildup'!G26</f>
        <v>437.52473940000192</v>
      </c>
      <c r="H13" s="26">
        <f>'GM Buildup'!H26</f>
        <v>0</v>
      </c>
      <c r="I13" s="26">
        <f>'GM Buildup'!I26</f>
        <v>0</v>
      </c>
      <c r="J13" s="26">
        <f>'GM Buildup'!J26</f>
        <v>0</v>
      </c>
      <c r="K13" s="26">
        <f>'GM Buildup'!K26</f>
        <v>0</v>
      </c>
      <c r="L13" s="26">
        <f>'GM Buildup'!L26</f>
        <v>0</v>
      </c>
      <c r="M13" s="8"/>
      <c r="N13" s="55"/>
      <c r="O13" s="55"/>
      <c r="P13" s="55"/>
      <c r="Q13" s="55"/>
      <c r="R13" s="55"/>
      <c r="S13" s="55"/>
    </row>
    <row r="14" spans="1:19" x14ac:dyDescent="0.35">
      <c r="A14" s="230"/>
      <c r="B14" s="8" t="s">
        <v>40</v>
      </c>
      <c r="C14" s="26">
        <f>'GM Buildup'!C27</f>
        <v>265.33711673054825</v>
      </c>
      <c r="D14" s="26">
        <f>'GM Buildup'!D27</f>
        <v>268.46536411266027</v>
      </c>
      <c r="E14" s="26">
        <f>'GM Buildup'!E27</f>
        <v>132.33876267890525</v>
      </c>
      <c r="F14" s="26">
        <f>'GM Buildup'!F27</f>
        <v>33.865827258780847</v>
      </c>
      <c r="G14" s="26">
        <f>'GM Buildup'!G27</f>
        <v>412.30513440000107</v>
      </c>
      <c r="H14" s="26">
        <f>'GM Buildup'!H27</f>
        <v>0</v>
      </c>
      <c r="I14" s="26">
        <f>'GM Buildup'!I27</f>
        <v>0</v>
      </c>
      <c r="J14" s="26">
        <f>'GM Buildup'!J27</f>
        <v>0</v>
      </c>
      <c r="K14" s="26">
        <f>'GM Buildup'!K27</f>
        <v>0</v>
      </c>
      <c r="L14" s="26">
        <f>'GM Buildup'!L27</f>
        <v>0</v>
      </c>
      <c r="M14" s="8"/>
      <c r="N14" s="55"/>
      <c r="O14" s="55"/>
      <c r="P14" s="55"/>
      <c r="Q14" s="55"/>
      <c r="R14" s="55"/>
      <c r="S14" s="55"/>
    </row>
    <row r="15" spans="1:19" x14ac:dyDescent="0.35">
      <c r="A15" s="230"/>
      <c r="B15" s="8" t="s">
        <v>317</v>
      </c>
      <c r="C15" s="26">
        <f>'GM Buildup'!C28</f>
        <v>21</v>
      </c>
      <c r="D15" s="26">
        <f>'GM Buildup'!D28</f>
        <v>117.01555148801222</v>
      </c>
      <c r="E15" s="26">
        <f>'GM Buildup'!E28</f>
        <v>544.6663214298012</v>
      </c>
      <c r="F15" s="26">
        <f>'GM Buildup'!F28</f>
        <v>162.84258861193089</v>
      </c>
      <c r="G15" s="26">
        <f>'GM Buildup'!G28</f>
        <v>285.35022330000049</v>
      </c>
      <c r="H15" s="26">
        <f>'GM Buildup'!H28</f>
        <v>0</v>
      </c>
      <c r="I15" s="26">
        <f>'GM Buildup'!I28</f>
        <v>0</v>
      </c>
      <c r="J15" s="26">
        <f>'GM Buildup'!J28</f>
        <v>0</v>
      </c>
      <c r="K15" s="26">
        <f>'GM Buildup'!K28</f>
        <v>0</v>
      </c>
      <c r="L15" s="26">
        <f>'GM Buildup'!L28</f>
        <v>0</v>
      </c>
      <c r="M15" s="8"/>
      <c r="N15" s="55"/>
      <c r="O15" s="55"/>
      <c r="P15" s="55"/>
      <c r="Q15" s="55"/>
      <c r="R15" s="55"/>
      <c r="S15" s="55"/>
    </row>
    <row r="16" spans="1:19" x14ac:dyDescent="0.35">
      <c r="A16" s="230"/>
      <c r="B16" s="8" t="s">
        <v>41</v>
      </c>
      <c r="C16" s="26">
        <f>'GM Buildup'!C29</f>
        <v>32.908745126787188</v>
      </c>
      <c r="D16" s="26">
        <f>'GM Buildup'!D29</f>
        <v>97.518799792912304</v>
      </c>
      <c r="E16" s="26">
        <f>'GM Buildup'!E29</f>
        <v>36.094182008489781</v>
      </c>
      <c r="F16" s="26">
        <f>'GM Buildup'!F29</f>
        <v>96.660878289785629</v>
      </c>
      <c r="G16" s="26">
        <f>'GM Buildup'!G29</f>
        <v>12.228592799999989</v>
      </c>
      <c r="H16" s="26">
        <f>'GM Buildup'!H29</f>
        <v>0</v>
      </c>
      <c r="I16" s="26">
        <f>'GM Buildup'!I29</f>
        <v>0</v>
      </c>
      <c r="J16" s="26">
        <f>'GM Buildup'!J29</f>
        <v>0</v>
      </c>
      <c r="K16" s="26">
        <f>'GM Buildup'!K29</f>
        <v>0</v>
      </c>
      <c r="L16" s="26">
        <f>'GM Buildup'!L29</f>
        <v>0</v>
      </c>
      <c r="M16" s="8"/>
      <c r="N16" s="55"/>
      <c r="O16" s="55"/>
      <c r="P16" s="55"/>
      <c r="Q16" s="55"/>
      <c r="R16" s="55"/>
      <c r="S16" s="55"/>
    </row>
    <row r="17" spans="1:19" x14ac:dyDescent="0.35">
      <c r="A17" s="230"/>
      <c r="B17" s="8"/>
      <c r="C17" s="26"/>
      <c r="D17" s="26"/>
      <c r="E17" s="26"/>
      <c r="F17" s="26"/>
      <c r="G17" s="287"/>
      <c r="H17" s="2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35">
      <c r="A18" s="247" t="s">
        <v>38</v>
      </c>
      <c r="B18" s="221" t="s">
        <v>236</v>
      </c>
      <c r="C18" s="240">
        <f>SUM(C19:C23)</f>
        <v>6933.5508841066594</v>
      </c>
      <c r="D18" s="240">
        <f t="shared" ref="D18:M18" si="3">SUM(D19:D23)</f>
        <v>4910.1151635558535</v>
      </c>
      <c r="E18" s="240">
        <f t="shared" si="3"/>
        <v>4752.7137738113042</v>
      </c>
      <c r="F18" s="240">
        <f t="shared" si="3"/>
        <v>1453.6537321310216</v>
      </c>
      <c r="G18" s="288">
        <f t="shared" si="3"/>
        <v>266.77635600000002</v>
      </c>
      <c r="H18" s="240">
        <f>SUM(O44:O47)</f>
        <v>1282.4799699999999</v>
      </c>
      <c r="I18" s="240">
        <f t="shared" si="3"/>
        <v>575.81517211999994</v>
      </c>
      <c r="J18" s="240">
        <f t="shared" si="3"/>
        <v>632.75375493199999</v>
      </c>
      <c r="K18" s="240">
        <f t="shared" si="3"/>
        <v>696.02913042520015</v>
      </c>
      <c r="L18" s="240">
        <f t="shared" si="3"/>
        <v>765.63204346772022</v>
      </c>
      <c r="M18" s="240">
        <f t="shared" si="3"/>
        <v>842.19524781449229</v>
      </c>
      <c r="N18" s="243">
        <f t="shared" ref="N18" si="4">I18/H18-1</f>
        <v>-0.55101429605953223</v>
      </c>
      <c r="O18" s="243">
        <f t="shared" ref="O18" si="5">J18/I18-1</f>
        <v>9.8883436159501015E-2</v>
      </c>
      <c r="P18" s="243">
        <f t="shared" ref="P18" si="6">K18/J18-1</f>
        <v>0.10000000000000031</v>
      </c>
      <c r="Q18" s="243">
        <f t="shared" ref="Q18" si="7">L18/K18-1</f>
        <v>0.10000000000000009</v>
      </c>
      <c r="R18" s="243">
        <f t="shared" ref="R18" si="8">M18/L18-1</f>
        <v>0.10000000000000009</v>
      </c>
      <c r="S18" s="55">
        <f t="shared" ref="S18:S23" si="9">(M18/H18)^(1/5)-1</f>
        <v>-8.0667869039484752E-2</v>
      </c>
    </row>
    <row r="19" spans="1:19" x14ac:dyDescent="0.35">
      <c r="A19" s="230"/>
      <c r="B19" s="8" t="s">
        <v>65</v>
      </c>
      <c r="C19" s="26">
        <f>'GM Buildup'!C45</f>
        <v>5197.1022570014929</v>
      </c>
      <c r="D19" s="26">
        <f>'GM Buildup'!D45</f>
        <v>3550.7161138938445</v>
      </c>
      <c r="E19" s="26">
        <f>'GM Buildup'!E45</f>
        <v>3770.0292502410452</v>
      </c>
      <c r="F19" s="26">
        <f>'GM Buildup'!F45</f>
        <v>347.92536457358563</v>
      </c>
      <c r="G19" s="26">
        <f>'GM Buildup'!G45</f>
        <v>123.08734669999998</v>
      </c>
      <c r="H19" s="26">
        <f>'GM Buildup'!H45</f>
        <v>34.824386599999997</v>
      </c>
      <c r="I19" s="26">
        <f>'GM Buildup'!I45</f>
        <v>0</v>
      </c>
      <c r="J19" s="26">
        <f>'GM Buildup'!J45</f>
        <v>0</v>
      </c>
      <c r="K19" s="26">
        <f>'GM Buildup'!K45</f>
        <v>0</v>
      </c>
      <c r="L19" s="26">
        <f>'GM Buildup'!L45</f>
        <v>0</v>
      </c>
      <c r="M19" s="26">
        <f>'GM Buildup'!M45</f>
        <v>0</v>
      </c>
      <c r="N19" s="55"/>
      <c r="O19" s="55"/>
      <c r="P19" s="55"/>
      <c r="Q19" s="55"/>
      <c r="R19" s="55"/>
      <c r="S19" s="55">
        <f t="shared" si="9"/>
        <v>-1</v>
      </c>
    </row>
    <row r="20" spans="1:19" x14ac:dyDescent="0.35">
      <c r="A20" s="230"/>
      <c r="B20" s="8" t="s">
        <v>66</v>
      </c>
      <c r="C20" s="26">
        <f>'GM Buildup'!C46</f>
        <v>1485.9150522039049</v>
      </c>
      <c r="D20" s="26">
        <f>'GM Buildup'!D46</f>
        <v>1172.4628890086244</v>
      </c>
      <c r="E20" s="26">
        <f>'GM Buildup'!E46</f>
        <v>948.12043357025891</v>
      </c>
      <c r="F20" s="26">
        <f>'GM Buildup'!F46</f>
        <v>159.86494769243834</v>
      </c>
      <c r="G20" s="26">
        <f>'GM Buildup'!G46</f>
        <v>43.582753599999982</v>
      </c>
      <c r="H20" s="26">
        <f>'GM Buildup'!H46</f>
        <v>149.2327257</v>
      </c>
      <c r="I20" s="26">
        <f>'GM Buildup'!I46</f>
        <v>575.81517211999994</v>
      </c>
      <c r="J20" s="26">
        <f>'GM Buildup'!J46</f>
        <v>632.75375493199999</v>
      </c>
      <c r="K20" s="26">
        <f>'GM Buildup'!K46</f>
        <v>696.02913042520015</v>
      </c>
      <c r="L20" s="26">
        <f>'GM Buildup'!L46</f>
        <v>765.63204346772022</v>
      </c>
      <c r="M20" s="26">
        <f>'GM Buildup'!M46</f>
        <v>842.19524781449229</v>
      </c>
      <c r="N20" s="55">
        <f t="shared" ref="N20" si="10">I20/H20-1</f>
        <v>2.8585046907040441</v>
      </c>
      <c r="O20" s="55">
        <f t="shared" ref="O20" si="11">J20/I20-1</f>
        <v>9.8883436159501015E-2</v>
      </c>
      <c r="P20" s="55">
        <f t="shared" ref="P20" si="12">K20/J20-1</f>
        <v>0.10000000000000031</v>
      </c>
      <c r="Q20" s="55">
        <f t="shared" ref="Q20" si="13">L20/K20-1</f>
        <v>0.10000000000000009</v>
      </c>
      <c r="R20" s="55">
        <f t="shared" ref="R20" si="14">M20/L20-1</f>
        <v>0.10000000000000009</v>
      </c>
      <c r="S20" s="55">
        <f t="shared" ref="S20" si="15">(M20/H20)^(1/5)-1</f>
        <v>0.4135453394458648</v>
      </c>
    </row>
    <row r="21" spans="1:19" x14ac:dyDescent="0.35">
      <c r="A21" s="230"/>
      <c r="B21" s="8" t="s">
        <v>40</v>
      </c>
      <c r="C21" s="26">
        <f>'GM Buildup'!C47</f>
        <v>108.9248602645778</v>
      </c>
      <c r="D21" s="26">
        <f>'GM Buildup'!D47</f>
        <v>135.7633479106658</v>
      </c>
      <c r="E21" s="26">
        <f>'GM Buildup'!E47</f>
        <v>9.5640899999999984</v>
      </c>
      <c r="F21" s="26">
        <f>'GM Buildup'!F47</f>
        <v>78.489078435890875</v>
      </c>
      <c r="G21" s="26">
        <f>'GM Buildup'!G47</f>
        <v>12.264065700000003</v>
      </c>
      <c r="H21" s="26">
        <f>'GM Buildup'!H47</f>
        <v>50.272377100000035</v>
      </c>
      <c r="I21" s="26">
        <f>'GM Buildup'!I47</f>
        <v>0</v>
      </c>
      <c r="J21" s="26">
        <f>'GM Buildup'!J47</f>
        <v>0</v>
      </c>
      <c r="K21" s="26">
        <f>'GM Buildup'!K47</f>
        <v>0</v>
      </c>
      <c r="L21" s="26">
        <f>'GM Buildup'!L47</f>
        <v>0</v>
      </c>
      <c r="M21" s="26">
        <f>'GM Buildup'!M47</f>
        <v>0</v>
      </c>
      <c r="N21" s="55"/>
      <c r="O21" s="55"/>
      <c r="P21" s="55"/>
      <c r="Q21" s="55"/>
      <c r="R21" s="55"/>
      <c r="S21" s="55">
        <f t="shared" si="9"/>
        <v>-1</v>
      </c>
    </row>
    <row r="22" spans="1:19" x14ac:dyDescent="0.35">
      <c r="A22" s="230"/>
      <c r="B22" s="8" t="s">
        <v>317</v>
      </c>
      <c r="C22" s="26">
        <f>'GM Buildup'!C48</f>
        <v>35.508979956106749</v>
      </c>
      <c r="D22" s="26">
        <f>'GM Buildup'!D48</f>
        <v>38.730492586290097</v>
      </c>
      <c r="E22" s="26">
        <f>'GM Buildup'!E48</f>
        <v>25</v>
      </c>
      <c r="F22" s="26">
        <f>'GM Buildup'!F48</f>
        <v>13.094784281862173</v>
      </c>
      <c r="G22" s="26">
        <f>'GM Buildup'!G48</f>
        <v>1.7223504999999999</v>
      </c>
      <c r="H22" s="26">
        <f>'GM Buildup'!H48</f>
        <v>0.78189580000000036</v>
      </c>
      <c r="I22" s="26">
        <f>'GM Buildup'!I48</f>
        <v>0</v>
      </c>
      <c r="J22" s="26">
        <f>'GM Buildup'!J48</f>
        <v>0</v>
      </c>
      <c r="K22" s="26">
        <f>'GM Buildup'!K48</f>
        <v>0</v>
      </c>
      <c r="L22" s="26">
        <f>'GM Buildup'!L48</f>
        <v>0</v>
      </c>
      <c r="M22" s="26">
        <f>'GM Buildup'!M48</f>
        <v>0</v>
      </c>
      <c r="N22" s="55"/>
      <c r="O22" s="55"/>
      <c r="P22" s="55"/>
      <c r="Q22" s="55"/>
      <c r="R22" s="55"/>
      <c r="S22" s="55">
        <f t="shared" si="9"/>
        <v>-1</v>
      </c>
    </row>
    <row r="23" spans="1:19" x14ac:dyDescent="0.35">
      <c r="A23" s="230"/>
      <c r="B23" s="8" t="s">
        <v>41</v>
      </c>
      <c r="C23" s="26">
        <f>'GM Buildup'!C49</f>
        <v>106.09973468057815</v>
      </c>
      <c r="D23" s="26">
        <f>'GM Buildup'!D49</f>
        <v>12.442320156428336</v>
      </c>
      <c r="E23" s="26">
        <f>'GM Buildup'!E49</f>
        <v>0</v>
      </c>
      <c r="F23" s="26">
        <f>'GM Buildup'!F49</f>
        <v>854.27955714724442</v>
      </c>
      <c r="G23" s="26">
        <f>'GM Buildup'!G49</f>
        <v>86.119839500000026</v>
      </c>
      <c r="H23" s="26">
        <f>'GM Buildup'!H49</f>
        <v>202.69018610000029</v>
      </c>
      <c r="I23" s="26">
        <f>'GM Buildup'!I49</f>
        <v>0</v>
      </c>
      <c r="J23" s="26">
        <f>'GM Buildup'!J49</f>
        <v>0</v>
      </c>
      <c r="K23" s="26">
        <f>'GM Buildup'!K49</f>
        <v>0</v>
      </c>
      <c r="L23" s="26">
        <f>'GM Buildup'!L49</f>
        <v>0</v>
      </c>
      <c r="M23" s="26">
        <f>'GM Buildup'!M49</f>
        <v>0</v>
      </c>
      <c r="N23" s="55"/>
      <c r="O23" s="55"/>
      <c r="P23" s="55"/>
      <c r="Q23" s="55"/>
      <c r="R23" s="55"/>
      <c r="S23" s="55">
        <f t="shared" si="9"/>
        <v>-1</v>
      </c>
    </row>
    <row r="24" spans="1:19" x14ac:dyDescent="0.35">
      <c r="A24" s="230"/>
      <c r="B24" s="8"/>
      <c r="C24" s="26"/>
      <c r="D24" s="26"/>
      <c r="E24" s="26"/>
      <c r="F24" s="26"/>
      <c r="G24" s="287"/>
      <c r="H24" s="26"/>
      <c r="I24" s="8"/>
      <c r="J24" s="8"/>
      <c r="K24" s="8"/>
      <c r="L24" s="8"/>
      <c r="M24" s="8"/>
      <c r="N24" s="55"/>
      <c r="O24" s="55"/>
      <c r="P24" s="55"/>
      <c r="Q24" s="55"/>
      <c r="R24" s="55"/>
      <c r="S24" s="55"/>
    </row>
    <row r="25" spans="1:19" x14ac:dyDescent="0.35">
      <c r="A25" s="247" t="s">
        <v>38</v>
      </c>
      <c r="B25" s="221" t="s">
        <v>415</v>
      </c>
      <c r="C25" s="241">
        <f t="shared" ref="C25:G25" si="16">SUM(C26:C30)</f>
        <v>22041.610718269996</v>
      </c>
      <c r="D25" s="241">
        <f t="shared" si="16"/>
        <v>23424.355140034746</v>
      </c>
      <c r="E25" s="241">
        <f t="shared" si="16"/>
        <v>16877.549245114624</v>
      </c>
      <c r="F25" s="241">
        <f t="shared" si="16"/>
        <v>5545.6099999997596</v>
      </c>
      <c r="G25" s="241">
        <f t="shared" si="16"/>
        <v>5721.6702349000061</v>
      </c>
      <c r="H25" s="241">
        <f>SUM(H26:H30)</f>
        <v>4226.4174118999999</v>
      </c>
      <c r="I25" s="241">
        <f t="shared" ref="I25:M25" si="17">SUM(I26:I30)</f>
        <v>5023.9406752256127</v>
      </c>
      <c r="J25" s="241">
        <f t="shared" si="17"/>
        <v>5777.1676483481733</v>
      </c>
      <c r="K25" s="241">
        <f t="shared" si="17"/>
        <v>6747.9582971829923</v>
      </c>
      <c r="L25" s="241">
        <f t="shared" si="17"/>
        <v>7861.3165611412951</v>
      </c>
      <c r="M25" s="241">
        <f t="shared" si="17"/>
        <v>9084.1202961754243</v>
      </c>
      <c r="N25" s="243">
        <f t="shared" ref="N25:R29" si="18">I25/H25-1</f>
        <v>0.18869959722390117</v>
      </c>
      <c r="O25" s="243">
        <f t="shared" si="18"/>
        <v>0.14992752140504417</v>
      </c>
      <c r="P25" s="243">
        <f t="shared" si="18"/>
        <v>0.16803920327851141</v>
      </c>
      <c r="Q25" s="243">
        <f t="shared" si="18"/>
        <v>0.16499187086308553</v>
      </c>
      <c r="R25" s="243">
        <f t="shared" si="18"/>
        <v>0.15554693994622748</v>
      </c>
      <c r="S25" s="55">
        <f>(M25/H25)^(1/5)-1</f>
        <v>0.16536534187155794</v>
      </c>
    </row>
    <row r="26" spans="1:19" x14ac:dyDescent="0.35">
      <c r="A26" s="230"/>
      <c r="B26" s="8" t="s">
        <v>65</v>
      </c>
      <c r="C26" s="26">
        <f>C4+C12+C19</f>
        <v>8880.2440309527992</v>
      </c>
      <c r="D26" s="26">
        <f t="shared" ref="D26:M26" si="19">D4+D12+D19</f>
        <v>8062.7636244060395</v>
      </c>
      <c r="E26" s="26">
        <f t="shared" si="19"/>
        <v>7251.3558143757809</v>
      </c>
      <c r="F26" s="26">
        <f t="shared" si="19"/>
        <v>1458.230577095962</v>
      </c>
      <c r="G26" s="26">
        <f t="shared" si="19"/>
        <v>1246.9143070000059</v>
      </c>
      <c r="H26" s="26">
        <f t="shared" si="19"/>
        <v>724.82438660000003</v>
      </c>
      <c r="I26" s="26">
        <f t="shared" si="19"/>
        <v>753.06011500224611</v>
      </c>
      <c r="J26" s="26">
        <f t="shared" si="19"/>
        <v>810.83206189258351</v>
      </c>
      <c r="K26" s="26">
        <f t="shared" si="19"/>
        <v>876.02918943420764</v>
      </c>
      <c r="L26" s="26">
        <f t="shared" si="19"/>
        <v>1016.0835824452524</v>
      </c>
      <c r="M26" s="26">
        <f t="shared" si="19"/>
        <v>1218.8560945285517</v>
      </c>
      <c r="N26" s="55">
        <f t="shared" si="18"/>
        <v>3.8955268233584084E-2</v>
      </c>
      <c r="O26" s="55">
        <f t="shared" si="18"/>
        <v>7.6716248463331693E-2</v>
      </c>
      <c r="P26" s="55">
        <f t="shared" si="18"/>
        <v>8.0407683176027644E-2</v>
      </c>
      <c r="Q26" s="55">
        <f t="shared" si="18"/>
        <v>0.15987411686761299</v>
      </c>
      <c r="R26" s="55">
        <f t="shared" si="18"/>
        <v>0.19956282690378457</v>
      </c>
      <c r="S26" s="55">
        <f>(M26/H26)^(1/5)-1</f>
        <v>0.10954246212255203</v>
      </c>
    </row>
    <row r="27" spans="1:19" x14ac:dyDescent="0.35">
      <c r="A27" s="230"/>
      <c r="B27" s="8" t="s">
        <v>66</v>
      </c>
      <c r="C27" s="26">
        <f t="shared" ref="C27:M27" si="20">C5+C13+C20</f>
        <v>3848.1354755418224</v>
      </c>
      <c r="D27" s="26">
        <f t="shared" si="20"/>
        <v>3797.3061122183244</v>
      </c>
      <c r="E27" s="26">
        <f t="shared" si="20"/>
        <v>2882.5739617773493</v>
      </c>
      <c r="F27" s="26">
        <f t="shared" si="20"/>
        <v>860.08839741948168</v>
      </c>
      <c r="G27" s="26">
        <f t="shared" si="20"/>
        <v>1053.4640075999878</v>
      </c>
      <c r="H27" s="26">
        <f t="shared" si="20"/>
        <v>646.23272569999995</v>
      </c>
      <c r="I27" s="26">
        <f t="shared" si="20"/>
        <v>1128.8917939880189</v>
      </c>
      <c r="J27" s="26">
        <f t="shared" si="20"/>
        <v>1217.3886014390998</v>
      </c>
      <c r="K27" s="26">
        <f t="shared" si="20"/>
        <v>1316.1811968603322</v>
      </c>
      <c r="L27" s="26">
        <f t="shared" si="20"/>
        <v>1492.4304167418381</v>
      </c>
      <c r="M27" s="26">
        <f t="shared" si="20"/>
        <v>1733.7599812367857</v>
      </c>
      <c r="N27" s="55">
        <f t="shared" si="18"/>
        <v>0.74688119170257461</v>
      </c>
      <c r="O27" s="55">
        <f t="shared" si="18"/>
        <v>7.8392639509274442E-2</v>
      </c>
      <c r="P27" s="55">
        <f t="shared" si="18"/>
        <v>8.1151240700338079E-2</v>
      </c>
      <c r="Q27" s="55">
        <f t="shared" si="18"/>
        <v>0.13390954095221641</v>
      </c>
      <c r="R27" s="55">
        <f t="shared" si="18"/>
        <v>0.16170238946335602</v>
      </c>
      <c r="S27" s="55">
        <f>(M27/H27)^(1/5)-1</f>
        <v>0.21820395577611618</v>
      </c>
    </row>
    <row r="28" spans="1:19" x14ac:dyDescent="0.35">
      <c r="A28" s="230"/>
      <c r="B28" s="8" t="s">
        <v>40</v>
      </c>
      <c r="C28" s="26">
        <f t="shared" ref="C28:M28" si="21">C6+C14+C21</f>
        <v>6977.5578466291036</v>
      </c>
      <c r="D28" s="26">
        <f t="shared" si="21"/>
        <v>8872.1147462867393</v>
      </c>
      <c r="E28" s="26">
        <f t="shared" si="21"/>
        <v>5465.9458439232003</v>
      </c>
      <c r="F28" s="26">
        <f t="shared" si="21"/>
        <v>1942.5903574162685</v>
      </c>
      <c r="G28" s="26">
        <f t="shared" si="21"/>
        <v>2925.5610110000111</v>
      </c>
      <c r="H28" s="26">
        <f t="shared" si="21"/>
        <v>2513.5823771</v>
      </c>
      <c r="I28" s="26">
        <f t="shared" si="21"/>
        <v>2957.5518315937161</v>
      </c>
      <c r="J28" s="26">
        <f t="shared" si="21"/>
        <v>3581.7242962290684</v>
      </c>
      <c r="K28" s="26">
        <f t="shared" si="21"/>
        <v>4353.9715334479606</v>
      </c>
      <c r="L28" s="26">
        <f t="shared" si="21"/>
        <v>5100.3470025899587</v>
      </c>
      <c r="M28" s="26">
        <f t="shared" si="21"/>
        <v>5798.2236932933447</v>
      </c>
      <c r="N28" s="55">
        <f t="shared" si="18"/>
        <v>0.1766281696349008</v>
      </c>
      <c r="O28" s="55">
        <f t="shared" si="18"/>
        <v>0.21104362668058751</v>
      </c>
      <c r="P28" s="55">
        <f t="shared" si="18"/>
        <v>0.21560767198969888</v>
      </c>
      <c r="Q28" s="55">
        <f t="shared" si="18"/>
        <v>0.1714240581060793</v>
      </c>
      <c r="R28" s="55">
        <f t="shared" si="18"/>
        <v>0.13682925697977089</v>
      </c>
      <c r="S28" s="55">
        <f>(M28/H28)^(1/5)-1</f>
        <v>0.18195343921236051</v>
      </c>
    </row>
    <row r="29" spans="1:19" x14ac:dyDescent="0.35">
      <c r="A29" s="230"/>
      <c r="B29" s="8" t="s">
        <v>316</v>
      </c>
      <c r="C29" s="26">
        <f t="shared" ref="C29:M29" si="22">C7+C15+C22</f>
        <v>1980.5089799561067</v>
      </c>
      <c r="D29" s="26">
        <f t="shared" si="22"/>
        <v>2358.7460440743021</v>
      </c>
      <c r="E29" s="26">
        <f t="shared" si="22"/>
        <v>1218.6663214298012</v>
      </c>
      <c r="F29" s="26">
        <f t="shared" si="22"/>
        <v>227.5817725065298</v>
      </c>
      <c r="G29" s="26">
        <f t="shared" si="22"/>
        <v>345.76524470000101</v>
      </c>
      <c r="H29" s="26">
        <f t="shared" si="22"/>
        <v>81.781895800000001</v>
      </c>
      <c r="I29" s="26">
        <f t="shared" si="22"/>
        <v>132.864938728521</v>
      </c>
      <c r="J29" s="26">
        <f t="shared" si="22"/>
        <v>167.22268878742213</v>
      </c>
      <c r="K29" s="26">
        <f t="shared" si="22"/>
        <v>201.77637744049181</v>
      </c>
      <c r="L29" s="26">
        <f t="shared" si="22"/>
        <v>252.45555936424532</v>
      </c>
      <c r="M29" s="26">
        <f t="shared" si="22"/>
        <v>333.28052711674087</v>
      </c>
      <c r="N29" s="55">
        <f t="shared" si="18"/>
        <v>0.62462532115232516</v>
      </c>
      <c r="O29" s="55">
        <f t="shared" si="18"/>
        <v>0.25859154708303667</v>
      </c>
      <c r="P29" s="55">
        <f t="shared" si="18"/>
        <v>0.2066327775472816</v>
      </c>
      <c r="Q29" s="55">
        <f t="shared" si="18"/>
        <v>0.25116508962353579</v>
      </c>
      <c r="R29" s="55">
        <f t="shared" si="18"/>
        <v>0.32015523031473636</v>
      </c>
      <c r="S29" s="55">
        <f>(M29/H29)^(1/5)-1</f>
        <v>0.32443470749180414</v>
      </c>
    </row>
    <row r="30" spans="1:19" ht="15" hidden="1" thickBot="1" x14ac:dyDescent="0.4">
      <c r="A30" s="231"/>
      <c r="B30" s="232"/>
      <c r="C30" s="26">
        <f t="shared" ref="C30:M30" si="23">C8+C16+C23</f>
        <v>355.16438519016594</v>
      </c>
      <c r="D30" s="26">
        <f t="shared" si="23"/>
        <v>333.42461304933994</v>
      </c>
      <c r="E30" s="26">
        <f t="shared" si="23"/>
        <v>59.007303608489792</v>
      </c>
      <c r="F30" s="26">
        <f t="shared" si="23"/>
        <v>1057.1188955615171</v>
      </c>
      <c r="G30" s="26">
        <f t="shared" si="23"/>
        <v>149.9656646</v>
      </c>
      <c r="H30" s="26">
        <f t="shared" si="23"/>
        <v>259.99602670000024</v>
      </c>
      <c r="I30" s="26">
        <f t="shared" si="23"/>
        <v>51.571995913110264</v>
      </c>
      <c r="J30" s="26">
        <f t="shared" si="23"/>
        <v>0</v>
      </c>
      <c r="K30" s="26">
        <f t="shared" si="23"/>
        <v>0</v>
      </c>
      <c r="L30" s="26">
        <f t="shared" si="23"/>
        <v>0</v>
      </c>
      <c r="M30" s="26">
        <f t="shared" si="23"/>
        <v>0</v>
      </c>
      <c r="N30" s="248"/>
      <c r="O30" s="248"/>
      <c r="P30" s="248"/>
      <c r="Q30" s="248"/>
      <c r="R30" s="55"/>
      <c r="S30" s="55"/>
    </row>
    <row r="31" spans="1:19" hidden="1" x14ac:dyDescent="0.35">
      <c r="A31" s="234"/>
      <c r="B31" s="234"/>
      <c r="C31" s="26">
        <f t="shared" ref="C31:M31" si="24">C9+C17+C24</f>
        <v>0</v>
      </c>
      <c r="D31" s="26">
        <f t="shared" si="24"/>
        <v>0</v>
      </c>
      <c r="E31" s="26">
        <f t="shared" si="24"/>
        <v>0</v>
      </c>
      <c r="F31" s="26">
        <f t="shared" si="24"/>
        <v>0</v>
      </c>
      <c r="G31" s="26">
        <f t="shared" si="24"/>
        <v>0</v>
      </c>
      <c r="H31" s="26">
        <f t="shared" si="24"/>
        <v>0</v>
      </c>
      <c r="I31" s="26">
        <f t="shared" si="24"/>
        <v>0</v>
      </c>
      <c r="J31" s="26">
        <f t="shared" si="24"/>
        <v>0</v>
      </c>
      <c r="K31" s="26">
        <f t="shared" si="24"/>
        <v>0</v>
      </c>
      <c r="L31" s="26">
        <f t="shared" si="24"/>
        <v>0</v>
      </c>
      <c r="M31" s="26">
        <f t="shared" si="24"/>
        <v>0</v>
      </c>
      <c r="N31" s="234" t="s">
        <v>6</v>
      </c>
      <c r="O31" s="234" t="s">
        <v>7</v>
      </c>
    </row>
    <row r="32" spans="1:19" hidden="1" x14ac:dyDescent="0.35">
      <c r="A32" s="26" t="s">
        <v>38</v>
      </c>
      <c r="B32" s="26" t="s">
        <v>64</v>
      </c>
      <c r="C32" s="26">
        <f t="shared" ref="C32:M32" si="25">C10+C18+C25</f>
        <v>28975.161602376655</v>
      </c>
      <c r="D32" s="26">
        <f t="shared" si="25"/>
        <v>28334.470303590599</v>
      </c>
      <c r="E32" s="26">
        <f t="shared" si="25"/>
        <v>21630.263018925929</v>
      </c>
      <c r="F32" s="26">
        <f t="shared" si="25"/>
        <v>6999.2637321307811</v>
      </c>
      <c r="G32" s="26">
        <f t="shared" si="25"/>
        <v>5988.4465909000064</v>
      </c>
      <c r="H32" s="26">
        <f t="shared" si="25"/>
        <v>5508.8973819000003</v>
      </c>
      <c r="I32" s="26">
        <f t="shared" si="25"/>
        <v>5599.7558473456129</v>
      </c>
      <c r="J32" s="26">
        <f t="shared" si="25"/>
        <v>6409.9214032801738</v>
      </c>
      <c r="K32" s="26">
        <f t="shared" si="25"/>
        <v>7443.9874276081928</v>
      </c>
      <c r="L32" s="26">
        <f t="shared" si="25"/>
        <v>8626.9486046090151</v>
      </c>
      <c r="M32" s="26">
        <f t="shared" si="25"/>
        <v>9926.3155439899165</v>
      </c>
      <c r="N32" s="26"/>
      <c r="O32" s="26"/>
    </row>
    <row r="33" spans="1:20" hidden="1" x14ac:dyDescent="0.35">
      <c r="A33" s="26" t="s">
        <v>38</v>
      </c>
      <c r="B33" s="26" t="s">
        <v>59</v>
      </c>
      <c r="C33" s="26">
        <f t="shared" ref="C33:M33" si="26">C11+C19+C26</f>
        <v>16106.016095019531</v>
      </c>
      <c r="D33" s="26">
        <f t="shared" si="26"/>
        <v>14541.056643338161</v>
      </c>
      <c r="E33" s="26">
        <f t="shared" si="26"/>
        <v>13521.016867414721</v>
      </c>
      <c r="F33" s="26">
        <f t="shared" si="26"/>
        <v>2785.3671696615747</v>
      </c>
      <c r="G33" s="26">
        <f t="shared" si="26"/>
        <v>2929.2210350000109</v>
      </c>
      <c r="H33" s="26">
        <f t="shared" si="26"/>
        <v>759.64877320000005</v>
      </c>
      <c r="I33" s="26">
        <f t="shared" si="26"/>
        <v>753.06011500224611</v>
      </c>
      <c r="J33" s="26">
        <f t="shared" si="26"/>
        <v>810.83206189258351</v>
      </c>
      <c r="K33" s="26">
        <f t="shared" si="26"/>
        <v>876.02918943420764</v>
      </c>
      <c r="L33" s="26">
        <f t="shared" si="26"/>
        <v>1016.0835824452524</v>
      </c>
      <c r="M33" s="26">
        <f t="shared" si="26"/>
        <v>1218.8560945285517</v>
      </c>
      <c r="N33" s="26"/>
      <c r="O33" s="26"/>
    </row>
    <row r="34" spans="1:20" hidden="1" x14ac:dyDescent="0.35">
      <c r="A34" s="26" t="s">
        <v>38</v>
      </c>
      <c r="B34" s="26" t="s">
        <v>236</v>
      </c>
      <c r="C34" s="26">
        <f t="shared" ref="C34:M34" si="27">C12+C20+C27</f>
        <v>6429.6311011642274</v>
      </c>
      <c r="D34" s="26">
        <f t="shared" si="27"/>
        <v>6678.1229606699389</v>
      </c>
      <c r="E34" s="26">
        <f t="shared" si="27"/>
        <v>5110.2533997390674</v>
      </c>
      <c r="F34" s="26">
        <f t="shared" si="27"/>
        <v>1422.0163357318131</v>
      </c>
      <c r="G34" s="26">
        <f t="shared" si="27"/>
        <v>1508.8574525999898</v>
      </c>
      <c r="H34" s="26">
        <f t="shared" si="27"/>
        <v>795.46545139999989</v>
      </c>
      <c r="I34" s="26">
        <f t="shared" si="27"/>
        <v>1704.7069661080188</v>
      </c>
      <c r="J34" s="26">
        <f t="shared" si="27"/>
        <v>1850.1423563710998</v>
      </c>
      <c r="K34" s="26">
        <f t="shared" si="27"/>
        <v>2012.2103272855325</v>
      </c>
      <c r="L34" s="26">
        <f t="shared" si="27"/>
        <v>2258.0624602095586</v>
      </c>
      <c r="M34" s="26">
        <f t="shared" si="27"/>
        <v>2575.9552290512779</v>
      </c>
      <c r="N34" s="26"/>
      <c r="O34" s="26"/>
    </row>
    <row r="35" spans="1:20" hidden="1" x14ac:dyDescent="0.35">
      <c r="C35" s="26">
        <f t="shared" ref="C35:M35" si="28">C13+C21+C28</f>
        <v>7700.3260786830861</v>
      </c>
      <c r="D35" s="26">
        <f t="shared" si="28"/>
        <v>9744.1013243991074</v>
      </c>
      <c r="E35" s="26">
        <f t="shared" si="28"/>
        <v>5982.4834662124376</v>
      </c>
      <c r="F35" s="26">
        <f t="shared" si="28"/>
        <v>2304.8583790637958</v>
      </c>
      <c r="G35" s="26">
        <f t="shared" si="28"/>
        <v>3375.349816100013</v>
      </c>
      <c r="H35" s="26">
        <f t="shared" si="28"/>
        <v>2563.8547542000001</v>
      </c>
      <c r="I35" s="26">
        <f t="shared" si="28"/>
        <v>2957.5518315937161</v>
      </c>
      <c r="J35" s="26">
        <f t="shared" si="28"/>
        <v>3581.7242962290684</v>
      </c>
      <c r="K35" s="26">
        <f t="shared" si="28"/>
        <v>4353.9715334479606</v>
      </c>
      <c r="L35" s="26">
        <f t="shared" si="28"/>
        <v>5100.3470025899587</v>
      </c>
      <c r="M35" s="26">
        <f t="shared" si="28"/>
        <v>5798.2236932933447</v>
      </c>
    </row>
    <row r="36" spans="1:20" hidden="1" x14ac:dyDescent="0.35">
      <c r="C36" s="26">
        <f t="shared" ref="C36:M36" si="29">C14+C22+C29</f>
        <v>2281.3550766427616</v>
      </c>
      <c r="D36" s="26">
        <f t="shared" si="29"/>
        <v>2665.9419007732522</v>
      </c>
      <c r="E36" s="26">
        <f t="shared" si="29"/>
        <v>1376.0050841087063</v>
      </c>
      <c r="F36" s="26">
        <f t="shared" si="29"/>
        <v>274.54238404717285</v>
      </c>
      <c r="G36" s="26">
        <f t="shared" si="29"/>
        <v>759.79272960000208</v>
      </c>
      <c r="H36" s="26">
        <f t="shared" si="29"/>
        <v>82.563791600000002</v>
      </c>
      <c r="I36" s="26">
        <f t="shared" si="29"/>
        <v>132.864938728521</v>
      </c>
      <c r="J36" s="26">
        <f t="shared" si="29"/>
        <v>167.22268878742213</v>
      </c>
      <c r="K36" s="26">
        <f t="shared" si="29"/>
        <v>201.77637744049181</v>
      </c>
      <c r="L36" s="26">
        <f t="shared" si="29"/>
        <v>252.45555936424532</v>
      </c>
      <c r="M36" s="26">
        <f t="shared" si="29"/>
        <v>333.28052711674087</v>
      </c>
    </row>
    <row r="37" spans="1:20" hidden="1" x14ac:dyDescent="0.35">
      <c r="B37" t="s">
        <v>235</v>
      </c>
      <c r="C37" s="26">
        <f t="shared" ref="C37:M37" si="30">C15+C23+C30</f>
        <v>482.26411987074408</v>
      </c>
      <c r="D37" s="26">
        <f t="shared" si="30"/>
        <v>462.8824846937805</v>
      </c>
      <c r="E37" s="26">
        <f t="shared" si="30"/>
        <v>603.67362503829099</v>
      </c>
      <c r="F37" s="26">
        <f t="shared" si="30"/>
        <v>2074.2410413206926</v>
      </c>
      <c r="G37" s="26">
        <f t="shared" si="30"/>
        <v>521.43572740000047</v>
      </c>
      <c r="H37" s="26">
        <f t="shared" si="30"/>
        <v>462.68621280000053</v>
      </c>
      <c r="I37" s="26">
        <f t="shared" si="30"/>
        <v>51.571995913110264</v>
      </c>
      <c r="J37" s="26">
        <f t="shared" si="30"/>
        <v>0</v>
      </c>
      <c r="K37" s="26">
        <f t="shared" si="30"/>
        <v>0</v>
      </c>
      <c r="L37" s="26">
        <f t="shared" si="30"/>
        <v>0</v>
      </c>
      <c r="M37" s="26">
        <f t="shared" si="30"/>
        <v>0</v>
      </c>
    </row>
    <row r="38" spans="1:20" hidden="1" x14ac:dyDescent="0.35">
      <c r="C38" s="26">
        <f t="shared" ref="C38:M38" si="31">C16+C24+C31</f>
        <v>32.908745126787188</v>
      </c>
      <c r="D38" s="26">
        <f t="shared" si="31"/>
        <v>97.518799792912304</v>
      </c>
      <c r="E38" s="26">
        <f t="shared" si="31"/>
        <v>36.094182008489781</v>
      </c>
      <c r="F38" s="26">
        <f t="shared" si="31"/>
        <v>96.660878289785629</v>
      </c>
      <c r="G38" s="26">
        <f t="shared" si="31"/>
        <v>12.228592799999989</v>
      </c>
      <c r="H38" s="26">
        <f t="shared" si="31"/>
        <v>0</v>
      </c>
      <c r="I38" s="26">
        <f t="shared" si="31"/>
        <v>0</v>
      </c>
      <c r="J38" s="26">
        <f t="shared" si="31"/>
        <v>0</v>
      </c>
      <c r="K38" s="26">
        <f t="shared" si="31"/>
        <v>0</v>
      </c>
      <c r="L38" s="26">
        <f t="shared" si="31"/>
        <v>0</v>
      </c>
      <c r="M38" s="26">
        <f t="shared" si="31"/>
        <v>0</v>
      </c>
    </row>
    <row r="40" spans="1:20" x14ac:dyDescent="0.35">
      <c r="J40" s="25"/>
      <c r="K40" s="25"/>
      <c r="L40" s="25"/>
      <c r="M40" s="25"/>
      <c r="N40" s="25"/>
    </row>
    <row r="41" spans="1:20" ht="18.5" x14ac:dyDescent="0.45">
      <c r="I41" s="90" t="s">
        <v>284</v>
      </c>
    </row>
    <row r="42" spans="1:20" ht="43.5" x14ac:dyDescent="0.35">
      <c r="I42" s="209" t="s">
        <v>325</v>
      </c>
      <c r="J42" s="150">
        <f>(J44-O44)/O44</f>
        <v>0.50403759714252905</v>
      </c>
      <c r="K42" s="150">
        <f>(K44-J44)/J44</f>
        <v>0.14049141774743315</v>
      </c>
      <c r="L42" s="150">
        <f t="shared" ref="L42:N42" si="32">(L44-K44)/K44</f>
        <v>0.10000000000000034</v>
      </c>
      <c r="M42" s="150">
        <f t="shared" si="32"/>
        <v>0.1</v>
      </c>
      <c r="N42" s="150">
        <f t="shared" si="32"/>
        <v>0.10000000000000006</v>
      </c>
    </row>
    <row r="43" spans="1:20" ht="29" x14ac:dyDescent="0.35">
      <c r="A43" s="26" t="s">
        <v>293</v>
      </c>
      <c r="B43" s="26" t="s">
        <v>294</v>
      </c>
      <c r="C43" s="26" t="s">
        <v>295</v>
      </c>
      <c r="D43" s="26" t="s">
        <v>298</v>
      </c>
      <c r="E43" s="26" t="s">
        <v>296</v>
      </c>
      <c r="F43" s="210" t="s">
        <v>297</v>
      </c>
      <c r="H43" s="208" t="s">
        <v>242</v>
      </c>
      <c r="I43" s="208" t="s">
        <v>250</v>
      </c>
      <c r="J43" s="208" t="s">
        <v>288</v>
      </c>
      <c r="K43" s="208" t="s">
        <v>289</v>
      </c>
      <c r="L43" s="208" t="s">
        <v>290</v>
      </c>
      <c r="M43" s="208" t="s">
        <v>291</v>
      </c>
      <c r="N43" s="208" t="s">
        <v>292</v>
      </c>
      <c r="O43" s="215" t="s">
        <v>305</v>
      </c>
      <c r="P43" s="215" t="s">
        <v>65</v>
      </c>
      <c r="Q43" s="215" t="s">
        <v>66</v>
      </c>
      <c r="R43" s="215" t="s">
        <v>40</v>
      </c>
      <c r="S43" s="215" t="s">
        <v>255</v>
      </c>
      <c r="T43" s="215" t="s">
        <v>41</v>
      </c>
    </row>
    <row r="44" spans="1:20" x14ac:dyDescent="0.35">
      <c r="A44" s="26">
        <v>216.38610000000006</v>
      </c>
      <c r="B44" s="26">
        <v>91.879469999999998</v>
      </c>
      <c r="C44" s="26">
        <f>B44</f>
        <v>91.879469999999998</v>
      </c>
      <c r="D44" s="26">
        <f>43</f>
        <v>43</v>
      </c>
      <c r="E44" s="26">
        <v>65</v>
      </c>
      <c r="F44" s="26">
        <v>200</v>
      </c>
      <c r="H44" s="8" t="s">
        <v>285</v>
      </c>
      <c r="I44" s="26">
        <f>SUM(D44:F44)</f>
        <v>308</v>
      </c>
      <c r="J44" s="26">
        <v>1065.0767643900001</v>
      </c>
      <c r="K44" s="26">
        <v>1214.710909029</v>
      </c>
      <c r="L44" s="26">
        <v>1336.1819999319005</v>
      </c>
      <c r="M44" s="26">
        <v>1469.8001999250905</v>
      </c>
      <c r="N44" s="26">
        <v>1616.7802199175997</v>
      </c>
      <c r="O44" s="27">
        <f>SUM(A44:F44)</f>
        <v>708.14503999999999</v>
      </c>
      <c r="P44" s="8">
        <v>0</v>
      </c>
      <c r="Q44" s="27">
        <f>O44</f>
        <v>708.14503999999999</v>
      </c>
      <c r="R44" s="8">
        <v>0</v>
      </c>
      <c r="S44" s="8">
        <v>0</v>
      </c>
      <c r="T44" s="8">
        <v>0</v>
      </c>
    </row>
    <row r="45" spans="1:20" x14ac:dyDescent="0.35">
      <c r="A45" s="26">
        <v>10.8682</v>
      </c>
      <c r="B45" s="26">
        <v>3.6967599999999998</v>
      </c>
      <c r="C45" s="26">
        <f t="shared" ref="C45:C47" si="33">B45</f>
        <v>3.6967599999999998</v>
      </c>
      <c r="D45" s="26"/>
      <c r="E45" s="26"/>
      <c r="F45" s="26">
        <v>10</v>
      </c>
      <c r="H45" s="8" t="s">
        <v>286</v>
      </c>
      <c r="I45" s="26">
        <f>SUM(D45:F45)</f>
        <v>10</v>
      </c>
      <c r="J45" s="26">
        <v>45.015172120000003</v>
      </c>
      <c r="K45" s="26">
        <v>48.873754931999997</v>
      </c>
      <c r="L45" s="26">
        <v>53.761130425200008</v>
      </c>
      <c r="M45" s="26">
        <v>59.137243467720012</v>
      </c>
      <c r="N45" s="26">
        <v>65.050967814492026</v>
      </c>
      <c r="O45" s="27">
        <f>SUM(A45:F45)</f>
        <v>28.26172</v>
      </c>
      <c r="P45" s="8">
        <v>0</v>
      </c>
      <c r="Q45" s="27">
        <f t="shared" ref="Q45:Q48" si="34">O45</f>
        <v>28.26172</v>
      </c>
      <c r="R45" s="8">
        <v>0</v>
      </c>
      <c r="S45" s="8">
        <v>0</v>
      </c>
      <c r="T45" s="8">
        <v>0</v>
      </c>
    </row>
    <row r="46" spans="1:20" x14ac:dyDescent="0.35">
      <c r="A46" s="26">
        <v>84.771029999999996</v>
      </c>
      <c r="B46" s="26">
        <v>28.710570000000001</v>
      </c>
      <c r="C46" s="26">
        <f t="shared" si="33"/>
        <v>28.710570000000001</v>
      </c>
      <c r="D46" s="26"/>
      <c r="E46" s="26"/>
      <c r="F46" s="26">
        <v>60</v>
      </c>
      <c r="H46" s="8" t="s">
        <v>287</v>
      </c>
      <c r="I46" s="26">
        <f>SUM(D46:F46)</f>
        <v>60</v>
      </c>
      <c r="J46" s="26">
        <v>349.97056508999998</v>
      </c>
      <c r="K46" s="26">
        <v>379.573832799</v>
      </c>
      <c r="L46" s="26">
        <v>417.53121607890006</v>
      </c>
      <c r="M46" s="26">
        <v>459.28433768679008</v>
      </c>
      <c r="N46" s="26">
        <v>505.21277145546918</v>
      </c>
      <c r="O46" s="27">
        <f>SUM(A46:F46)</f>
        <v>202.19217</v>
      </c>
      <c r="P46" s="8">
        <v>0</v>
      </c>
      <c r="Q46" s="27">
        <f t="shared" si="34"/>
        <v>202.19217</v>
      </c>
      <c r="R46" s="8">
        <v>0</v>
      </c>
      <c r="S46" s="8">
        <v>0</v>
      </c>
      <c r="T46" s="8">
        <v>0</v>
      </c>
    </row>
    <row r="47" spans="1:20" ht="43.5" x14ac:dyDescent="0.35">
      <c r="A47" s="26">
        <v>120.62044</v>
      </c>
      <c r="B47" s="26">
        <v>61.630299999999998</v>
      </c>
      <c r="C47" s="26">
        <f t="shared" si="33"/>
        <v>61.630299999999998</v>
      </c>
      <c r="D47" s="26"/>
      <c r="E47" s="26"/>
      <c r="F47" s="26">
        <v>100</v>
      </c>
      <c r="H47" s="117" t="s">
        <v>299</v>
      </c>
      <c r="I47" s="26">
        <f>SUM(D47:F47)</f>
        <v>100</v>
      </c>
      <c r="J47" s="26">
        <f>'GM Buildup'!I86</f>
        <v>120</v>
      </c>
      <c r="K47" s="26">
        <f>'GM Buildup'!J86</f>
        <v>132</v>
      </c>
      <c r="L47" s="26">
        <f>'GM Buildup'!K86</f>
        <v>145.20000000000002</v>
      </c>
      <c r="M47" s="26">
        <f>'GM Buildup'!L86</f>
        <v>159.72000000000003</v>
      </c>
      <c r="N47" s="26">
        <f>'GM Buildup'!M86</f>
        <v>175.69200000000004</v>
      </c>
      <c r="O47" s="27">
        <f>SUM(A47:F47)</f>
        <v>343.88103999999998</v>
      </c>
      <c r="P47" s="8">
        <v>0</v>
      </c>
      <c r="Q47" s="27">
        <f t="shared" si="34"/>
        <v>343.88103999999998</v>
      </c>
      <c r="R47" s="8">
        <v>0</v>
      </c>
      <c r="S47" s="8">
        <v>0</v>
      </c>
      <c r="T47" s="8">
        <v>0</v>
      </c>
    </row>
    <row r="48" spans="1:20" x14ac:dyDescent="0.35">
      <c r="A48" s="26">
        <f t="shared" ref="A48:C48" si="35">SUM(A44:A47)</f>
        <v>432.64577000000008</v>
      </c>
      <c r="B48" s="26">
        <f t="shared" si="35"/>
        <v>185.9171</v>
      </c>
      <c r="C48" s="26">
        <f t="shared" si="35"/>
        <v>185.9171</v>
      </c>
      <c r="D48" s="26">
        <f>SUM(D44:D47)</f>
        <v>43</v>
      </c>
      <c r="E48" s="26">
        <f t="shared" ref="E48:F48" si="36">SUM(E44:E47)</f>
        <v>65</v>
      </c>
      <c r="F48" s="212">
        <f t="shared" si="36"/>
        <v>370</v>
      </c>
      <c r="H48" s="8" t="s">
        <v>226</v>
      </c>
      <c r="I48" s="26">
        <f>SUM(I44:I47)</f>
        <v>478</v>
      </c>
      <c r="J48" s="26">
        <f>SUM(J44:J47)</f>
        <v>1580.0625016000001</v>
      </c>
      <c r="K48" s="26">
        <f t="shared" ref="K48:N48" si="37">SUM(K44:K47)</f>
        <v>1775.1584967599999</v>
      </c>
      <c r="L48" s="26">
        <f t="shared" si="37"/>
        <v>1952.6743464360006</v>
      </c>
      <c r="M48" s="26">
        <f t="shared" si="37"/>
        <v>2147.9417810796003</v>
      </c>
      <c r="N48" s="26">
        <f t="shared" si="37"/>
        <v>2362.7359591875606</v>
      </c>
      <c r="O48" s="26">
        <f>SUM(O44:O47)</f>
        <v>1282.4799699999999</v>
      </c>
      <c r="P48" s="8">
        <v>0</v>
      </c>
      <c r="Q48" s="27">
        <f t="shared" si="34"/>
        <v>1282.4799699999999</v>
      </c>
      <c r="R48" s="8">
        <v>0</v>
      </c>
      <c r="S48" s="8">
        <v>0</v>
      </c>
      <c r="T48" s="8">
        <v>0</v>
      </c>
    </row>
    <row r="49" spans="1:20" x14ac:dyDescent="0.35">
      <c r="A49" s="33"/>
      <c r="C49" s="126" t="s">
        <v>323</v>
      </c>
      <c r="D49" s="126" t="s">
        <v>322</v>
      </c>
      <c r="E49" s="126" t="s">
        <v>324</v>
      </c>
      <c r="H49" s="26" t="s">
        <v>301</v>
      </c>
      <c r="I49" s="26">
        <v>3789</v>
      </c>
      <c r="J49" s="27">
        <f>I3</f>
        <v>4448.1255031056126</v>
      </c>
      <c r="K49" s="27">
        <f>J3</f>
        <v>5144.4138934161738</v>
      </c>
      <c r="L49" s="27">
        <f>K3</f>
        <v>6051.9291667577927</v>
      </c>
      <c r="M49" s="27">
        <f>L3</f>
        <v>7095.6845176735742</v>
      </c>
      <c r="N49" s="27">
        <f>M3</f>
        <v>8241.9250483609321</v>
      </c>
      <c r="O49" s="26">
        <v>3789</v>
      </c>
      <c r="P49" s="26">
        <v>690</v>
      </c>
      <c r="Q49" s="26">
        <v>497</v>
      </c>
      <c r="R49" s="26">
        <v>2463.31</v>
      </c>
      <c r="S49" s="26">
        <v>81</v>
      </c>
      <c r="T49" s="26">
        <v>57.305840599999975</v>
      </c>
    </row>
    <row r="50" spans="1:20" x14ac:dyDescent="0.35">
      <c r="C50" s="26" t="s">
        <v>38</v>
      </c>
      <c r="D50" s="26">
        <v>43</v>
      </c>
      <c r="E50" s="26"/>
      <c r="H50" s="26" t="s">
        <v>226</v>
      </c>
      <c r="I50" s="26">
        <f>I48+I49</f>
        <v>4267</v>
      </c>
      <c r="J50" s="26">
        <f t="shared" ref="J50:N50" si="38">J48+J49</f>
        <v>6028.1880047056129</v>
      </c>
      <c r="K50" s="26">
        <f t="shared" si="38"/>
        <v>6919.5723901761739</v>
      </c>
      <c r="L50" s="26">
        <f t="shared" si="38"/>
        <v>8004.6035131937933</v>
      </c>
      <c r="M50" s="26">
        <f t="shared" si="38"/>
        <v>9243.6262987531736</v>
      </c>
      <c r="N50" s="26">
        <f t="shared" si="38"/>
        <v>10604.661007548493</v>
      </c>
      <c r="O50" s="26">
        <f>O48+O49</f>
        <v>5071.4799700000003</v>
      </c>
      <c r="P50" s="26">
        <f t="shared" ref="P50:T50" si="39">P48+P49</f>
        <v>690</v>
      </c>
      <c r="Q50" s="26">
        <f t="shared" si="39"/>
        <v>1779.4799699999999</v>
      </c>
      <c r="R50" s="26">
        <f t="shared" si="39"/>
        <v>2463.31</v>
      </c>
      <c r="S50" s="26">
        <f t="shared" si="39"/>
        <v>81</v>
      </c>
      <c r="T50" s="26">
        <f t="shared" si="39"/>
        <v>57.305840599999975</v>
      </c>
    </row>
    <row r="51" spans="1:20" x14ac:dyDescent="0.35">
      <c r="C51" s="26"/>
      <c r="D51" s="26"/>
      <c r="E51" s="26"/>
      <c r="H51" s="208" t="s">
        <v>300</v>
      </c>
      <c r="I51" s="214" t="s">
        <v>250</v>
      </c>
      <c r="J51" s="214" t="s">
        <v>288</v>
      </c>
      <c r="K51" s="214" t="s">
        <v>289</v>
      </c>
      <c r="L51" s="214" t="s">
        <v>290</v>
      </c>
      <c r="M51" s="214" t="s">
        <v>291</v>
      </c>
      <c r="N51" s="214" t="s">
        <v>292</v>
      </c>
    </row>
    <row r="52" spans="1:20" x14ac:dyDescent="0.35">
      <c r="C52" s="26"/>
      <c r="D52" s="26"/>
      <c r="E52" s="26"/>
      <c r="H52" s="208" t="s">
        <v>300</v>
      </c>
      <c r="I52" s="55"/>
      <c r="J52" s="55">
        <v>0.22</v>
      </c>
      <c r="K52" s="55">
        <v>0.22</v>
      </c>
      <c r="L52" s="55">
        <v>0.22</v>
      </c>
      <c r="M52" s="55">
        <v>0.22</v>
      </c>
      <c r="N52" s="55">
        <v>0.22</v>
      </c>
    </row>
    <row r="53" spans="1:20" x14ac:dyDescent="0.35">
      <c r="C53" s="26" t="s">
        <v>251</v>
      </c>
      <c r="D53" s="26">
        <v>32</v>
      </c>
      <c r="E53" s="26"/>
      <c r="I53" s="53"/>
    </row>
    <row r="54" spans="1:20" x14ac:dyDescent="0.35">
      <c r="C54" s="26" t="s">
        <v>318</v>
      </c>
      <c r="D54" s="26">
        <f>D50-D53</f>
        <v>11</v>
      </c>
      <c r="E54" s="55">
        <f>D54/D50</f>
        <v>0.2558139534883721</v>
      </c>
      <c r="H54" s="208" t="s">
        <v>39</v>
      </c>
      <c r="I54" s="208" t="s">
        <v>250</v>
      </c>
      <c r="J54" s="208" t="s">
        <v>288</v>
      </c>
      <c r="K54" s="208" t="s">
        <v>289</v>
      </c>
      <c r="L54" s="208" t="s">
        <v>290</v>
      </c>
      <c r="M54" s="208" t="s">
        <v>291</v>
      </c>
      <c r="N54" s="208" t="s">
        <v>292</v>
      </c>
      <c r="O54" s="208" t="s">
        <v>39</v>
      </c>
      <c r="P54" s="215" t="s">
        <v>65</v>
      </c>
      <c r="Q54" s="215" t="s">
        <v>66</v>
      </c>
      <c r="R54" s="215" t="s">
        <v>40</v>
      </c>
      <c r="S54" s="215" t="s">
        <v>255</v>
      </c>
      <c r="T54" s="215" t="s">
        <v>41</v>
      </c>
    </row>
    <row r="55" spans="1:20" x14ac:dyDescent="0.35">
      <c r="C55" s="26" t="s">
        <v>320</v>
      </c>
      <c r="D55" s="26">
        <f>D50*8%</f>
        <v>3.44</v>
      </c>
      <c r="E55" s="55">
        <f>D55/$D$50</f>
        <v>0.08</v>
      </c>
      <c r="H55" s="8" t="s">
        <v>285</v>
      </c>
      <c r="I55" s="149">
        <v>0.22</v>
      </c>
      <c r="J55" s="26">
        <f t="shared" ref="J55:N58" si="40">J44*J$52</f>
        <v>234.31688816580004</v>
      </c>
      <c r="K55" s="26">
        <f t="shared" si="40"/>
        <v>267.23639998638004</v>
      </c>
      <c r="L55" s="26">
        <f t="shared" si="40"/>
        <v>293.96003998501811</v>
      </c>
      <c r="M55" s="26">
        <f t="shared" si="40"/>
        <v>323.3560439835199</v>
      </c>
      <c r="N55" s="26">
        <f t="shared" si="40"/>
        <v>355.69164838187191</v>
      </c>
      <c r="O55" s="38">
        <f>I44*I55</f>
        <v>67.760000000000005</v>
      </c>
      <c r="P55" s="149" t="s">
        <v>307</v>
      </c>
      <c r="Q55" s="149">
        <v>0.22</v>
      </c>
      <c r="R55" s="149" t="s">
        <v>307</v>
      </c>
      <c r="S55" s="149" t="s">
        <v>307</v>
      </c>
      <c r="T55" s="149" t="s">
        <v>307</v>
      </c>
    </row>
    <row r="56" spans="1:20" x14ac:dyDescent="0.35">
      <c r="C56" s="26" t="s">
        <v>319</v>
      </c>
      <c r="D56" s="26">
        <v>3</v>
      </c>
      <c r="E56" s="55">
        <f>D56/$D$50</f>
        <v>6.9767441860465115E-2</v>
      </c>
      <c r="H56" s="8" t="s">
        <v>286</v>
      </c>
      <c r="I56" s="149">
        <v>0.22</v>
      </c>
      <c r="J56" s="26">
        <f t="shared" si="40"/>
        <v>9.9033378664000011</v>
      </c>
      <c r="K56" s="26">
        <f t="shared" si="40"/>
        <v>10.75222608504</v>
      </c>
      <c r="L56" s="26">
        <f t="shared" si="40"/>
        <v>11.827448693544001</v>
      </c>
      <c r="M56" s="26">
        <f t="shared" si="40"/>
        <v>13.010193562898403</v>
      </c>
      <c r="N56" s="26">
        <f t="shared" si="40"/>
        <v>14.311212919188245</v>
      </c>
      <c r="O56" s="38">
        <f t="shared" ref="O56:O58" si="41">I45*I56</f>
        <v>2.2000000000000002</v>
      </c>
      <c r="P56" s="149" t="s">
        <v>307</v>
      </c>
      <c r="Q56" s="149">
        <v>0.22</v>
      </c>
      <c r="R56" s="149" t="s">
        <v>307</v>
      </c>
      <c r="S56" s="149" t="s">
        <v>307</v>
      </c>
      <c r="T56" s="149" t="s">
        <v>307</v>
      </c>
    </row>
    <row r="57" spans="1:20" x14ac:dyDescent="0.35">
      <c r="C57" s="26" t="s">
        <v>321</v>
      </c>
      <c r="D57" s="26">
        <f>D54-D56-D55</f>
        <v>4.5600000000000005</v>
      </c>
      <c r="E57" s="55">
        <f>D57/D50</f>
        <v>0.10604651162790699</v>
      </c>
      <c r="H57" s="8" t="s">
        <v>287</v>
      </c>
      <c r="I57" s="149">
        <v>0.22</v>
      </c>
      <c r="J57" s="26">
        <f t="shared" si="40"/>
        <v>76.993524319800002</v>
      </c>
      <c r="K57" s="26">
        <f t="shared" si="40"/>
        <v>83.506243215780003</v>
      </c>
      <c r="L57" s="26">
        <f t="shared" si="40"/>
        <v>91.856867537358013</v>
      </c>
      <c r="M57" s="26">
        <f t="shared" si="40"/>
        <v>101.04255429109382</v>
      </c>
      <c r="N57" s="26">
        <f t="shared" si="40"/>
        <v>111.14680972020322</v>
      </c>
      <c r="O57" s="38">
        <f t="shared" si="41"/>
        <v>13.2</v>
      </c>
      <c r="P57" s="149" t="s">
        <v>307</v>
      </c>
      <c r="Q57" s="149">
        <v>0.22</v>
      </c>
      <c r="R57" s="149" t="s">
        <v>307</v>
      </c>
      <c r="S57" s="149" t="s">
        <v>307</v>
      </c>
      <c r="T57" s="149" t="s">
        <v>307</v>
      </c>
    </row>
    <row r="58" spans="1:20" ht="58" x14ac:dyDescent="0.35">
      <c r="F58" s="209" t="s">
        <v>306</v>
      </c>
      <c r="H58" s="117" t="s">
        <v>299</v>
      </c>
      <c r="I58" s="149">
        <v>0.22</v>
      </c>
      <c r="J58" s="26">
        <f t="shared" si="40"/>
        <v>26.4</v>
      </c>
      <c r="K58" s="26">
        <f t="shared" si="40"/>
        <v>29.04</v>
      </c>
      <c r="L58" s="26">
        <f t="shared" si="40"/>
        <v>31.944000000000003</v>
      </c>
      <c r="M58" s="26">
        <f t="shared" si="40"/>
        <v>35.138400000000004</v>
      </c>
      <c r="N58" s="26">
        <f t="shared" si="40"/>
        <v>38.652240000000006</v>
      </c>
      <c r="O58" s="38">
        <f t="shared" si="41"/>
        <v>22</v>
      </c>
      <c r="P58" s="149" t="s">
        <v>307</v>
      </c>
      <c r="Q58" s="149">
        <v>0.22</v>
      </c>
      <c r="R58" s="149" t="s">
        <v>307</v>
      </c>
      <c r="S58" s="149" t="s">
        <v>307</v>
      </c>
      <c r="T58" s="149" t="s">
        <v>307</v>
      </c>
    </row>
    <row r="59" spans="1:20" x14ac:dyDescent="0.35">
      <c r="H59" s="26" t="s">
        <v>301</v>
      </c>
      <c r="I59" s="149">
        <v>0.16</v>
      </c>
      <c r="J59" s="26">
        <f>'GM Buildup'!I17</f>
        <v>711.76083161841836</v>
      </c>
      <c r="K59" s="26">
        <f>'GM Buildup'!J17</f>
        <v>824.5889633562042</v>
      </c>
      <c r="L59" s="26">
        <f>'GM Buildup'!K17</f>
        <v>963.38027208589847</v>
      </c>
      <c r="M59" s="26">
        <f>'GM Buildup'!L17</f>
        <v>1131.5193222094467</v>
      </c>
      <c r="N59" s="26">
        <f>'GM Buildup'!M17</f>
        <v>1324.6151782093289</v>
      </c>
      <c r="O59" s="38">
        <f>I49*I59</f>
        <v>606.24</v>
      </c>
      <c r="P59" s="55">
        <v>0.14900535417410757</v>
      </c>
      <c r="Q59" s="55">
        <v>0.24454449667636358</v>
      </c>
      <c r="R59" s="55">
        <v>0.14349999999999999</v>
      </c>
      <c r="S59" s="55">
        <v>0.27518683988751214</v>
      </c>
      <c r="T59" s="55">
        <v>0.1</v>
      </c>
    </row>
    <row r="60" spans="1:20" x14ac:dyDescent="0.35">
      <c r="H60" s="213" t="s">
        <v>280</v>
      </c>
      <c r="I60" s="149"/>
      <c r="J60" s="27">
        <f>I79</f>
        <v>810.99119131907901</v>
      </c>
      <c r="K60" s="27">
        <f>J79</f>
        <v>1207.5903104509871</v>
      </c>
      <c r="L60" s="27">
        <f>K79</f>
        <v>1446.5274664960857</v>
      </c>
      <c r="M60" s="27">
        <f>L79</f>
        <v>1285.2459664960857</v>
      </c>
      <c r="N60" s="27">
        <f>M79</f>
        <v>1442.6234068956944</v>
      </c>
      <c r="O60" s="38">
        <f>'P&amp;L'!H6</f>
        <v>560.58415939999986</v>
      </c>
      <c r="P60" s="26"/>
      <c r="Q60" s="26"/>
      <c r="R60" s="26"/>
      <c r="S60" s="26"/>
      <c r="T60" s="26"/>
    </row>
    <row r="61" spans="1:20" ht="58" x14ac:dyDescent="0.35">
      <c r="H61" s="210" t="s">
        <v>304</v>
      </c>
      <c r="I61" s="149">
        <f>O61/I49</f>
        <v>0.30795042475587225</v>
      </c>
      <c r="J61" s="26">
        <f t="shared" ref="J61:O61" si="42">J59+J60</f>
        <v>1522.7520229374973</v>
      </c>
      <c r="K61" s="26">
        <f t="shared" si="42"/>
        <v>2032.1792738071913</v>
      </c>
      <c r="L61" s="26">
        <f t="shared" si="42"/>
        <v>2409.9077385819842</v>
      </c>
      <c r="M61" s="26">
        <f t="shared" si="42"/>
        <v>2416.7652887055324</v>
      </c>
      <c r="N61" s="26">
        <f t="shared" si="42"/>
        <v>2767.238585105023</v>
      </c>
      <c r="O61" s="26">
        <f t="shared" si="42"/>
        <v>1166.8241593999999</v>
      </c>
      <c r="P61" s="8"/>
      <c r="Q61" s="8"/>
      <c r="R61" s="8"/>
      <c r="S61" s="8"/>
      <c r="T61" s="8"/>
    </row>
    <row r="62" spans="1:20" x14ac:dyDescent="0.35">
      <c r="H62" s="26" t="s">
        <v>226</v>
      </c>
      <c r="I62" s="149">
        <f>O62/I50</f>
        <v>0.2980979984532458</v>
      </c>
      <c r="J62" s="27">
        <f t="shared" ref="J62:N62" si="43">SUM(J55:J60)</f>
        <v>1870.3657732894974</v>
      </c>
      <c r="K62" s="27">
        <f t="shared" si="43"/>
        <v>2422.7141430943911</v>
      </c>
      <c r="L62" s="27">
        <f t="shared" si="43"/>
        <v>2839.4960947979043</v>
      </c>
      <c r="M62" s="27">
        <f t="shared" si="43"/>
        <v>2889.3124805430443</v>
      </c>
      <c r="N62" s="27">
        <f t="shared" si="43"/>
        <v>3287.0404961262866</v>
      </c>
      <c r="O62" s="27">
        <f>SUM(O55:O60)</f>
        <v>1271.9841594</v>
      </c>
      <c r="P62" s="38"/>
      <c r="Q62" s="38"/>
      <c r="R62" s="38"/>
      <c r="S62" s="38"/>
      <c r="T62" s="38"/>
    </row>
    <row r="63" spans="1:20" hidden="1" x14ac:dyDescent="0.35">
      <c r="I63" s="53" t="s">
        <v>302</v>
      </c>
      <c r="O63" s="53">
        <f>'P&amp;L'!H6</f>
        <v>560.58415939999986</v>
      </c>
    </row>
    <row r="64" spans="1:20" hidden="1" x14ac:dyDescent="0.35">
      <c r="I64" s="53" t="s">
        <v>303</v>
      </c>
      <c r="O64" s="53">
        <f>O62+O63</f>
        <v>1832.5683187999998</v>
      </c>
    </row>
    <row r="65" spans="1:15" hidden="1" x14ac:dyDescent="0.35">
      <c r="I65" s="53"/>
      <c r="O65" s="211">
        <f>O64/I50</f>
        <v>0.42947464701195215</v>
      </c>
    </row>
    <row r="66" spans="1:15" x14ac:dyDescent="0.35">
      <c r="I66" s="53"/>
      <c r="J66" s="25"/>
      <c r="K66" s="25"/>
      <c r="L66" s="25"/>
      <c r="M66" s="25"/>
      <c r="N66" s="25"/>
      <c r="O66" t="s">
        <v>336</v>
      </c>
    </row>
    <row r="72" spans="1:15" x14ac:dyDescent="0.35">
      <c r="A72" s="8"/>
      <c r="B72" s="8"/>
      <c r="C72" s="26" t="s">
        <v>12</v>
      </c>
      <c r="D72" s="26" t="s">
        <v>11</v>
      </c>
      <c r="E72" s="26" t="s">
        <v>10</v>
      </c>
      <c r="F72" s="26" t="s">
        <v>9</v>
      </c>
      <c r="G72" s="26" t="s">
        <v>8</v>
      </c>
      <c r="H72" s="251" t="s">
        <v>0</v>
      </c>
      <c r="I72" s="39" t="s">
        <v>1</v>
      </c>
      <c r="J72" s="39" t="s">
        <v>2</v>
      </c>
      <c r="K72" s="39" t="s">
        <v>3</v>
      </c>
      <c r="L72" s="39" t="s">
        <v>4</v>
      </c>
      <c r="M72" s="39" t="s">
        <v>5</v>
      </c>
    </row>
    <row r="73" spans="1:15" x14ac:dyDescent="0.35">
      <c r="A73" s="8"/>
      <c r="B73" s="8" t="s">
        <v>334</v>
      </c>
      <c r="C73" s="26">
        <v>171</v>
      </c>
      <c r="D73" s="26">
        <v>155</v>
      </c>
      <c r="E73" s="26">
        <v>128</v>
      </c>
      <c r="F73" s="26">
        <v>111</v>
      </c>
      <c r="G73" s="26">
        <v>99</v>
      </c>
      <c r="H73" s="251">
        <v>83</v>
      </c>
      <c r="I73" s="39">
        <v>96</v>
      </c>
      <c r="J73" s="39">
        <v>138</v>
      </c>
      <c r="K73" s="39">
        <v>190</v>
      </c>
      <c r="L73" s="39">
        <v>218</v>
      </c>
      <c r="M73" s="39">
        <v>245</v>
      </c>
    </row>
    <row r="74" spans="1:15" x14ac:dyDescent="0.35">
      <c r="A74" s="8"/>
      <c r="B74" s="8" t="s">
        <v>338</v>
      </c>
      <c r="C74" s="26"/>
      <c r="D74" s="26"/>
      <c r="E74" s="26"/>
      <c r="F74" s="26"/>
      <c r="G74" s="26"/>
      <c r="H74" s="233"/>
      <c r="I74" s="233">
        <f>'Bottomup Sales'!V5+('Bottomup Sales'!AI5*'Bottomup Sales'!AH5)</f>
        <v>54479.295305526321</v>
      </c>
      <c r="J74" s="233">
        <f>'Bottomup Sales'!V6+('Bottomup Sales'!AI6*'Bottomup Sales'!AH6)</f>
        <v>63007.22483607896</v>
      </c>
      <c r="K74" s="233">
        <f>'Bottomup Sales'!V7+('Bottomup Sales'!AI7*'Bottomup Sales'!AH7)</f>
        <v>74122.197319686864</v>
      </c>
      <c r="L74" s="233">
        <f>'Bottomup Sales'!V7+('Bottomup Sales'!AI8*'Bottomup Sales'!AH8)</f>
        <v>80419.67731968686</v>
      </c>
      <c r="M74" s="233">
        <f>'Bottomup Sales'!V8+('Bottomup Sales'!AI9*'Bottomup Sales'!AH9)</f>
        <v>93809.872551655557</v>
      </c>
    </row>
    <row r="75" spans="1:15" x14ac:dyDescent="0.35">
      <c r="A75" s="8"/>
      <c r="B75" s="3" t="s">
        <v>333</v>
      </c>
      <c r="C75" s="126">
        <v>1033.1504</v>
      </c>
      <c r="D75" s="126">
        <v>1108.9683790000001</v>
      </c>
      <c r="E75" s="126">
        <v>985.50273549999997</v>
      </c>
      <c r="F75" s="126">
        <v>736.27440879999995</v>
      </c>
      <c r="G75" s="126">
        <v>742.54401260000009</v>
      </c>
      <c r="H75" s="126">
        <v>560.58415939999986</v>
      </c>
      <c r="I75" s="126">
        <f>I74*I76</f>
        <v>680.99119131907901</v>
      </c>
      <c r="J75" s="126">
        <f t="shared" ref="J75:M75" si="44">J74*J76</f>
        <v>787.59031045098709</v>
      </c>
      <c r="K75" s="126">
        <f t="shared" si="44"/>
        <v>926.52746649608582</v>
      </c>
      <c r="L75" s="126">
        <f t="shared" si="44"/>
        <v>1005.2459664960858</v>
      </c>
      <c r="M75" s="126">
        <f t="shared" si="44"/>
        <v>1172.6234068956944</v>
      </c>
    </row>
    <row r="76" spans="1:15" x14ac:dyDescent="0.35">
      <c r="A76" s="8"/>
      <c r="B76" s="3" t="s">
        <v>356</v>
      </c>
      <c r="C76" s="126"/>
      <c r="D76" s="126"/>
      <c r="E76" s="126"/>
      <c r="F76" s="126"/>
      <c r="G76" s="126"/>
      <c r="H76" s="126"/>
      <c r="I76" s="253">
        <v>1.2500000000000001E-2</v>
      </c>
      <c r="J76" s="253">
        <v>1.2500000000000001E-2</v>
      </c>
      <c r="K76" s="253">
        <v>1.2500000000000001E-2</v>
      </c>
      <c r="L76" s="253">
        <v>1.2500000000000001E-2</v>
      </c>
      <c r="M76" s="253">
        <v>1.2500000000000001E-2</v>
      </c>
    </row>
    <row r="77" spans="1:15" x14ac:dyDescent="0.35">
      <c r="A77" s="8"/>
      <c r="B77" s="8" t="s">
        <v>355</v>
      </c>
      <c r="C77" s="126"/>
      <c r="D77" s="126"/>
      <c r="E77" s="126"/>
      <c r="F77" s="126"/>
      <c r="G77" s="126"/>
      <c r="H77" s="126"/>
      <c r="I77" s="126">
        <f>((I73-H73)*2000*400)/10^5</f>
        <v>104</v>
      </c>
      <c r="J77" s="126">
        <f t="shared" ref="J77:M77" si="45">((J73-I73)*2000*400)/10^5</f>
        <v>336</v>
      </c>
      <c r="K77" s="126">
        <f t="shared" si="45"/>
        <v>416</v>
      </c>
      <c r="L77" s="126">
        <f t="shared" si="45"/>
        <v>224</v>
      </c>
      <c r="M77" s="126">
        <f t="shared" si="45"/>
        <v>216</v>
      </c>
    </row>
    <row r="78" spans="1:15" x14ac:dyDescent="0.35">
      <c r="A78" s="8"/>
      <c r="B78" s="8" t="s">
        <v>340</v>
      </c>
      <c r="C78" s="26"/>
      <c r="D78" s="26"/>
      <c r="E78" s="26"/>
      <c r="F78" s="26"/>
      <c r="G78" s="26"/>
      <c r="H78" s="104"/>
      <c r="I78" s="26">
        <f>((I73-H73)*200000)/10^5</f>
        <v>26</v>
      </c>
      <c r="J78" s="26">
        <f t="shared" ref="J78:M78" si="46">((J73-I73)*200000)/10^5</f>
        <v>84</v>
      </c>
      <c r="K78" s="26">
        <f t="shared" si="46"/>
        <v>104</v>
      </c>
      <c r="L78" s="26">
        <f t="shared" si="46"/>
        <v>56</v>
      </c>
      <c r="M78" s="26">
        <f t="shared" si="46"/>
        <v>54</v>
      </c>
    </row>
    <row r="79" spans="1:15" x14ac:dyDescent="0.35">
      <c r="A79" s="8"/>
      <c r="B79" s="151" t="s">
        <v>335</v>
      </c>
      <c r="C79" s="26"/>
      <c r="D79" s="26"/>
      <c r="E79" s="26"/>
      <c r="F79" s="26"/>
      <c r="G79" s="26"/>
      <c r="H79" s="26">
        <f>SUM(H75:H78)</f>
        <v>560.58415939999986</v>
      </c>
      <c r="I79" s="26">
        <f>I75+I77+I78</f>
        <v>810.99119131907901</v>
      </c>
      <c r="J79" s="26">
        <f t="shared" ref="J79:M79" si="47">J75+J77+J78</f>
        <v>1207.5903104509871</v>
      </c>
      <c r="K79" s="26">
        <f t="shared" si="47"/>
        <v>1446.5274664960857</v>
      </c>
      <c r="L79" s="26">
        <f t="shared" si="47"/>
        <v>1285.2459664960857</v>
      </c>
      <c r="M79" s="26">
        <f t="shared" si="47"/>
        <v>1442.6234068956944</v>
      </c>
    </row>
  </sheetData>
  <mergeCells count="1">
    <mergeCell ref="N1:R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U22"/>
  <sheetViews>
    <sheetView topLeftCell="R2" workbookViewId="0">
      <selection activeCell="V11" sqref="V11:AB11"/>
    </sheetView>
  </sheetViews>
  <sheetFormatPr defaultRowHeight="14.5" x14ac:dyDescent="0.35"/>
  <cols>
    <col min="1" max="1" width="0" hidden="1" customWidth="1"/>
    <col min="2" max="11" width="9.1796875" hidden="1" customWidth="1"/>
    <col min="12" max="12" width="10.453125" hidden="1" customWidth="1"/>
    <col min="13" max="15" width="9.1796875" hidden="1" customWidth="1"/>
    <col min="16" max="17" width="10.81640625" hidden="1" customWidth="1"/>
    <col min="18" max="18" width="9.1796875" customWidth="1"/>
    <col min="22" max="22" width="12.26953125" bestFit="1" customWidth="1"/>
    <col min="23" max="26" width="9.26953125" bestFit="1" customWidth="1"/>
    <col min="27" max="28" width="10" bestFit="1" customWidth="1"/>
    <col min="31" max="31" width="11.26953125" customWidth="1"/>
    <col min="39" max="39" width="10.81640625" bestFit="1" customWidth="1"/>
    <col min="44" max="44" width="24.7265625" bestFit="1" customWidth="1"/>
    <col min="45" max="45" width="10.81640625" bestFit="1" customWidth="1"/>
  </cols>
  <sheetData>
    <row r="1" spans="2:47" ht="15" thickBot="1" x14ac:dyDescent="0.4"/>
    <row r="2" spans="2:47" ht="15.75" customHeight="1" thickBot="1" x14ac:dyDescent="0.4">
      <c r="B2" s="364" t="s">
        <v>312</v>
      </c>
      <c r="C2" s="365"/>
      <c r="D2" s="365"/>
      <c r="E2" s="365"/>
      <c r="F2" s="365"/>
      <c r="G2" s="365"/>
      <c r="H2" s="365"/>
      <c r="I2" s="365"/>
      <c r="J2" s="365"/>
      <c r="K2" s="366"/>
      <c r="L2" s="370" t="s">
        <v>311</v>
      </c>
      <c r="M2" s="371"/>
      <c r="N2" s="371"/>
      <c r="O2" s="371"/>
      <c r="P2" s="372"/>
      <c r="T2" s="360" t="s">
        <v>312</v>
      </c>
      <c r="U2" s="361"/>
      <c r="V2" s="361"/>
      <c r="W2" s="361"/>
      <c r="X2" s="361"/>
      <c r="Y2" s="361"/>
      <c r="Z2" s="361"/>
      <c r="AA2" s="361"/>
      <c r="AB2" s="361"/>
      <c r="AC2" s="361"/>
      <c r="AD2" s="362"/>
      <c r="AE2" s="357" t="s">
        <v>313</v>
      </c>
      <c r="AF2" s="358"/>
      <c r="AG2" s="358"/>
      <c r="AH2" s="358"/>
      <c r="AI2" s="358"/>
      <c r="AJ2" s="358"/>
      <c r="AK2" s="358"/>
      <c r="AL2" s="358"/>
      <c r="AM2" s="358"/>
      <c r="AN2" s="358"/>
      <c r="AO2" s="358"/>
      <c r="AP2" s="358"/>
      <c r="AQ2" s="359"/>
      <c r="AR2" s="355" t="s">
        <v>311</v>
      </c>
      <c r="AS2" s="356"/>
    </row>
    <row r="3" spans="2:47" ht="87.5" thickBot="1" x14ac:dyDescent="0.4">
      <c r="B3" s="174" t="s">
        <v>42</v>
      </c>
      <c r="C3" s="175" t="s">
        <v>271</v>
      </c>
      <c r="D3" s="175" t="s">
        <v>269</v>
      </c>
      <c r="E3" s="157" t="s">
        <v>272</v>
      </c>
      <c r="F3" s="157" t="s">
        <v>273</v>
      </c>
      <c r="G3" s="175" t="s">
        <v>274</v>
      </c>
      <c r="H3" s="175" t="s">
        <v>265</v>
      </c>
      <c r="I3" s="175" t="s">
        <v>266</v>
      </c>
      <c r="J3" s="175" t="s">
        <v>314</v>
      </c>
      <c r="K3" s="176" t="s">
        <v>283</v>
      </c>
      <c r="L3" s="158" t="s">
        <v>310</v>
      </c>
      <c r="M3" s="158" t="s">
        <v>309</v>
      </c>
      <c r="N3" s="217" t="s">
        <v>308</v>
      </c>
      <c r="O3" s="159" t="s">
        <v>42</v>
      </c>
      <c r="P3" s="159" t="s">
        <v>282</v>
      </c>
      <c r="T3" s="278" t="s">
        <v>337</v>
      </c>
      <c r="U3" s="198" t="s">
        <v>42</v>
      </c>
      <c r="V3" s="199" t="s">
        <v>271</v>
      </c>
      <c r="W3" s="199" t="s">
        <v>269</v>
      </c>
      <c r="X3" s="256" t="s">
        <v>272</v>
      </c>
      <c r="Y3" s="256" t="s">
        <v>273</v>
      </c>
      <c r="Z3" s="199" t="s">
        <v>274</v>
      </c>
      <c r="AA3" s="199" t="s">
        <v>265</v>
      </c>
      <c r="AB3" s="199" t="s">
        <v>266</v>
      </c>
      <c r="AC3" s="199" t="s">
        <v>314</v>
      </c>
      <c r="AD3" s="279" t="s">
        <v>283</v>
      </c>
      <c r="AE3" s="267" t="s">
        <v>42</v>
      </c>
      <c r="AF3" s="258" t="s">
        <v>235</v>
      </c>
      <c r="AG3" s="258" t="s">
        <v>277</v>
      </c>
      <c r="AH3" s="259" t="s">
        <v>278</v>
      </c>
      <c r="AI3" s="258" t="s">
        <v>279</v>
      </c>
      <c r="AJ3" s="258" t="s">
        <v>269</v>
      </c>
      <c r="AK3" s="252" t="s">
        <v>272</v>
      </c>
      <c r="AL3" s="252" t="s">
        <v>273</v>
      </c>
      <c r="AM3" s="258" t="s">
        <v>274</v>
      </c>
      <c r="AN3" s="258" t="s">
        <v>265</v>
      </c>
      <c r="AO3" s="258" t="s">
        <v>266</v>
      </c>
      <c r="AP3" s="257" t="s">
        <v>267</v>
      </c>
      <c r="AQ3" s="268" t="s">
        <v>315</v>
      </c>
      <c r="AR3" s="262" t="s">
        <v>310</v>
      </c>
      <c r="AS3" s="263" t="s">
        <v>282</v>
      </c>
    </row>
    <row r="4" spans="2:47" x14ac:dyDescent="0.35">
      <c r="B4" s="177" t="s">
        <v>250</v>
      </c>
      <c r="C4" s="178">
        <v>48731.177550478467</v>
      </c>
      <c r="D4" s="179"/>
      <c r="E4" s="160">
        <v>0.27</v>
      </c>
      <c r="F4" s="178">
        <f t="shared" ref="F4:F9" si="0">C4*E4</f>
        <v>13157.417938629187</v>
      </c>
      <c r="G4" s="160">
        <v>0.36</v>
      </c>
      <c r="H4" s="178">
        <f t="shared" ref="H4:H9" si="1">F4*G4</f>
        <v>4736.6704579065072</v>
      </c>
      <c r="I4" s="180">
        <v>0.16</v>
      </c>
      <c r="J4" s="181">
        <f t="shared" ref="J4:J9" si="2">H4*(100%-I4)</f>
        <v>3978.803184641466</v>
      </c>
      <c r="K4" s="182">
        <f t="shared" ref="K4:K9" si="3">G4*E4</f>
        <v>9.7200000000000009E-2</v>
      </c>
      <c r="L4" s="161">
        <f t="shared" ref="L4:L9" si="4">J4+N13</f>
        <v>3978.803184641466</v>
      </c>
      <c r="M4" s="162"/>
      <c r="N4" s="216"/>
      <c r="O4" s="163" t="s">
        <v>0</v>
      </c>
      <c r="P4" s="163">
        <v>83</v>
      </c>
      <c r="T4" s="280">
        <f t="shared" ref="T4:T9" si="5">V4/83</f>
        <v>587.12262109010203</v>
      </c>
      <c r="U4" s="198" t="s">
        <v>250</v>
      </c>
      <c r="V4" s="200">
        <v>48731.177550478467</v>
      </c>
      <c r="W4" s="199"/>
      <c r="X4" s="55">
        <v>0.27</v>
      </c>
      <c r="Y4" s="200">
        <f t="shared" ref="Y4:Y9" si="6">V4*X4</f>
        <v>13157.417938629187</v>
      </c>
      <c r="Z4" s="55">
        <v>0.36</v>
      </c>
      <c r="AA4" s="200">
        <f t="shared" ref="AA4:AA9" si="7">Y4*Z4</f>
        <v>4736.6704579065072</v>
      </c>
      <c r="AB4" s="202">
        <v>0.16</v>
      </c>
      <c r="AC4" s="203">
        <f t="shared" ref="AC4:AC9" si="8">AA4*(100%-AB4)</f>
        <v>3978.803184641466</v>
      </c>
      <c r="AD4" s="281">
        <f t="shared" ref="AD4:AD9" si="9">Z4*X4</f>
        <v>9.7200000000000009E-2</v>
      </c>
      <c r="AE4" s="269" t="s">
        <v>250</v>
      </c>
      <c r="AF4" s="146"/>
      <c r="AG4" s="146"/>
      <c r="AH4" s="146"/>
      <c r="AI4" s="200">
        <f>400</f>
        <v>400</v>
      </c>
      <c r="AJ4" s="199"/>
      <c r="AK4" s="154"/>
      <c r="AL4" s="260">
        <f t="shared" ref="AL4:AL9" si="10">AI4*AK4</f>
        <v>0</v>
      </c>
      <c r="AM4" s="154">
        <f>Z4</f>
        <v>0.36</v>
      </c>
      <c r="AN4" s="260">
        <f t="shared" ref="AN4:AN9" si="11">AL4*AM4</f>
        <v>0</v>
      </c>
      <c r="AO4" s="202">
        <v>0.16</v>
      </c>
      <c r="AP4" s="261">
        <f t="shared" ref="AP4:AP9" si="12">AN4*(100%-AO4)</f>
        <v>0</v>
      </c>
      <c r="AQ4" s="270">
        <f>AP4*AF4</f>
        <v>0</v>
      </c>
      <c r="AR4" s="264">
        <f t="shared" ref="AR4:AR9" si="13">AC4+AQ4</f>
        <v>3978.803184641466</v>
      </c>
      <c r="AS4" s="263">
        <v>83</v>
      </c>
      <c r="AT4" s="25"/>
      <c r="AU4" s="25"/>
    </row>
    <row r="5" spans="2:47" x14ac:dyDescent="0.35">
      <c r="B5" s="177">
        <v>1</v>
      </c>
      <c r="C5" s="181">
        <f>C4*105%</f>
        <v>51167.73642800239</v>
      </c>
      <c r="D5" s="180">
        <v>0.05</v>
      </c>
      <c r="E5" s="160">
        <f>E4+3%</f>
        <v>0.30000000000000004</v>
      </c>
      <c r="F5" s="178">
        <f t="shared" si="0"/>
        <v>15350.320928400719</v>
      </c>
      <c r="G5" s="160">
        <v>0.36</v>
      </c>
      <c r="H5" s="178">
        <f t="shared" si="1"/>
        <v>5526.1155342242582</v>
      </c>
      <c r="I5" s="180">
        <v>0.16</v>
      </c>
      <c r="J5" s="181">
        <f t="shared" si="2"/>
        <v>4641.9370487483766</v>
      </c>
      <c r="K5" s="182">
        <f t="shared" si="3"/>
        <v>0.10800000000000001</v>
      </c>
      <c r="L5" s="161">
        <f t="shared" si="4"/>
        <v>4848.3250487483765</v>
      </c>
      <c r="M5" s="162">
        <v>4942.6741497310386</v>
      </c>
      <c r="N5" s="206">
        <f>L5-M5</f>
        <v>-94.349100982662094</v>
      </c>
      <c r="O5" s="163" t="s">
        <v>1</v>
      </c>
      <c r="P5" s="163">
        <v>96</v>
      </c>
      <c r="Q5" s="25">
        <f>AR5</f>
        <v>4448.1255031056126</v>
      </c>
      <c r="R5" s="25">
        <f>Q5-M5</f>
        <v>-494.54864662542604</v>
      </c>
      <c r="T5" s="280">
        <f t="shared" si="5"/>
        <v>645.83488319911226</v>
      </c>
      <c r="U5" s="198">
        <v>1</v>
      </c>
      <c r="V5" s="203">
        <f>V4*(1+W5)</f>
        <v>53604.295305526321</v>
      </c>
      <c r="W5" s="202">
        <v>0.1</v>
      </c>
      <c r="X5" s="55">
        <v>0.27</v>
      </c>
      <c r="Y5" s="200">
        <f t="shared" si="6"/>
        <v>14473.159732492108</v>
      </c>
      <c r="Z5" s="55">
        <v>0.36</v>
      </c>
      <c r="AA5" s="200">
        <f t="shared" si="7"/>
        <v>5210.3375036971584</v>
      </c>
      <c r="AB5" s="202">
        <v>0.16</v>
      </c>
      <c r="AC5" s="203">
        <f t="shared" si="8"/>
        <v>4376.6835031056125</v>
      </c>
      <c r="AD5" s="281">
        <f t="shared" si="9"/>
        <v>9.7200000000000009E-2</v>
      </c>
      <c r="AE5" s="269">
        <v>1</v>
      </c>
      <c r="AF5" s="199">
        <v>5</v>
      </c>
      <c r="AG5" s="200">
        <f>5/12*AF5</f>
        <v>2.0833333333333335</v>
      </c>
      <c r="AH5" s="201">
        <f>AG5</f>
        <v>2.0833333333333335</v>
      </c>
      <c r="AI5" s="200">
        <f>AI4*105%</f>
        <v>420</v>
      </c>
      <c r="AJ5" s="202"/>
      <c r="AK5" s="154">
        <f>X5</f>
        <v>0.27</v>
      </c>
      <c r="AL5" s="201">
        <f t="shared" si="10"/>
        <v>113.4</v>
      </c>
      <c r="AM5" s="154">
        <v>0.36</v>
      </c>
      <c r="AN5" s="201">
        <f t="shared" si="11"/>
        <v>40.823999999999998</v>
      </c>
      <c r="AO5" s="202">
        <v>0.16</v>
      </c>
      <c r="AP5" s="203">
        <f t="shared" si="12"/>
        <v>34.292159999999996</v>
      </c>
      <c r="AQ5" s="265">
        <f>AP5*AH5</f>
        <v>71.441999999999993</v>
      </c>
      <c r="AR5" s="264">
        <f t="shared" si="13"/>
        <v>4448.1255031056126</v>
      </c>
      <c r="AS5" s="263">
        <f>AS4+AF5</f>
        <v>88</v>
      </c>
      <c r="AU5" s="25"/>
    </row>
    <row r="6" spans="2:47" x14ac:dyDescent="0.35">
      <c r="B6" s="177">
        <v>2</v>
      </c>
      <c r="C6" s="181">
        <f>C5*110%</f>
        <v>56284.510070802637</v>
      </c>
      <c r="D6" s="180">
        <v>0.1</v>
      </c>
      <c r="E6" s="160">
        <f>E5+3%</f>
        <v>0.33000000000000007</v>
      </c>
      <c r="F6" s="178">
        <f t="shared" si="0"/>
        <v>18573.888323364874</v>
      </c>
      <c r="G6" s="205">
        <v>0.39999999999999997</v>
      </c>
      <c r="H6" s="178">
        <f t="shared" si="1"/>
        <v>7429.5553293459488</v>
      </c>
      <c r="I6" s="180">
        <v>0.16</v>
      </c>
      <c r="J6" s="181">
        <f t="shared" si="2"/>
        <v>6240.8264766505972</v>
      </c>
      <c r="K6" s="182">
        <f t="shared" si="3"/>
        <v>0.13200000000000001</v>
      </c>
      <c r="L6" s="161">
        <f t="shared" si="4"/>
        <v>7803.2365566505978</v>
      </c>
      <c r="M6" s="162">
        <v>7933.7428275904804</v>
      </c>
      <c r="N6" s="206">
        <f>L6-M6</f>
        <v>-130.5062709398826</v>
      </c>
      <c r="O6" s="163" t="s">
        <v>2</v>
      </c>
      <c r="P6" s="163">
        <v>138</v>
      </c>
      <c r="Q6" s="25">
        <f t="shared" ref="Q6:Q9" si="14">AR6</f>
        <v>5144.4138934161747</v>
      </c>
      <c r="R6" s="25">
        <f t="shared" ref="R6:R9" si="15">Q6-M6</f>
        <v>-2789.3289341743057</v>
      </c>
      <c r="T6" s="280">
        <f t="shared" si="5"/>
        <v>710.41837151902359</v>
      </c>
      <c r="U6" s="198">
        <v>2</v>
      </c>
      <c r="V6" s="203">
        <f t="shared" ref="V6:V9" si="16">V5*(1+W6)</f>
        <v>58964.72483607896</v>
      </c>
      <c r="W6" s="202">
        <v>0.1</v>
      </c>
      <c r="X6" s="55">
        <v>0.27</v>
      </c>
      <c r="Y6" s="200">
        <f t="shared" si="6"/>
        <v>15920.475705741321</v>
      </c>
      <c r="Z6" s="55">
        <v>0.36</v>
      </c>
      <c r="AA6" s="200">
        <f t="shared" si="7"/>
        <v>5731.3712540668748</v>
      </c>
      <c r="AB6" s="202">
        <v>0.16</v>
      </c>
      <c r="AC6" s="203">
        <f t="shared" si="8"/>
        <v>4814.3518534161749</v>
      </c>
      <c r="AD6" s="281">
        <f t="shared" si="9"/>
        <v>9.7200000000000009E-2</v>
      </c>
      <c r="AE6" s="269">
        <v>2</v>
      </c>
      <c r="AF6" s="204">
        <v>10</v>
      </c>
      <c r="AG6" s="200">
        <f>5/12*AF6</f>
        <v>4.166666666666667</v>
      </c>
      <c r="AH6" s="204">
        <f>AF5+AG6</f>
        <v>9.1666666666666679</v>
      </c>
      <c r="AI6" s="200">
        <f t="shared" ref="AI6:AI9" si="17">AI5*105%</f>
        <v>441</v>
      </c>
      <c r="AJ6" s="202"/>
      <c r="AK6" s="154">
        <f t="shared" ref="AK6:AK9" si="18">X6</f>
        <v>0.27</v>
      </c>
      <c r="AL6" s="201">
        <f t="shared" si="10"/>
        <v>119.07000000000001</v>
      </c>
      <c r="AM6" s="154">
        <v>0.36</v>
      </c>
      <c r="AN6" s="201">
        <f t="shared" si="11"/>
        <v>42.865200000000002</v>
      </c>
      <c r="AO6" s="202">
        <v>0.16</v>
      </c>
      <c r="AP6" s="203">
        <f t="shared" si="12"/>
        <v>36.006768000000001</v>
      </c>
      <c r="AQ6" s="265">
        <f>AP6*AH6</f>
        <v>330.06204000000002</v>
      </c>
      <c r="AR6" s="264">
        <f t="shared" si="13"/>
        <v>5144.4138934161747</v>
      </c>
      <c r="AS6" s="263">
        <f>AS5+AF6</f>
        <v>98</v>
      </c>
      <c r="AU6" s="25"/>
    </row>
    <row r="7" spans="2:47" x14ac:dyDescent="0.35">
      <c r="B7" s="177">
        <v>3</v>
      </c>
      <c r="C7" s="181">
        <f>C6*110%</f>
        <v>61912.961077882908</v>
      </c>
      <c r="D7" s="180">
        <v>0.1</v>
      </c>
      <c r="E7" s="160">
        <f>E6+3%</f>
        <v>0.3600000000000001</v>
      </c>
      <c r="F7" s="178">
        <f t="shared" si="0"/>
        <v>22288.665988037854</v>
      </c>
      <c r="G7" s="205">
        <v>0.44</v>
      </c>
      <c r="H7" s="178">
        <f t="shared" si="1"/>
        <v>9807.0130347366558</v>
      </c>
      <c r="I7" s="180">
        <v>0.16</v>
      </c>
      <c r="J7" s="181">
        <f t="shared" si="2"/>
        <v>8237.8909491787908</v>
      </c>
      <c r="K7" s="182">
        <f t="shared" si="3"/>
        <v>0.15840000000000004</v>
      </c>
      <c r="L7" s="161">
        <f t="shared" si="4"/>
        <v>13186.376645178792</v>
      </c>
      <c r="M7" s="162">
        <v>13310.595436016834</v>
      </c>
      <c r="N7" s="206">
        <f>L7-M7</f>
        <v>-124.21879083804197</v>
      </c>
      <c r="O7" s="163" t="s">
        <v>3</v>
      </c>
      <c r="P7" s="163">
        <v>190</v>
      </c>
      <c r="Q7" s="25">
        <f t="shared" si="14"/>
        <v>6051.9291667577927</v>
      </c>
      <c r="R7" s="25">
        <f t="shared" si="15"/>
        <v>-7258.6662692590417</v>
      </c>
      <c r="T7" s="280">
        <f t="shared" si="5"/>
        <v>781.46020867092602</v>
      </c>
      <c r="U7" s="198">
        <v>3</v>
      </c>
      <c r="V7" s="203">
        <f t="shared" si="16"/>
        <v>64861.197319686864</v>
      </c>
      <c r="W7" s="202">
        <v>0.1</v>
      </c>
      <c r="X7" s="55">
        <v>0.27</v>
      </c>
      <c r="Y7" s="200">
        <f t="shared" si="6"/>
        <v>17512.523276315453</v>
      </c>
      <c r="Z7" s="55">
        <v>0.36</v>
      </c>
      <c r="AA7" s="200">
        <f t="shared" si="7"/>
        <v>6304.5083794735629</v>
      </c>
      <c r="AB7" s="202">
        <v>0.16</v>
      </c>
      <c r="AC7" s="203">
        <f t="shared" si="8"/>
        <v>5295.7870387577923</v>
      </c>
      <c r="AD7" s="281">
        <f t="shared" si="9"/>
        <v>9.7200000000000009E-2</v>
      </c>
      <c r="AE7" s="269">
        <v>3</v>
      </c>
      <c r="AF7" s="204">
        <v>12</v>
      </c>
      <c r="AG7" s="200">
        <f>5/12*AF7</f>
        <v>5</v>
      </c>
      <c r="AH7" s="204">
        <f>AF6+AG7+AF5</f>
        <v>20</v>
      </c>
      <c r="AI7" s="200">
        <f t="shared" si="17"/>
        <v>463.05</v>
      </c>
      <c r="AJ7" s="202"/>
      <c r="AK7" s="154">
        <f t="shared" si="18"/>
        <v>0.27</v>
      </c>
      <c r="AL7" s="201">
        <f t="shared" si="10"/>
        <v>125.02350000000001</v>
      </c>
      <c r="AM7" s="154">
        <v>0.36</v>
      </c>
      <c r="AN7" s="201">
        <f t="shared" si="11"/>
        <v>45.008459999999999</v>
      </c>
      <c r="AO7" s="202">
        <v>0.16</v>
      </c>
      <c r="AP7" s="203">
        <f t="shared" si="12"/>
        <v>37.807106399999995</v>
      </c>
      <c r="AQ7" s="265">
        <f>AP7*AH7</f>
        <v>756.14212799999996</v>
      </c>
      <c r="AR7" s="264">
        <f t="shared" si="13"/>
        <v>6051.9291667577927</v>
      </c>
      <c r="AS7" s="263">
        <f t="shared" ref="AS7:AS9" si="19">AS6+AF7</f>
        <v>110</v>
      </c>
      <c r="AU7" s="25"/>
    </row>
    <row r="8" spans="2:47" x14ac:dyDescent="0.35">
      <c r="B8" s="177">
        <v>4</v>
      </c>
      <c r="C8" s="181">
        <f>C7*110%</f>
        <v>68104.257185671202</v>
      </c>
      <c r="D8" s="180">
        <v>0.1</v>
      </c>
      <c r="E8" s="205">
        <f>E7+2%</f>
        <v>0.38000000000000012</v>
      </c>
      <c r="F8" s="178">
        <f t="shared" si="0"/>
        <v>25879.617730555066</v>
      </c>
      <c r="G8" s="205">
        <v>0.44</v>
      </c>
      <c r="H8" s="178">
        <f t="shared" si="1"/>
        <v>11387.031801444229</v>
      </c>
      <c r="I8" s="180">
        <v>0.16</v>
      </c>
      <c r="J8" s="181">
        <f t="shared" si="2"/>
        <v>9565.106713213152</v>
      </c>
      <c r="K8" s="182">
        <f t="shared" si="3"/>
        <v>0.16720000000000004</v>
      </c>
      <c r="L8" s="161">
        <f t="shared" si="4"/>
        <v>18670.263475453161</v>
      </c>
      <c r="M8" s="162">
        <v>18599.760578259204</v>
      </c>
      <c r="N8" s="206">
        <f>L8-M8</f>
        <v>70.502897193957324</v>
      </c>
      <c r="O8" s="164" t="s">
        <v>4</v>
      </c>
      <c r="P8" s="161">
        <v>218</v>
      </c>
      <c r="Q8" s="25">
        <f t="shared" si="14"/>
        <v>7095.6845176735733</v>
      </c>
      <c r="R8" s="25">
        <f t="shared" si="15"/>
        <v>-11504.07606058563</v>
      </c>
      <c r="T8" s="280">
        <f t="shared" si="5"/>
        <v>859.60622953801874</v>
      </c>
      <c r="U8" s="198">
        <v>4</v>
      </c>
      <c r="V8" s="203">
        <f t="shared" si="16"/>
        <v>71347.317051655555</v>
      </c>
      <c r="W8" s="202">
        <v>0.1</v>
      </c>
      <c r="X8" s="55">
        <v>0.27</v>
      </c>
      <c r="Y8" s="200">
        <f t="shared" si="6"/>
        <v>19263.775603947</v>
      </c>
      <c r="Z8" s="55">
        <v>0.36</v>
      </c>
      <c r="AA8" s="200">
        <f t="shared" si="7"/>
        <v>6934.9592174209201</v>
      </c>
      <c r="AB8" s="202">
        <v>0.16</v>
      </c>
      <c r="AC8" s="203">
        <f t="shared" si="8"/>
        <v>5825.3657426335731</v>
      </c>
      <c r="AD8" s="281">
        <f t="shared" si="9"/>
        <v>9.7200000000000009E-2</v>
      </c>
      <c r="AE8" s="269">
        <v>4</v>
      </c>
      <c r="AF8" s="204">
        <v>12</v>
      </c>
      <c r="AG8" s="200">
        <f>5/12*AF8</f>
        <v>5</v>
      </c>
      <c r="AH8" s="204">
        <f>AF7+AG8+AF6+AF5</f>
        <v>32</v>
      </c>
      <c r="AI8" s="200">
        <f t="shared" si="17"/>
        <v>486.20250000000004</v>
      </c>
      <c r="AJ8" s="202"/>
      <c r="AK8" s="154">
        <f t="shared" si="18"/>
        <v>0.27</v>
      </c>
      <c r="AL8" s="201">
        <f t="shared" si="10"/>
        <v>131.27467500000003</v>
      </c>
      <c r="AM8" s="154">
        <v>0.36</v>
      </c>
      <c r="AN8" s="201">
        <f t="shared" si="11"/>
        <v>47.258883000000012</v>
      </c>
      <c r="AO8" s="202">
        <v>0.16</v>
      </c>
      <c r="AP8" s="203">
        <f t="shared" si="12"/>
        <v>39.697461720000007</v>
      </c>
      <c r="AQ8" s="265">
        <f>AP8*AH8</f>
        <v>1270.3187750400002</v>
      </c>
      <c r="AR8" s="264">
        <f t="shared" si="13"/>
        <v>7095.6845176735733</v>
      </c>
      <c r="AS8" s="263">
        <f t="shared" si="19"/>
        <v>122</v>
      </c>
      <c r="AU8" s="25"/>
    </row>
    <row r="9" spans="2:47" ht="15" thickBot="1" x14ac:dyDescent="0.4">
      <c r="B9" s="183">
        <v>5</v>
      </c>
      <c r="C9" s="184">
        <f>C8*110%</f>
        <v>74914.682904238332</v>
      </c>
      <c r="D9" s="185">
        <v>0.1</v>
      </c>
      <c r="E9" s="165">
        <v>0.39</v>
      </c>
      <c r="F9" s="186">
        <f t="shared" si="0"/>
        <v>29216.72633265295</v>
      </c>
      <c r="G9" s="165">
        <v>0.44</v>
      </c>
      <c r="H9" s="186">
        <f t="shared" si="1"/>
        <v>12855.359586367298</v>
      </c>
      <c r="I9" s="185">
        <v>0.16</v>
      </c>
      <c r="J9" s="184">
        <f t="shared" si="2"/>
        <v>10798.502052548531</v>
      </c>
      <c r="K9" s="187">
        <f t="shared" si="3"/>
        <v>0.1716</v>
      </c>
      <c r="L9" s="166">
        <f t="shared" si="4"/>
        <v>23761.709629868536</v>
      </c>
      <c r="M9" s="167">
        <v>23470.563578795416</v>
      </c>
      <c r="N9" s="207">
        <f>L9-M9</f>
        <v>291.14605107311945</v>
      </c>
      <c r="O9" s="168" t="s">
        <v>5</v>
      </c>
      <c r="P9" s="168">
        <v>245</v>
      </c>
      <c r="Q9" s="25">
        <f t="shared" si="14"/>
        <v>8241.9250483609303</v>
      </c>
      <c r="R9" s="25">
        <f t="shared" si="15"/>
        <v>-15228.638530434486</v>
      </c>
      <c r="T9" s="282">
        <f t="shared" si="5"/>
        <v>945.56685249182055</v>
      </c>
      <c r="U9" s="283">
        <v>5</v>
      </c>
      <c r="V9" s="203">
        <f t="shared" si="16"/>
        <v>78482.04875682111</v>
      </c>
      <c r="W9" s="202">
        <v>0.1</v>
      </c>
      <c r="X9" s="55">
        <v>0.27</v>
      </c>
      <c r="Y9" s="273">
        <f t="shared" si="6"/>
        <v>21190.1531643417</v>
      </c>
      <c r="Z9" s="55">
        <v>0.36</v>
      </c>
      <c r="AA9" s="273">
        <f t="shared" si="7"/>
        <v>7628.4551391630121</v>
      </c>
      <c r="AB9" s="274">
        <v>0.16</v>
      </c>
      <c r="AC9" s="276">
        <f t="shared" si="8"/>
        <v>6407.9023168969297</v>
      </c>
      <c r="AD9" s="284">
        <f t="shared" si="9"/>
        <v>9.7200000000000009E-2</v>
      </c>
      <c r="AE9" s="271">
        <v>5</v>
      </c>
      <c r="AF9" s="272">
        <v>12</v>
      </c>
      <c r="AG9" s="273">
        <f>5/12*AF9</f>
        <v>5</v>
      </c>
      <c r="AH9" s="272">
        <f>AF8+AG9+AF7+AF6+AF5</f>
        <v>44</v>
      </c>
      <c r="AI9" s="200">
        <f t="shared" si="17"/>
        <v>510.51262500000007</v>
      </c>
      <c r="AJ9" s="274"/>
      <c r="AK9" s="154">
        <f t="shared" si="18"/>
        <v>0.27</v>
      </c>
      <c r="AL9" s="275">
        <f t="shared" si="10"/>
        <v>137.83840875000004</v>
      </c>
      <c r="AM9" s="154">
        <v>0.36</v>
      </c>
      <c r="AN9" s="275">
        <f t="shared" si="11"/>
        <v>49.621827150000016</v>
      </c>
      <c r="AO9" s="274">
        <v>0.16</v>
      </c>
      <c r="AP9" s="276">
        <f t="shared" si="12"/>
        <v>41.682334806000014</v>
      </c>
      <c r="AQ9" s="277">
        <f>AP9*AH9</f>
        <v>1834.0227314640006</v>
      </c>
      <c r="AR9" s="266">
        <f t="shared" si="13"/>
        <v>8241.9250483609303</v>
      </c>
      <c r="AS9" s="263">
        <f t="shared" si="19"/>
        <v>134</v>
      </c>
      <c r="AU9" s="25"/>
    </row>
    <row r="10" spans="2:47" ht="15" thickBot="1" x14ac:dyDescent="0.4"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16"/>
      <c r="M10" s="116"/>
      <c r="N10" s="116"/>
      <c r="O10" s="116"/>
      <c r="P10" s="116"/>
      <c r="Q10" s="116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N10" s="116"/>
      <c r="AR10" s="116"/>
      <c r="AS10" s="116"/>
    </row>
    <row r="11" spans="2:47" ht="15" thickBot="1" x14ac:dyDescent="0.4">
      <c r="B11" s="367" t="s">
        <v>313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9"/>
      <c r="O11" s="116"/>
      <c r="P11" s="116"/>
      <c r="Q11" s="116"/>
      <c r="V11" s="363" t="s">
        <v>350</v>
      </c>
      <c r="W11" s="363"/>
      <c r="X11" s="363"/>
      <c r="Y11" s="363"/>
      <c r="Z11" s="363"/>
      <c r="AA11" s="363"/>
      <c r="AB11" s="363"/>
      <c r="AH11" s="116"/>
      <c r="AI11" s="116"/>
      <c r="AJ11" s="116"/>
      <c r="AK11" s="116"/>
      <c r="AL11" s="116"/>
      <c r="AM11" s="116"/>
      <c r="AN11" s="116"/>
    </row>
    <row r="12" spans="2:47" ht="87.5" thickBot="1" x14ac:dyDescent="0.4">
      <c r="B12" s="189" t="s">
        <v>42</v>
      </c>
      <c r="C12" s="190" t="s">
        <v>235</v>
      </c>
      <c r="D12" s="190" t="s">
        <v>277</v>
      </c>
      <c r="E12" s="153" t="s">
        <v>278</v>
      </c>
      <c r="F12" s="190" t="s">
        <v>279</v>
      </c>
      <c r="G12" s="190" t="s">
        <v>269</v>
      </c>
      <c r="H12" s="169" t="s">
        <v>272</v>
      </c>
      <c r="I12" s="169" t="s">
        <v>273</v>
      </c>
      <c r="J12" s="190" t="s">
        <v>274</v>
      </c>
      <c r="K12" s="190" t="s">
        <v>265</v>
      </c>
      <c r="L12" s="190" t="s">
        <v>266</v>
      </c>
      <c r="M12" s="191" t="s">
        <v>267</v>
      </c>
      <c r="N12" s="170" t="s">
        <v>315</v>
      </c>
      <c r="O12" s="116"/>
      <c r="P12" s="116"/>
      <c r="Q12" s="116"/>
      <c r="V12" s="3" t="s">
        <v>323</v>
      </c>
      <c r="W12" s="3" t="s">
        <v>250</v>
      </c>
      <c r="X12" s="3" t="s">
        <v>288</v>
      </c>
      <c r="Y12" s="3" t="s">
        <v>289</v>
      </c>
      <c r="Z12" s="3" t="s">
        <v>290</v>
      </c>
      <c r="AA12" s="3" t="s">
        <v>291</v>
      </c>
      <c r="AB12" s="3" t="s">
        <v>292</v>
      </c>
      <c r="AH12" s="116"/>
      <c r="AI12" s="116"/>
      <c r="AJ12" s="116"/>
      <c r="AK12" s="116"/>
      <c r="AL12" s="116"/>
      <c r="AM12" s="116"/>
      <c r="AN12" s="116"/>
    </row>
    <row r="13" spans="2:47" x14ac:dyDescent="0.35">
      <c r="B13" s="192" t="s">
        <v>250</v>
      </c>
      <c r="C13" s="171"/>
      <c r="D13" s="171"/>
      <c r="E13" s="171"/>
      <c r="F13" s="193">
        <f>400</f>
        <v>400</v>
      </c>
      <c r="G13" s="194"/>
      <c r="H13" s="172"/>
      <c r="I13" s="195">
        <f t="shared" ref="I13:I18" si="20">F13*H13</f>
        <v>0</v>
      </c>
      <c r="J13" s="172">
        <f>G4</f>
        <v>0.36</v>
      </c>
      <c r="K13" s="195">
        <f t="shared" ref="K13:K18" si="21">I13*J13</f>
        <v>0</v>
      </c>
      <c r="L13" s="196">
        <v>0.16</v>
      </c>
      <c r="M13" s="197">
        <f t="shared" ref="M13:M18" si="22">K13*(100%-L13)</f>
        <v>0</v>
      </c>
      <c r="N13" s="173">
        <f>M13*C13</f>
        <v>0</v>
      </c>
      <c r="O13" s="116"/>
      <c r="P13" s="116"/>
      <c r="Q13" s="116"/>
      <c r="V13" s="3" t="s">
        <v>349</v>
      </c>
      <c r="W13" s="26">
        <v>3978.803184641466</v>
      </c>
      <c r="X13" s="26">
        <v>4862.9816701173486</v>
      </c>
      <c r="Y13" s="26">
        <v>6835.1909029982726</v>
      </c>
      <c r="Z13" s="26">
        <v>9432.5634461376158</v>
      </c>
      <c r="AA13" s="26">
        <v>10952.254223570899</v>
      </c>
      <c r="AB13" s="26">
        <v>12364.518583978723</v>
      </c>
      <c r="AH13" s="116"/>
      <c r="AI13" s="116"/>
      <c r="AJ13" s="116"/>
      <c r="AK13" s="116"/>
      <c r="AL13" s="116"/>
      <c r="AM13" s="116"/>
      <c r="AN13" s="116"/>
    </row>
    <row r="14" spans="2:47" x14ac:dyDescent="0.35">
      <c r="B14" s="198">
        <v>1</v>
      </c>
      <c r="C14" s="199">
        <v>13</v>
      </c>
      <c r="D14" s="200">
        <f>5/12*C14</f>
        <v>5.416666666666667</v>
      </c>
      <c r="E14" s="201">
        <f>D14</f>
        <v>5.416666666666667</v>
      </c>
      <c r="F14" s="200">
        <f>F13*105%</f>
        <v>420</v>
      </c>
      <c r="G14" s="202">
        <v>0.05</v>
      </c>
      <c r="H14" s="154">
        <f>E5</f>
        <v>0.30000000000000004</v>
      </c>
      <c r="I14" s="201">
        <f t="shared" si="20"/>
        <v>126.00000000000001</v>
      </c>
      <c r="J14" s="154">
        <v>0.36</v>
      </c>
      <c r="K14" s="201">
        <f t="shared" si="21"/>
        <v>45.360000000000007</v>
      </c>
      <c r="L14" s="202">
        <v>0.16</v>
      </c>
      <c r="M14" s="203">
        <f t="shared" si="22"/>
        <v>38.102400000000003</v>
      </c>
      <c r="N14" s="156">
        <f>M14*E14</f>
        <v>206.38800000000003</v>
      </c>
      <c r="O14" s="116"/>
      <c r="P14" s="116"/>
      <c r="Q14" s="116"/>
      <c r="V14" s="3" t="s">
        <v>264</v>
      </c>
      <c r="W14" s="26">
        <v>0</v>
      </c>
      <c r="X14" s="26">
        <v>216.21600000000007</v>
      </c>
      <c r="Y14" s="26">
        <v>1711.2110400000004</v>
      </c>
      <c r="Z14" s="26">
        <v>5666.1232320000008</v>
      </c>
      <c r="AA14" s="26">
        <v>10425.601574080003</v>
      </c>
      <c r="AB14" s="26">
        <v>14843.15326494</v>
      </c>
      <c r="AH14" s="250">
        <f>AP5*AG5</f>
        <v>71.441999999999993</v>
      </c>
      <c r="AI14" s="116"/>
      <c r="AJ14" s="116"/>
      <c r="AK14" s="116"/>
      <c r="AL14" s="116"/>
      <c r="AM14" s="116"/>
      <c r="AN14" s="116"/>
    </row>
    <row r="15" spans="2:47" x14ac:dyDescent="0.35">
      <c r="B15" s="198">
        <v>2</v>
      </c>
      <c r="C15" s="204">
        <v>42</v>
      </c>
      <c r="D15" s="200">
        <f>5/12*C15</f>
        <v>17.5</v>
      </c>
      <c r="E15" s="204">
        <f>C14+D15</f>
        <v>30.5</v>
      </c>
      <c r="F15" s="200">
        <f>F14*110%</f>
        <v>462.00000000000006</v>
      </c>
      <c r="G15" s="202">
        <v>0.1</v>
      </c>
      <c r="H15" s="154">
        <f t="shared" ref="H15:H18" si="23">E6</f>
        <v>0.33000000000000007</v>
      </c>
      <c r="I15" s="201">
        <f t="shared" si="20"/>
        <v>152.46000000000006</v>
      </c>
      <c r="J15" s="154">
        <v>0.39999999999999997</v>
      </c>
      <c r="K15" s="201">
        <f t="shared" si="21"/>
        <v>60.984000000000023</v>
      </c>
      <c r="L15" s="202">
        <v>0.16</v>
      </c>
      <c r="M15" s="203">
        <f t="shared" si="22"/>
        <v>51.226560000000021</v>
      </c>
      <c r="N15" s="156">
        <f>M15*E15</f>
        <v>1562.4100800000006</v>
      </c>
      <c r="O15" s="116"/>
      <c r="P15" s="116"/>
      <c r="Q15" s="116"/>
      <c r="V15" s="3" t="s">
        <v>226</v>
      </c>
      <c r="W15" s="27">
        <f>SUM(W13:W14)</f>
        <v>3978.803184641466</v>
      </c>
      <c r="X15" s="27">
        <f t="shared" ref="X15:AB15" si="24">SUM(X13:X14)</f>
        <v>5079.1976701173489</v>
      </c>
      <c r="Y15" s="27">
        <f t="shared" si="24"/>
        <v>8546.4019429982727</v>
      </c>
      <c r="Z15" s="27">
        <f t="shared" si="24"/>
        <v>15098.686678137616</v>
      </c>
      <c r="AA15" s="27">
        <f t="shared" si="24"/>
        <v>21377.855797650904</v>
      </c>
      <c r="AB15" s="27">
        <f t="shared" si="24"/>
        <v>27207.671848918722</v>
      </c>
      <c r="AH15" s="250">
        <f>AP6*AG6</f>
        <v>150.02820000000003</v>
      </c>
      <c r="AI15" s="116"/>
      <c r="AJ15" s="116"/>
      <c r="AK15" s="116"/>
      <c r="AL15" s="116"/>
      <c r="AM15" s="116"/>
      <c r="AN15" s="116"/>
    </row>
    <row r="16" spans="2:47" ht="29" x14ac:dyDescent="0.35">
      <c r="B16" s="198">
        <v>3</v>
      </c>
      <c r="C16" s="204">
        <v>52</v>
      </c>
      <c r="D16" s="200">
        <f>5/12*C16</f>
        <v>21.666666666666668</v>
      </c>
      <c r="E16" s="204">
        <f>C15+D16+C14</f>
        <v>76.666666666666671</v>
      </c>
      <c r="F16" s="200">
        <f>F15*110%</f>
        <v>508.2000000000001</v>
      </c>
      <c r="G16" s="202">
        <v>0.1</v>
      </c>
      <c r="H16" s="154">
        <f t="shared" si="23"/>
        <v>0.3600000000000001</v>
      </c>
      <c r="I16" s="201">
        <f t="shared" si="20"/>
        <v>182.95200000000008</v>
      </c>
      <c r="J16" s="154">
        <v>0.42</v>
      </c>
      <c r="K16" s="201">
        <f t="shared" si="21"/>
        <v>76.839840000000038</v>
      </c>
      <c r="L16" s="202">
        <v>0.16</v>
      </c>
      <c r="M16" s="203">
        <f t="shared" si="22"/>
        <v>64.545465600000028</v>
      </c>
      <c r="N16" s="156">
        <f>M16*E16</f>
        <v>4948.4856960000025</v>
      </c>
      <c r="O16" s="116"/>
      <c r="P16" s="116"/>
      <c r="Q16" s="116"/>
      <c r="V16" s="252" t="s">
        <v>351</v>
      </c>
      <c r="W16" s="8">
        <f>W13/W15</f>
        <v>1</v>
      </c>
      <c r="X16" s="55">
        <f t="shared" ref="X16:AB16" si="25">X13/X15</f>
        <v>0.9574310719836574</v>
      </c>
      <c r="Y16" s="55">
        <f t="shared" si="25"/>
        <v>0.79977409775327413</v>
      </c>
      <c r="Z16" s="55">
        <f t="shared" si="25"/>
        <v>0.62472741154339251</v>
      </c>
      <c r="AA16" s="55">
        <f t="shared" si="25"/>
        <v>0.51231771451907648</v>
      </c>
      <c r="AB16" s="55">
        <f t="shared" si="25"/>
        <v>0.45444971009050555</v>
      </c>
      <c r="AH16" s="250">
        <f>AP7*AG7</f>
        <v>189.03553199999999</v>
      </c>
      <c r="AI16" s="116"/>
      <c r="AJ16" s="116"/>
      <c r="AK16" s="116"/>
      <c r="AL16" s="116"/>
      <c r="AM16" s="116"/>
      <c r="AN16" s="116"/>
    </row>
    <row r="17" spans="2:40" ht="43.5" x14ac:dyDescent="0.35">
      <c r="B17" s="198">
        <v>4</v>
      </c>
      <c r="C17" s="204">
        <v>28</v>
      </c>
      <c r="D17" s="200">
        <f>5/12*C17</f>
        <v>11.666666666666668</v>
      </c>
      <c r="E17" s="204">
        <f>C16+D17+C15+C14</f>
        <v>118.66666666666667</v>
      </c>
      <c r="F17" s="200">
        <f>F16*110%</f>
        <v>559.02000000000021</v>
      </c>
      <c r="G17" s="202">
        <v>0.1</v>
      </c>
      <c r="H17" s="154">
        <f t="shared" si="23"/>
        <v>0.38000000000000012</v>
      </c>
      <c r="I17" s="201">
        <f t="shared" si="20"/>
        <v>212.42760000000015</v>
      </c>
      <c r="J17" s="154">
        <v>0.43</v>
      </c>
      <c r="K17" s="201">
        <f t="shared" si="21"/>
        <v>91.343868000000072</v>
      </c>
      <c r="L17" s="202">
        <v>0.16</v>
      </c>
      <c r="M17" s="203">
        <f t="shared" si="22"/>
        <v>76.728849120000064</v>
      </c>
      <c r="N17" s="156">
        <f>M17*E17</f>
        <v>9105.1567622400071</v>
      </c>
      <c r="O17" s="116"/>
      <c r="P17" s="116"/>
      <c r="Q17" s="116"/>
      <c r="V17" s="252" t="s">
        <v>354</v>
      </c>
      <c r="W17" s="8"/>
      <c r="X17" s="26">
        <v>216.21600000000007</v>
      </c>
      <c r="Y17" s="26">
        <v>981.84240000000023</v>
      </c>
      <c r="Z17" s="26">
        <v>1601.2956960000004</v>
      </c>
      <c r="AA17" s="26">
        <v>1024.9889188000004</v>
      </c>
      <c r="AB17" s="26">
        <v>1141.78102038</v>
      </c>
      <c r="AH17" s="250">
        <f>AP8*AG8</f>
        <v>198.48730860000003</v>
      </c>
      <c r="AI17" s="116"/>
      <c r="AJ17" s="116"/>
      <c r="AK17" s="116"/>
      <c r="AL17" s="116"/>
      <c r="AM17" s="116"/>
      <c r="AN17" s="116"/>
    </row>
    <row r="18" spans="2:40" ht="58.5" thickBot="1" x14ac:dyDescent="0.4">
      <c r="B18" s="198">
        <v>5</v>
      </c>
      <c r="C18" s="204">
        <v>27</v>
      </c>
      <c r="D18" s="200">
        <f>5/12*C18</f>
        <v>11.25</v>
      </c>
      <c r="E18" s="204">
        <f>C17+D18+C16+C15+C14</f>
        <v>146.25</v>
      </c>
      <c r="F18" s="200">
        <f>F17*110%</f>
        <v>614.92200000000025</v>
      </c>
      <c r="G18" s="202">
        <v>0.1</v>
      </c>
      <c r="H18" s="154">
        <f t="shared" si="23"/>
        <v>0.39</v>
      </c>
      <c r="I18" s="201">
        <f t="shared" si="20"/>
        <v>239.81958000000012</v>
      </c>
      <c r="J18" s="154">
        <v>0.44</v>
      </c>
      <c r="K18" s="201">
        <f t="shared" si="21"/>
        <v>105.52061520000005</v>
      </c>
      <c r="L18" s="202">
        <v>0.16</v>
      </c>
      <c r="M18" s="203">
        <f t="shared" si="22"/>
        <v>88.637316768000034</v>
      </c>
      <c r="N18" s="156">
        <f>M18*E18</f>
        <v>12963.207577320005</v>
      </c>
      <c r="O18" s="116"/>
      <c r="P18" s="116"/>
      <c r="Q18" s="116"/>
      <c r="V18" s="252" t="s">
        <v>353</v>
      </c>
      <c r="W18" s="8"/>
      <c r="X18" s="55">
        <f>X17/X15</f>
        <v>4.2568928016342517E-2</v>
      </c>
      <c r="Y18" s="55">
        <f t="shared" ref="Y18:AB18" si="26">Y17/Y15</f>
        <v>0.11488371440385912</v>
      </c>
      <c r="Z18" s="55">
        <f t="shared" si="26"/>
        <v>0.10605529673773693</v>
      </c>
      <c r="AA18" s="55">
        <f t="shared" si="26"/>
        <v>4.7946292111888549E-2</v>
      </c>
      <c r="AB18" s="55">
        <f t="shared" si="26"/>
        <v>4.1965406916114958E-2</v>
      </c>
      <c r="AH18" s="250">
        <f>AP9*AG9</f>
        <v>208.41167403000009</v>
      </c>
      <c r="AI18" s="249"/>
      <c r="AJ18" s="255"/>
      <c r="AK18" s="255"/>
      <c r="AL18" s="255"/>
      <c r="AM18" s="116"/>
      <c r="AN18" s="116"/>
    </row>
    <row r="19" spans="2:40" ht="43.5" x14ac:dyDescent="0.35">
      <c r="C19" s="25">
        <f>SUM(C14:C18)</f>
        <v>162</v>
      </c>
      <c r="V19" s="252" t="s">
        <v>352</v>
      </c>
      <c r="W19" s="8">
        <f>W14/W15</f>
        <v>0</v>
      </c>
      <c r="X19" s="55">
        <f t="shared" ref="X19:AB19" si="27">X14/X15</f>
        <v>4.2568928016342517E-2</v>
      </c>
      <c r="Y19" s="55">
        <f t="shared" si="27"/>
        <v>0.2002259022467259</v>
      </c>
      <c r="Z19" s="55">
        <f t="shared" si="27"/>
        <v>0.3752725884566076</v>
      </c>
      <c r="AA19" s="55">
        <f t="shared" si="27"/>
        <v>0.48768228548092346</v>
      </c>
      <c r="AB19" s="55">
        <f t="shared" si="27"/>
        <v>0.54555028990949439</v>
      </c>
    </row>
    <row r="20" spans="2:40" x14ac:dyDescent="0.35">
      <c r="C20" s="25">
        <v>83</v>
      </c>
    </row>
    <row r="21" spans="2:40" x14ac:dyDescent="0.35">
      <c r="C21" s="25"/>
    </row>
    <row r="22" spans="2:40" x14ac:dyDescent="0.35">
      <c r="C22" s="25">
        <f>C19+C20</f>
        <v>245</v>
      </c>
    </row>
  </sheetData>
  <mergeCells count="7">
    <mergeCell ref="AR2:AS2"/>
    <mergeCell ref="AE2:AQ2"/>
    <mergeCell ref="T2:AD2"/>
    <mergeCell ref="V11:AB11"/>
    <mergeCell ref="B2:K2"/>
    <mergeCell ref="B11:N11"/>
    <mergeCell ref="L2:P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AK121"/>
  <sheetViews>
    <sheetView topLeftCell="A100" workbookViewId="0">
      <selection activeCell="F118" sqref="F118"/>
    </sheetView>
  </sheetViews>
  <sheetFormatPr defaultRowHeight="14.5" x14ac:dyDescent="0.35"/>
  <cols>
    <col min="2" max="2" width="28.54296875" bestFit="1" customWidth="1"/>
    <col min="5" max="5" width="14.54296875" bestFit="1" customWidth="1"/>
    <col min="19" max="20" width="10.7265625" bestFit="1" customWidth="1"/>
    <col min="21" max="22" width="11.54296875" bestFit="1" customWidth="1"/>
    <col min="23" max="23" width="11.7265625" bestFit="1" customWidth="1"/>
    <col min="26" max="26" width="9.26953125" bestFit="1" customWidth="1"/>
    <col min="27" max="28" width="10" bestFit="1" customWidth="1"/>
    <col min="29" max="30" width="10.1796875" bestFit="1" customWidth="1"/>
    <col min="33" max="34" width="9.26953125" bestFit="1" customWidth="1"/>
    <col min="35" max="37" width="10" bestFit="1" customWidth="1"/>
  </cols>
  <sheetData>
    <row r="2" spans="2:12" ht="18.5" x14ac:dyDescent="0.45">
      <c r="B2" s="90" t="s">
        <v>394</v>
      </c>
    </row>
    <row r="3" spans="2:12" x14ac:dyDescent="0.35">
      <c r="B3" s="315" t="s">
        <v>394</v>
      </c>
      <c r="C3" s="315" t="s">
        <v>395</v>
      </c>
      <c r="D3" s="315" t="s">
        <v>396</v>
      </c>
      <c r="E3" s="315" t="s">
        <v>250</v>
      </c>
      <c r="F3" s="315" t="s">
        <v>341</v>
      </c>
      <c r="G3" s="315" t="s">
        <v>342</v>
      </c>
      <c r="H3" s="315" t="s">
        <v>343</v>
      </c>
      <c r="I3" s="315" t="s">
        <v>344</v>
      </c>
    </row>
    <row r="4" spans="2:12" x14ac:dyDescent="0.35">
      <c r="B4" t="s">
        <v>397</v>
      </c>
      <c r="E4" s="316">
        <v>0.1</v>
      </c>
      <c r="F4" s="316">
        <v>0.15</v>
      </c>
      <c r="G4" s="316">
        <v>0.15</v>
      </c>
      <c r="H4" s="316">
        <v>0.1</v>
      </c>
      <c r="I4" s="316">
        <v>0.1</v>
      </c>
    </row>
    <row r="5" spans="2:12" x14ac:dyDescent="0.35">
      <c r="B5" t="s">
        <v>398</v>
      </c>
      <c r="E5" s="317" t="s">
        <v>399</v>
      </c>
      <c r="F5" s="317" t="s">
        <v>399</v>
      </c>
      <c r="G5" s="317" t="s">
        <v>399</v>
      </c>
      <c r="H5" s="317" t="s">
        <v>399</v>
      </c>
      <c r="I5" s="317" t="s">
        <v>399</v>
      </c>
    </row>
    <row r="6" spans="2:12" x14ac:dyDescent="0.35">
      <c r="B6" t="s">
        <v>272</v>
      </c>
      <c r="D6" t="s">
        <v>264</v>
      </c>
      <c r="E6" s="150">
        <v>0.30000000000000004</v>
      </c>
      <c r="F6" s="150">
        <v>0.33000000000000007</v>
      </c>
      <c r="G6" s="150">
        <v>0.3600000000000001</v>
      </c>
      <c r="H6" s="150">
        <v>0.38000000000000012</v>
      </c>
      <c r="I6" s="150">
        <v>0.39</v>
      </c>
    </row>
    <row r="7" spans="2:12" x14ac:dyDescent="0.35">
      <c r="B7" t="s">
        <v>274</v>
      </c>
      <c r="D7" t="s">
        <v>264</v>
      </c>
      <c r="E7" s="150">
        <v>0.36</v>
      </c>
      <c r="F7" s="150">
        <v>0.39999999999999997</v>
      </c>
      <c r="G7" s="150">
        <v>0.42</v>
      </c>
      <c r="H7" s="150">
        <v>0.43</v>
      </c>
      <c r="I7" s="150">
        <v>0.44</v>
      </c>
      <c r="J7" s="150">
        <v>0.44</v>
      </c>
    </row>
    <row r="8" spans="2:12" x14ac:dyDescent="0.35">
      <c r="B8" t="s">
        <v>272</v>
      </c>
      <c r="D8" t="s">
        <v>400</v>
      </c>
      <c r="E8" s="150">
        <v>0.30000000000000004</v>
      </c>
      <c r="F8" s="150">
        <v>0.33000000000000007</v>
      </c>
      <c r="G8" s="150">
        <v>0.3600000000000001</v>
      </c>
      <c r="H8" s="150">
        <v>0.38000000000000012</v>
      </c>
      <c r="I8" s="150">
        <v>0.39</v>
      </c>
      <c r="J8" s="150"/>
    </row>
    <row r="9" spans="2:12" x14ac:dyDescent="0.35">
      <c r="B9" t="s">
        <v>274</v>
      </c>
      <c r="D9" t="s">
        <v>400</v>
      </c>
      <c r="E9" s="150">
        <v>0.36</v>
      </c>
      <c r="F9" s="150">
        <v>0.39999999999999997</v>
      </c>
      <c r="G9" s="150">
        <v>0.44</v>
      </c>
      <c r="H9" s="150">
        <v>0.44</v>
      </c>
      <c r="I9" s="150">
        <v>0.44</v>
      </c>
      <c r="J9" s="150"/>
    </row>
    <row r="10" spans="2:12" x14ac:dyDescent="0.35">
      <c r="B10" s="318" t="s">
        <v>401</v>
      </c>
      <c r="C10" s="319"/>
      <c r="D10" s="319">
        <v>4060.9314625398724</v>
      </c>
      <c r="E10" s="319">
        <f>D10*(1+E4)</f>
        <v>4467.0246087938604</v>
      </c>
      <c r="F10" s="319">
        <f>E10*(1+F4)</f>
        <v>5137.0783001129394</v>
      </c>
      <c r="G10" s="319">
        <f>F10*(1+G4)</f>
        <v>5907.6400451298796</v>
      </c>
      <c r="H10" s="319">
        <f>G10*(1+H4)</f>
        <v>6498.4040496428679</v>
      </c>
      <c r="I10" s="319">
        <f>H10*(1+I4)</f>
        <v>7148.2444546071556</v>
      </c>
    </row>
    <row r="12" spans="2:12" x14ac:dyDescent="0.35">
      <c r="B12" s="152" t="s">
        <v>402</v>
      </c>
      <c r="C12" s="320">
        <v>400</v>
      </c>
      <c r="D12" t="s">
        <v>264</v>
      </c>
      <c r="E12">
        <v>0.30000000000000004</v>
      </c>
      <c r="F12">
        <v>0.33000000000000007</v>
      </c>
      <c r="G12">
        <v>0.3600000000000001</v>
      </c>
      <c r="H12">
        <v>0.38000000000000012</v>
      </c>
      <c r="I12">
        <v>0.39</v>
      </c>
    </row>
    <row r="13" spans="2:12" x14ac:dyDescent="0.35">
      <c r="B13" s="152" t="s">
        <v>402</v>
      </c>
      <c r="C13" s="320">
        <v>587.12262109010203</v>
      </c>
      <c r="D13" t="s">
        <v>400</v>
      </c>
      <c r="E13">
        <v>0.36</v>
      </c>
      <c r="F13">
        <v>0.39999999999999997</v>
      </c>
      <c r="G13">
        <v>0.44</v>
      </c>
      <c r="H13">
        <v>0.44</v>
      </c>
      <c r="I13">
        <v>0.44</v>
      </c>
    </row>
    <row r="14" spans="2:12" x14ac:dyDescent="0.35">
      <c r="B14" s="152"/>
      <c r="E14" s="227"/>
      <c r="F14" s="227"/>
      <c r="G14" s="227"/>
      <c r="H14" s="227"/>
      <c r="I14" s="227"/>
    </row>
    <row r="15" spans="2:12" x14ac:dyDescent="0.35">
      <c r="B15" s="321" t="s">
        <v>403</v>
      </c>
      <c r="C15" s="322" t="s">
        <v>404</v>
      </c>
      <c r="D15" s="323" t="s">
        <v>405</v>
      </c>
      <c r="E15" s="323" t="s">
        <v>406</v>
      </c>
      <c r="H15" s="324" t="s">
        <v>407</v>
      </c>
      <c r="I15" s="325" t="s">
        <v>404</v>
      </c>
      <c r="J15" s="325" t="s">
        <v>405</v>
      </c>
      <c r="K15" s="325" t="s">
        <v>406</v>
      </c>
      <c r="L15" s="325" t="s">
        <v>250</v>
      </c>
    </row>
    <row r="16" spans="2:12" x14ac:dyDescent="0.35">
      <c r="B16" s="326" t="s">
        <v>213</v>
      </c>
      <c r="C16" s="327">
        <v>178.86647389166666</v>
      </c>
      <c r="D16" s="328">
        <v>230.88986554166667</v>
      </c>
      <c r="E16" s="328">
        <v>206.3058364</v>
      </c>
      <c r="H16" s="329" t="s">
        <v>213</v>
      </c>
      <c r="I16" s="330">
        <f>C16/$C$29</f>
        <v>4.3162445307190316E-2</v>
      </c>
      <c r="J16" s="330">
        <f>D16/$D$29</f>
        <v>5.7266087842953603E-2</v>
      </c>
      <c r="K16" s="330">
        <f>E16/$E$29</f>
        <v>5.1816056855766214E-2</v>
      </c>
      <c r="L16" s="330">
        <f>K16</f>
        <v>5.1816056855766214E-2</v>
      </c>
    </row>
    <row r="17" spans="2:12" x14ac:dyDescent="0.35">
      <c r="B17" s="326" t="s">
        <v>214</v>
      </c>
      <c r="C17" s="327">
        <v>367.90931017500009</v>
      </c>
      <c r="D17" s="328">
        <v>376.57766246333341</v>
      </c>
      <c r="E17" s="328">
        <v>367.39118565000012</v>
      </c>
      <c r="H17" s="329" t="s">
        <v>214</v>
      </c>
      <c r="I17" s="330">
        <f t="shared" ref="I17:I28" si="0">C17/$C$29</f>
        <v>8.8780558664406012E-2</v>
      </c>
      <c r="J17" s="330">
        <f t="shared" ref="J17:J28" si="1">D17/$D$29</f>
        <v>9.3400069542799891E-2</v>
      </c>
      <c r="K17" s="330">
        <f t="shared" ref="K17:K28" si="2">E17/$E$29</f>
        <v>9.2274474130911055E-2</v>
      </c>
      <c r="L17" s="330">
        <f t="shared" ref="L17:L28" si="3">K17</f>
        <v>9.2274474130911055E-2</v>
      </c>
    </row>
    <row r="18" spans="2:12" x14ac:dyDescent="0.35">
      <c r="B18" s="326" t="s">
        <v>215</v>
      </c>
      <c r="C18" s="327">
        <v>2660.5015981388892</v>
      </c>
      <c r="D18" s="328">
        <v>2391.2087558540602</v>
      </c>
      <c r="E18" s="328">
        <v>2361.4804647008004</v>
      </c>
      <c r="H18" s="329" t="s">
        <v>215</v>
      </c>
      <c r="I18" s="330">
        <f t="shared" si="0"/>
        <v>0.64200826583584991</v>
      </c>
      <c r="J18" s="330">
        <f t="shared" si="1"/>
        <v>0.59307570881177074</v>
      </c>
      <c r="K18" s="330">
        <f t="shared" si="2"/>
        <v>0.59311267270923362</v>
      </c>
      <c r="L18" s="330">
        <f t="shared" si="3"/>
        <v>0.59311267270923362</v>
      </c>
    </row>
    <row r="19" spans="2:12" x14ac:dyDescent="0.35">
      <c r="B19" s="326" t="s">
        <v>216</v>
      </c>
      <c r="C19" s="327">
        <v>149.24804986666666</v>
      </c>
      <c r="D19" s="328">
        <v>153.73053279166669</v>
      </c>
      <c r="E19" s="328">
        <v>143.06413115000004</v>
      </c>
      <c r="H19" s="329" t="s">
        <v>216</v>
      </c>
      <c r="I19" s="330">
        <f t="shared" si="0"/>
        <v>3.6015194180416724E-2</v>
      </c>
      <c r="J19" s="330">
        <f t="shared" si="1"/>
        <v>3.8128768338699326E-2</v>
      </c>
      <c r="K19" s="330">
        <f t="shared" si="2"/>
        <v>3.5932183417808516E-2</v>
      </c>
      <c r="L19" s="330">
        <f t="shared" si="3"/>
        <v>3.5932183417808516E-2</v>
      </c>
    </row>
    <row r="20" spans="2:12" x14ac:dyDescent="0.35">
      <c r="B20" s="326" t="s">
        <v>217</v>
      </c>
      <c r="C20" s="327">
        <v>56.118184833333338</v>
      </c>
      <c r="D20" s="328">
        <v>75.153403508333326</v>
      </c>
      <c r="E20" s="328">
        <v>85.447076050000007</v>
      </c>
      <c r="H20" s="329" t="s">
        <v>217</v>
      </c>
      <c r="I20" s="330">
        <f t="shared" si="0"/>
        <v>1.3541934555463927E-2</v>
      </c>
      <c r="J20" s="330">
        <f t="shared" si="1"/>
        <v>1.8639802127774618E-2</v>
      </c>
      <c r="K20" s="330">
        <f t="shared" si="2"/>
        <v>2.146100482674362E-2</v>
      </c>
      <c r="L20" s="330">
        <f t="shared" si="3"/>
        <v>2.146100482674362E-2</v>
      </c>
    </row>
    <row r="21" spans="2:12" x14ac:dyDescent="0.35">
      <c r="B21" s="326" t="s">
        <v>218</v>
      </c>
      <c r="C21" s="327">
        <v>38.315588925</v>
      </c>
      <c r="D21" s="328">
        <v>60.353442619444451</v>
      </c>
      <c r="E21" s="328">
        <v>61.1696496</v>
      </c>
      <c r="H21" s="329" t="s">
        <v>218</v>
      </c>
      <c r="I21" s="330">
        <f t="shared" si="0"/>
        <v>9.2459725705206584E-3</v>
      </c>
      <c r="J21" s="330">
        <f t="shared" si="1"/>
        <v>1.4969065612999176E-2</v>
      </c>
      <c r="K21" s="330">
        <f t="shared" si="2"/>
        <v>1.5363453098706892E-2</v>
      </c>
      <c r="L21" s="330">
        <f t="shared" si="3"/>
        <v>1.5363453098706892E-2</v>
      </c>
    </row>
    <row r="22" spans="2:12" x14ac:dyDescent="0.35">
      <c r="B22" s="326" t="s">
        <v>219</v>
      </c>
      <c r="C22" s="327">
        <v>316.15708494166671</v>
      </c>
      <c r="D22" s="328">
        <v>273.03487092499995</v>
      </c>
      <c r="E22" s="328">
        <v>264.84036385600001</v>
      </c>
      <c r="H22" s="329" t="s">
        <v>219</v>
      </c>
      <c r="I22" s="330">
        <f t="shared" si="0"/>
        <v>7.6292178128028618E-2</v>
      </c>
      <c r="J22" s="330">
        <f t="shared" si="1"/>
        <v>6.771903507284481E-2</v>
      </c>
      <c r="K22" s="330">
        <f t="shared" si="2"/>
        <v>6.6517669062242338E-2</v>
      </c>
      <c r="L22" s="330">
        <f t="shared" si="3"/>
        <v>6.6517669062242338E-2</v>
      </c>
    </row>
    <row r="23" spans="2:12" x14ac:dyDescent="0.35">
      <c r="B23" s="326" t="s">
        <v>220</v>
      </c>
      <c r="C23" s="327">
        <v>0</v>
      </c>
      <c r="D23" s="328">
        <v>0</v>
      </c>
      <c r="E23" s="328">
        <v>0</v>
      </c>
      <c r="H23" s="329" t="s">
        <v>220</v>
      </c>
      <c r="I23" s="330">
        <f t="shared" si="0"/>
        <v>0</v>
      </c>
      <c r="J23" s="330">
        <f t="shared" si="1"/>
        <v>0</v>
      </c>
      <c r="K23" s="330">
        <f t="shared" si="2"/>
        <v>0</v>
      </c>
      <c r="L23" s="330">
        <f t="shared" si="3"/>
        <v>0</v>
      </c>
    </row>
    <row r="24" spans="2:12" x14ac:dyDescent="0.35">
      <c r="B24" s="326" t="s">
        <v>221</v>
      </c>
      <c r="C24" s="327">
        <v>139.23333791666664</v>
      </c>
      <c r="D24" s="328">
        <v>123.13374995833334</v>
      </c>
      <c r="E24" s="328">
        <v>131.26276874999999</v>
      </c>
      <c r="H24" s="329" t="s">
        <v>221</v>
      </c>
      <c r="I24" s="330">
        <f t="shared" si="0"/>
        <v>3.3598534157974806E-2</v>
      </c>
      <c r="J24" s="330">
        <f t="shared" si="1"/>
        <v>3.0540050447877713E-2</v>
      </c>
      <c r="K24" s="330">
        <f t="shared" si="2"/>
        <v>3.296813704973444E-2</v>
      </c>
      <c r="L24" s="330">
        <f t="shared" si="3"/>
        <v>3.296813704973444E-2</v>
      </c>
    </row>
    <row r="25" spans="2:12" x14ac:dyDescent="0.35">
      <c r="B25" s="326" t="s">
        <v>222</v>
      </c>
      <c r="C25" s="327">
        <v>208.84207416666669</v>
      </c>
      <c r="D25" s="328">
        <v>242.53079666666667</v>
      </c>
      <c r="E25" s="328">
        <v>246.26358999999999</v>
      </c>
      <c r="H25" s="329" t="s">
        <v>222</v>
      </c>
      <c r="I25" s="330">
        <f t="shared" si="0"/>
        <v>5.0395886987286892E-2</v>
      </c>
      <c r="J25" s="330">
        <f t="shared" si="1"/>
        <v>6.0153311077347678E-2</v>
      </c>
      <c r="K25" s="330">
        <f t="shared" si="2"/>
        <v>6.1851901059184478E-2</v>
      </c>
      <c r="L25" s="330">
        <f t="shared" si="3"/>
        <v>6.1851901059184478E-2</v>
      </c>
    </row>
    <row r="26" spans="2:12" x14ac:dyDescent="0.35">
      <c r="B26" s="326" t="s">
        <v>223</v>
      </c>
      <c r="C26" s="327">
        <v>28.838428400000002</v>
      </c>
      <c r="D26" s="328">
        <v>37.26467208333333</v>
      </c>
      <c r="E26" s="328">
        <v>46.278910000000003</v>
      </c>
      <c r="H26" s="329" t="s">
        <v>223</v>
      </c>
      <c r="I26" s="330">
        <f t="shared" si="0"/>
        <v>6.9590296128620444E-3</v>
      </c>
      <c r="J26" s="330">
        <f t="shared" si="1"/>
        <v>9.2425104062348849E-3</v>
      </c>
      <c r="K26" s="330">
        <f t="shared" si="2"/>
        <v>1.1623474515444623E-2</v>
      </c>
      <c r="L26" s="330">
        <f t="shared" si="3"/>
        <v>1.1623474515444623E-2</v>
      </c>
    </row>
    <row r="27" spans="2:12" x14ac:dyDescent="0.35">
      <c r="B27" s="326" t="s">
        <v>224</v>
      </c>
      <c r="C27" s="327"/>
      <c r="D27" s="328">
        <v>68</v>
      </c>
      <c r="E27" s="328">
        <v>68</v>
      </c>
      <c r="H27" s="329" t="s">
        <v>224</v>
      </c>
      <c r="I27" s="330">
        <f t="shared" si="0"/>
        <v>0</v>
      </c>
      <c r="J27" s="330">
        <f t="shared" si="1"/>
        <v>1.686559071869749E-2</v>
      </c>
      <c r="K27" s="330">
        <f t="shared" si="2"/>
        <v>1.7078973274224356E-2</v>
      </c>
      <c r="L27" s="330">
        <f t="shared" si="3"/>
        <v>1.7078973274224356E-2</v>
      </c>
    </row>
    <row r="28" spans="2:12" x14ac:dyDescent="0.35">
      <c r="B28" s="326" t="s">
        <v>225</v>
      </c>
      <c r="C28" s="327">
        <v>0</v>
      </c>
      <c r="D28" s="328">
        <v>0</v>
      </c>
      <c r="E28" s="328">
        <v>0</v>
      </c>
      <c r="H28" s="329" t="s">
        <v>225</v>
      </c>
      <c r="I28" s="330">
        <f t="shared" si="0"/>
        <v>0</v>
      </c>
      <c r="J28" s="330">
        <f t="shared" si="1"/>
        <v>0</v>
      </c>
      <c r="K28" s="330">
        <f t="shared" si="2"/>
        <v>0</v>
      </c>
      <c r="L28" s="330">
        <f t="shared" si="3"/>
        <v>0</v>
      </c>
    </row>
    <row r="29" spans="2:12" x14ac:dyDescent="0.35">
      <c r="B29" s="331" t="s">
        <v>408</v>
      </c>
      <c r="C29" s="332">
        <v>4144.0301312555566</v>
      </c>
      <c r="D29" s="333">
        <v>4031.8777524118382</v>
      </c>
      <c r="E29" s="333">
        <v>3981.5039761568</v>
      </c>
      <c r="H29" s="334" t="s">
        <v>408</v>
      </c>
      <c r="I29" s="335">
        <v>0.99999999999999978</v>
      </c>
      <c r="J29" s="335">
        <v>1</v>
      </c>
      <c r="K29" s="335">
        <v>1.0000000000000002</v>
      </c>
      <c r="L29" s="335">
        <v>1.0000000000000002</v>
      </c>
    </row>
    <row r="32" spans="2:12" ht="18.5" x14ac:dyDescent="0.45">
      <c r="B32" s="56" t="s">
        <v>188</v>
      </c>
    </row>
    <row r="33" spans="2:31" ht="18.5" x14ac:dyDescent="0.45">
      <c r="C33" s="57"/>
      <c r="D33" s="57"/>
      <c r="E33" s="58" t="s">
        <v>189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60"/>
      <c r="Y33" s="57"/>
      <c r="Z33" s="57"/>
      <c r="AA33" s="57"/>
      <c r="AB33" s="57"/>
      <c r="AC33" s="57"/>
      <c r="AD33" s="57"/>
      <c r="AE33" s="57"/>
    </row>
    <row r="34" spans="2:31" x14ac:dyDescent="0.35">
      <c r="B34" s="61" t="s">
        <v>190</v>
      </c>
      <c r="C34" s="312" t="s">
        <v>191</v>
      </c>
      <c r="D34" s="314" t="s">
        <v>192</v>
      </c>
      <c r="E34" s="312" t="s">
        <v>193</v>
      </c>
      <c r="F34" s="313" t="s">
        <v>194</v>
      </c>
      <c r="G34" s="313" t="s">
        <v>195</v>
      </c>
      <c r="H34" s="313" t="s">
        <v>196</v>
      </c>
      <c r="I34" s="313" t="s">
        <v>197</v>
      </c>
      <c r="J34" s="313" t="s">
        <v>198</v>
      </c>
      <c r="K34" s="313" t="s">
        <v>199</v>
      </c>
      <c r="L34" s="313" t="s">
        <v>200</v>
      </c>
      <c r="M34" s="313" t="s">
        <v>201</v>
      </c>
      <c r="N34" s="313" t="s">
        <v>202</v>
      </c>
      <c r="O34" s="313" t="s">
        <v>203</v>
      </c>
      <c r="P34" s="313" t="s">
        <v>204</v>
      </c>
      <c r="Q34" s="313" t="s">
        <v>205</v>
      </c>
      <c r="R34" s="313" t="s">
        <v>206</v>
      </c>
      <c r="S34" s="313" t="s">
        <v>207</v>
      </c>
      <c r="T34" s="313" t="s">
        <v>208</v>
      </c>
      <c r="U34" s="313" t="s">
        <v>209</v>
      </c>
      <c r="V34" s="313" t="s">
        <v>210</v>
      </c>
      <c r="W34" s="313" t="s">
        <v>211</v>
      </c>
      <c r="X34" s="314" t="s">
        <v>212</v>
      </c>
      <c r="Y34" s="66"/>
      <c r="Z34" s="315" t="s">
        <v>250</v>
      </c>
      <c r="AA34" s="315" t="s">
        <v>341</v>
      </c>
      <c r="AB34" s="315" t="s">
        <v>342</v>
      </c>
      <c r="AC34" s="315" t="s">
        <v>343</v>
      </c>
      <c r="AD34" s="315" t="s">
        <v>344</v>
      </c>
      <c r="AE34" s="65"/>
    </row>
    <row r="35" spans="2:31" x14ac:dyDescent="0.35">
      <c r="B35" s="67" t="s">
        <v>213</v>
      </c>
      <c r="C35" s="68">
        <v>9</v>
      </c>
      <c r="D35" s="69">
        <v>6</v>
      </c>
      <c r="E35" s="68">
        <v>0</v>
      </c>
      <c r="F35" s="70">
        <v>0</v>
      </c>
      <c r="G35" s="70">
        <v>1</v>
      </c>
      <c r="H35" s="70">
        <f>3-3</f>
        <v>0</v>
      </c>
      <c r="I35" s="70">
        <f>4-2</f>
        <v>2</v>
      </c>
      <c r="J35" s="70">
        <f>6-4</f>
        <v>2</v>
      </c>
      <c r="K35" s="70">
        <f>6-5</f>
        <v>1</v>
      </c>
      <c r="L35" s="70">
        <f>6-5</f>
        <v>1</v>
      </c>
      <c r="M35" s="70">
        <f>6-5</f>
        <v>1</v>
      </c>
      <c r="N35" s="70">
        <f>6-5</f>
        <v>1</v>
      </c>
      <c r="O35" s="70">
        <v>3</v>
      </c>
      <c r="P35" s="70">
        <v>2</v>
      </c>
      <c r="Q35" s="70">
        <f>4-2</f>
        <v>2</v>
      </c>
      <c r="R35" s="70">
        <f>5-3</f>
        <v>2</v>
      </c>
      <c r="S35" s="70">
        <v>4</v>
      </c>
      <c r="T35" s="70">
        <v>3</v>
      </c>
      <c r="U35" s="70">
        <f>5-3</f>
        <v>2</v>
      </c>
      <c r="V35" s="70">
        <v>5</v>
      </c>
      <c r="W35" s="70">
        <v>4</v>
      </c>
      <c r="X35" s="69">
        <v>3</v>
      </c>
      <c r="Y35" s="57"/>
      <c r="Z35" s="57">
        <f>SUM(E35:H35)</f>
        <v>1</v>
      </c>
      <c r="AA35">
        <f>SUM(I35:L35)</f>
        <v>6</v>
      </c>
      <c r="AB35">
        <f>SUM(M35:P35)</f>
        <v>7</v>
      </c>
      <c r="AC35">
        <f>SUM(Q35:T35)</f>
        <v>11</v>
      </c>
      <c r="AD35">
        <f>SUM(U35:X35)</f>
        <v>14</v>
      </c>
    </row>
    <row r="36" spans="2:31" x14ac:dyDescent="0.35">
      <c r="B36" s="67" t="s">
        <v>214</v>
      </c>
      <c r="C36" s="68">
        <v>4</v>
      </c>
      <c r="D36" s="69">
        <v>4</v>
      </c>
      <c r="E36" s="68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1</v>
      </c>
      <c r="M36" s="70">
        <v>0</v>
      </c>
      <c r="N36" s="70">
        <v>1</v>
      </c>
      <c r="O36" s="70">
        <v>0</v>
      </c>
      <c r="P36" s="70">
        <v>1</v>
      </c>
      <c r="Q36" s="70">
        <v>0</v>
      </c>
      <c r="R36" s="70">
        <v>1</v>
      </c>
      <c r="S36" s="70">
        <v>0</v>
      </c>
      <c r="T36" s="70">
        <v>1</v>
      </c>
      <c r="U36" s="70">
        <v>0</v>
      </c>
      <c r="V36" s="70">
        <v>1</v>
      </c>
      <c r="W36" s="70">
        <v>0</v>
      </c>
      <c r="X36" s="69">
        <v>0</v>
      </c>
      <c r="Y36" s="57"/>
      <c r="Z36" s="57">
        <f t="shared" ref="Z36:Z48" si="4">SUM(E36:H36)</f>
        <v>0</v>
      </c>
      <c r="AA36">
        <f t="shared" ref="AA36:AA48" si="5">SUM(I36:L36)</f>
        <v>1</v>
      </c>
      <c r="AB36">
        <f t="shared" ref="AB36:AB48" si="6">SUM(M36:P36)</f>
        <v>2</v>
      </c>
      <c r="AC36">
        <f t="shared" ref="AC36:AC48" si="7">SUM(Q36:T36)</f>
        <v>2</v>
      </c>
      <c r="AD36">
        <f t="shared" ref="AD36:AD48" si="8">SUM(U36:X36)</f>
        <v>1</v>
      </c>
    </row>
    <row r="37" spans="2:31" x14ac:dyDescent="0.35">
      <c r="B37" s="67" t="s">
        <v>215</v>
      </c>
      <c r="C37" s="68">
        <v>55</v>
      </c>
      <c r="D37" s="69">
        <v>55</v>
      </c>
      <c r="E37" s="68">
        <v>0</v>
      </c>
      <c r="F37" s="70">
        <v>1</v>
      </c>
      <c r="G37" s="70">
        <v>2</v>
      </c>
      <c r="H37" s="70">
        <f>2-2</f>
        <v>0</v>
      </c>
      <c r="I37" s="70">
        <f>3-2</f>
        <v>1</v>
      </c>
      <c r="J37" s="70">
        <f>4-3</f>
        <v>1</v>
      </c>
      <c r="K37" s="70">
        <f>4-3</f>
        <v>1</v>
      </c>
      <c r="L37" s="70">
        <f>4-2</f>
        <v>2</v>
      </c>
      <c r="M37" s="70">
        <f>4-2</f>
        <v>2</v>
      </c>
      <c r="N37" s="70">
        <f>4-2</f>
        <v>2</v>
      </c>
      <c r="O37" s="70">
        <v>2</v>
      </c>
      <c r="P37" s="70">
        <v>1</v>
      </c>
      <c r="Q37" s="70">
        <v>2</v>
      </c>
      <c r="R37" s="70">
        <v>2</v>
      </c>
      <c r="S37" s="70">
        <v>2</v>
      </c>
      <c r="T37" s="70">
        <v>1</v>
      </c>
      <c r="U37" s="70">
        <v>2</v>
      </c>
      <c r="V37" s="70">
        <v>2</v>
      </c>
      <c r="W37" s="70">
        <v>2</v>
      </c>
      <c r="X37" s="69">
        <v>2</v>
      </c>
      <c r="Y37" s="57"/>
      <c r="Z37" s="57">
        <f t="shared" si="4"/>
        <v>3</v>
      </c>
      <c r="AA37">
        <f t="shared" si="5"/>
        <v>5</v>
      </c>
      <c r="AB37">
        <f t="shared" si="6"/>
        <v>7</v>
      </c>
      <c r="AC37">
        <f t="shared" si="7"/>
        <v>7</v>
      </c>
      <c r="AD37">
        <f t="shared" si="8"/>
        <v>8</v>
      </c>
    </row>
    <row r="38" spans="2:31" x14ac:dyDescent="0.35">
      <c r="B38" s="67" t="s">
        <v>216</v>
      </c>
      <c r="C38" s="68">
        <v>4</v>
      </c>
      <c r="D38" s="69">
        <v>2</v>
      </c>
      <c r="E38" s="68">
        <v>0</v>
      </c>
      <c r="F38" s="70">
        <v>0</v>
      </c>
      <c r="G38" s="70">
        <v>1</v>
      </c>
      <c r="H38" s="70">
        <v>0</v>
      </c>
      <c r="I38" s="70">
        <v>2</v>
      </c>
      <c r="J38" s="70">
        <v>0</v>
      </c>
      <c r="K38" s="70">
        <v>2</v>
      </c>
      <c r="L38" s="70">
        <v>2</v>
      </c>
      <c r="M38" s="70">
        <v>2</v>
      </c>
      <c r="N38" s="70">
        <v>2</v>
      </c>
      <c r="O38" s="70">
        <v>2</v>
      </c>
      <c r="P38" s="70">
        <v>0</v>
      </c>
      <c r="Q38" s="70">
        <v>1</v>
      </c>
      <c r="R38" s="70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69">
        <v>0</v>
      </c>
      <c r="Y38" s="57"/>
      <c r="Z38" s="57">
        <f t="shared" si="4"/>
        <v>1</v>
      </c>
      <c r="AA38">
        <f t="shared" si="5"/>
        <v>6</v>
      </c>
      <c r="AB38">
        <f t="shared" si="6"/>
        <v>6</v>
      </c>
      <c r="AC38">
        <f t="shared" si="7"/>
        <v>1</v>
      </c>
      <c r="AD38">
        <f t="shared" si="8"/>
        <v>0</v>
      </c>
    </row>
    <row r="39" spans="2:31" x14ac:dyDescent="0.35">
      <c r="B39" s="67" t="s">
        <v>217</v>
      </c>
      <c r="C39" s="68">
        <v>1</v>
      </c>
      <c r="D39" s="69">
        <v>1</v>
      </c>
      <c r="E39" s="68">
        <v>0</v>
      </c>
      <c r="F39" s="70">
        <v>0</v>
      </c>
      <c r="G39" s="70">
        <v>0</v>
      </c>
      <c r="H39" s="70">
        <v>1</v>
      </c>
      <c r="I39" s="70">
        <v>0</v>
      </c>
      <c r="J39" s="70">
        <v>0</v>
      </c>
      <c r="K39" s="70">
        <v>1</v>
      </c>
      <c r="L39" s="70">
        <v>0</v>
      </c>
      <c r="M39" s="70">
        <v>0</v>
      </c>
      <c r="N39" s="70">
        <v>0</v>
      </c>
      <c r="O39" s="70">
        <v>1</v>
      </c>
      <c r="P39" s="70">
        <v>0</v>
      </c>
      <c r="Q39" s="70">
        <v>0</v>
      </c>
      <c r="R39" s="70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69">
        <v>0</v>
      </c>
      <c r="Y39" s="57"/>
      <c r="Z39" s="57">
        <f t="shared" si="4"/>
        <v>1</v>
      </c>
      <c r="AA39">
        <f t="shared" si="5"/>
        <v>1</v>
      </c>
      <c r="AB39">
        <f t="shared" si="6"/>
        <v>1</v>
      </c>
      <c r="AC39">
        <f t="shared" si="7"/>
        <v>0</v>
      </c>
      <c r="AD39">
        <f t="shared" si="8"/>
        <v>0</v>
      </c>
    </row>
    <row r="40" spans="2:31" x14ac:dyDescent="0.35">
      <c r="B40" s="67" t="s">
        <v>218</v>
      </c>
      <c r="C40" s="68">
        <v>1</v>
      </c>
      <c r="D40" s="69">
        <v>2</v>
      </c>
      <c r="E40" s="68">
        <v>0</v>
      </c>
      <c r="F40" s="70">
        <v>1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70">
        <v>0</v>
      </c>
      <c r="M40" s="70">
        <v>0</v>
      </c>
      <c r="N40" s="70">
        <v>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69">
        <v>0</v>
      </c>
      <c r="Y40" s="57"/>
      <c r="Z40" s="57">
        <f t="shared" si="4"/>
        <v>1</v>
      </c>
      <c r="AA40">
        <f t="shared" si="5"/>
        <v>0</v>
      </c>
      <c r="AB40">
        <f t="shared" si="6"/>
        <v>0</v>
      </c>
      <c r="AC40">
        <f t="shared" si="7"/>
        <v>0</v>
      </c>
      <c r="AD40">
        <f t="shared" si="8"/>
        <v>0</v>
      </c>
    </row>
    <row r="41" spans="2:31" x14ac:dyDescent="0.35">
      <c r="B41" s="67" t="s">
        <v>219</v>
      </c>
      <c r="C41" s="68">
        <v>7</v>
      </c>
      <c r="D41" s="69">
        <v>6</v>
      </c>
      <c r="E41" s="68">
        <v>1</v>
      </c>
      <c r="F41" s="70">
        <v>0</v>
      </c>
      <c r="G41" s="70">
        <v>0</v>
      </c>
      <c r="H41" s="70">
        <v>1</v>
      </c>
      <c r="I41" s="70">
        <v>0</v>
      </c>
      <c r="J41" s="70">
        <v>0</v>
      </c>
      <c r="K41" s="70">
        <v>0</v>
      </c>
      <c r="L41" s="70">
        <v>1</v>
      </c>
      <c r="M41" s="70">
        <v>0</v>
      </c>
      <c r="N41" s="70">
        <v>0</v>
      </c>
      <c r="O41" s="70">
        <v>1</v>
      </c>
      <c r="P41" s="70">
        <v>0</v>
      </c>
      <c r="Q41" s="70">
        <v>0</v>
      </c>
      <c r="R41" s="70">
        <v>1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69">
        <v>0</v>
      </c>
      <c r="Y41" s="57"/>
      <c r="Z41" s="57">
        <f t="shared" si="4"/>
        <v>2</v>
      </c>
      <c r="AA41">
        <f t="shared" si="5"/>
        <v>1</v>
      </c>
      <c r="AB41">
        <f t="shared" si="6"/>
        <v>1</v>
      </c>
      <c r="AC41">
        <f t="shared" si="7"/>
        <v>1</v>
      </c>
      <c r="AD41">
        <f t="shared" si="8"/>
        <v>0</v>
      </c>
    </row>
    <row r="42" spans="2:31" x14ac:dyDescent="0.35">
      <c r="B42" s="67" t="s">
        <v>220</v>
      </c>
      <c r="C42" s="68">
        <v>0</v>
      </c>
      <c r="D42" s="69">
        <v>0</v>
      </c>
      <c r="E42" s="68">
        <v>0</v>
      </c>
      <c r="F42" s="70">
        <v>0</v>
      </c>
      <c r="G42" s="70">
        <v>0</v>
      </c>
      <c r="H42" s="70">
        <v>0</v>
      </c>
      <c r="I42" s="70">
        <v>0</v>
      </c>
      <c r="J42" s="70">
        <v>1</v>
      </c>
      <c r="K42" s="70">
        <v>0</v>
      </c>
      <c r="L42" s="70">
        <f>3-1</f>
        <v>2</v>
      </c>
      <c r="M42" s="70">
        <v>0</v>
      </c>
      <c r="N42" s="70">
        <v>3</v>
      </c>
      <c r="O42" s="70">
        <v>0</v>
      </c>
      <c r="P42" s="70">
        <v>2</v>
      </c>
      <c r="Q42" s="70">
        <v>0</v>
      </c>
      <c r="R42" s="70">
        <f>2-2</f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69">
        <v>0</v>
      </c>
      <c r="Y42" s="57"/>
      <c r="Z42" s="57">
        <f t="shared" si="4"/>
        <v>0</v>
      </c>
      <c r="AA42">
        <f t="shared" si="5"/>
        <v>3</v>
      </c>
      <c r="AB42">
        <f t="shared" si="6"/>
        <v>5</v>
      </c>
      <c r="AC42">
        <f t="shared" si="7"/>
        <v>0</v>
      </c>
      <c r="AD42">
        <f t="shared" si="8"/>
        <v>0</v>
      </c>
    </row>
    <row r="43" spans="2:31" x14ac:dyDescent="0.35">
      <c r="B43" s="67" t="s">
        <v>221</v>
      </c>
      <c r="C43" s="68">
        <v>2</v>
      </c>
      <c r="D43" s="69">
        <v>2</v>
      </c>
      <c r="E43" s="68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0">
        <v>0</v>
      </c>
      <c r="N43" s="70">
        <v>0</v>
      </c>
      <c r="O43" s="70">
        <v>0</v>
      </c>
      <c r="P43" s="70">
        <v>0</v>
      </c>
      <c r="Q43" s="70">
        <v>0</v>
      </c>
      <c r="R43" s="70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69">
        <v>0</v>
      </c>
      <c r="Y43" s="57"/>
      <c r="Z43" s="57">
        <f t="shared" si="4"/>
        <v>0</v>
      </c>
      <c r="AA43">
        <f t="shared" si="5"/>
        <v>0</v>
      </c>
      <c r="AB43">
        <f t="shared" si="6"/>
        <v>0</v>
      </c>
      <c r="AC43">
        <f t="shared" si="7"/>
        <v>0</v>
      </c>
      <c r="AD43">
        <f t="shared" si="8"/>
        <v>0</v>
      </c>
    </row>
    <row r="44" spans="2:31" x14ac:dyDescent="0.35">
      <c r="B44" s="67" t="s">
        <v>222</v>
      </c>
      <c r="C44" s="68">
        <v>3</v>
      </c>
      <c r="D44" s="69">
        <v>3</v>
      </c>
      <c r="E44" s="68">
        <v>1</v>
      </c>
      <c r="F44" s="70">
        <v>0</v>
      </c>
      <c r="G44" s="70">
        <v>0</v>
      </c>
      <c r="H44" s="70">
        <v>2</v>
      </c>
      <c r="I44" s="70">
        <v>0</v>
      </c>
      <c r="J44" s="70">
        <v>2</v>
      </c>
      <c r="K44" s="70">
        <v>2</v>
      </c>
      <c r="L44" s="70">
        <v>2</v>
      </c>
      <c r="M44" s="70">
        <v>2</v>
      </c>
      <c r="N44" s="70">
        <v>2</v>
      </c>
      <c r="O44" s="70">
        <v>2</v>
      </c>
      <c r="P44" s="70">
        <v>2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69">
        <v>0</v>
      </c>
      <c r="Y44" s="57"/>
      <c r="Z44" s="57">
        <f t="shared" si="4"/>
        <v>3</v>
      </c>
      <c r="AA44">
        <f t="shared" si="5"/>
        <v>6</v>
      </c>
      <c r="AB44">
        <f t="shared" si="6"/>
        <v>8</v>
      </c>
      <c r="AC44">
        <f t="shared" si="7"/>
        <v>0</v>
      </c>
      <c r="AD44">
        <f t="shared" si="8"/>
        <v>0</v>
      </c>
    </row>
    <row r="45" spans="2:31" x14ac:dyDescent="0.35">
      <c r="B45" s="67" t="s">
        <v>223</v>
      </c>
      <c r="C45" s="68">
        <v>2</v>
      </c>
      <c r="D45" s="69">
        <v>2</v>
      </c>
      <c r="E45" s="68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69">
        <v>0</v>
      </c>
      <c r="Y45" s="57"/>
      <c r="Z45" s="57">
        <f t="shared" si="4"/>
        <v>0</v>
      </c>
      <c r="AA45">
        <f t="shared" si="5"/>
        <v>0</v>
      </c>
      <c r="AB45">
        <f t="shared" si="6"/>
        <v>0</v>
      </c>
      <c r="AC45">
        <f t="shared" si="7"/>
        <v>0</v>
      </c>
      <c r="AD45">
        <f t="shared" si="8"/>
        <v>0</v>
      </c>
    </row>
    <row r="46" spans="2:31" x14ac:dyDescent="0.35">
      <c r="B46" s="67" t="s">
        <v>224</v>
      </c>
      <c r="C46" s="68">
        <v>2</v>
      </c>
      <c r="D46" s="69">
        <v>1</v>
      </c>
      <c r="E46" s="68">
        <v>0</v>
      </c>
      <c r="F46" s="70">
        <v>0</v>
      </c>
      <c r="G46" s="70">
        <v>0</v>
      </c>
      <c r="H46" s="70">
        <v>0</v>
      </c>
      <c r="I46" s="70">
        <v>1</v>
      </c>
      <c r="J46" s="70">
        <v>1</v>
      </c>
      <c r="K46" s="70">
        <v>1</v>
      </c>
      <c r="L46" s="70">
        <v>1</v>
      </c>
      <c r="M46" s="70">
        <v>1</v>
      </c>
      <c r="N46" s="70">
        <v>1</v>
      </c>
      <c r="O46" s="70">
        <v>0</v>
      </c>
      <c r="P46" s="70">
        <v>0</v>
      </c>
      <c r="Q46" s="70">
        <v>0</v>
      </c>
      <c r="R46" s="70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69">
        <v>0</v>
      </c>
      <c r="Y46" s="57"/>
      <c r="Z46" s="57">
        <f t="shared" si="4"/>
        <v>0</v>
      </c>
      <c r="AA46">
        <f t="shared" si="5"/>
        <v>4</v>
      </c>
      <c r="AB46">
        <f t="shared" si="6"/>
        <v>2</v>
      </c>
      <c r="AC46">
        <f t="shared" si="7"/>
        <v>0</v>
      </c>
      <c r="AD46">
        <f t="shared" si="8"/>
        <v>0</v>
      </c>
    </row>
    <row r="47" spans="2:31" x14ac:dyDescent="0.35">
      <c r="B47" s="67" t="s">
        <v>225</v>
      </c>
      <c r="C47" s="68">
        <v>0</v>
      </c>
      <c r="D47" s="69">
        <v>0</v>
      </c>
      <c r="E47" s="68">
        <v>0</v>
      </c>
      <c r="F47" s="70">
        <v>0</v>
      </c>
      <c r="G47" s="70">
        <v>0</v>
      </c>
      <c r="H47" s="70">
        <v>0</v>
      </c>
      <c r="I47" s="70">
        <v>1</v>
      </c>
      <c r="J47" s="70">
        <v>2</v>
      </c>
      <c r="K47" s="70">
        <v>3</v>
      </c>
      <c r="L47" s="70">
        <v>3</v>
      </c>
      <c r="M47" s="70">
        <v>4</v>
      </c>
      <c r="N47" s="70">
        <v>4</v>
      </c>
      <c r="O47" s="70">
        <v>3</v>
      </c>
      <c r="P47" s="70">
        <v>2</v>
      </c>
      <c r="Q47" s="70">
        <v>2</v>
      </c>
      <c r="R47" s="70">
        <v>2</v>
      </c>
      <c r="S47" s="70">
        <v>1</v>
      </c>
      <c r="T47" s="70">
        <v>1</v>
      </c>
      <c r="U47" s="70">
        <v>1</v>
      </c>
      <c r="V47" s="70">
        <v>1</v>
      </c>
      <c r="W47" s="70">
        <v>1</v>
      </c>
      <c r="X47" s="69">
        <v>1</v>
      </c>
      <c r="Y47" s="57"/>
      <c r="Z47" s="57">
        <f t="shared" si="4"/>
        <v>0</v>
      </c>
      <c r="AA47">
        <f t="shared" si="5"/>
        <v>9</v>
      </c>
      <c r="AB47">
        <f t="shared" si="6"/>
        <v>13</v>
      </c>
      <c r="AC47">
        <f t="shared" si="7"/>
        <v>6</v>
      </c>
      <c r="AD47">
        <f t="shared" si="8"/>
        <v>4</v>
      </c>
    </row>
    <row r="48" spans="2:31" x14ac:dyDescent="0.35">
      <c r="B48" s="71" t="s">
        <v>226</v>
      </c>
      <c r="C48" s="72">
        <f>SUM(C35:C47)</f>
        <v>90</v>
      </c>
      <c r="D48" s="73">
        <f t="shared" ref="D48:W48" si="9">SUM(D35:D47)</f>
        <v>84</v>
      </c>
      <c r="E48" s="72">
        <f t="shared" si="9"/>
        <v>2</v>
      </c>
      <c r="F48" s="74">
        <f t="shared" si="9"/>
        <v>2</v>
      </c>
      <c r="G48" s="74">
        <f t="shared" si="9"/>
        <v>4</v>
      </c>
      <c r="H48" s="74">
        <f t="shared" si="9"/>
        <v>4</v>
      </c>
      <c r="I48" s="74">
        <f t="shared" si="9"/>
        <v>7</v>
      </c>
      <c r="J48" s="74">
        <f t="shared" si="9"/>
        <v>9</v>
      </c>
      <c r="K48" s="74">
        <f t="shared" si="9"/>
        <v>11</v>
      </c>
      <c r="L48" s="74">
        <f t="shared" si="9"/>
        <v>15</v>
      </c>
      <c r="M48" s="74">
        <f t="shared" si="9"/>
        <v>12</v>
      </c>
      <c r="N48" s="74">
        <f t="shared" si="9"/>
        <v>16</v>
      </c>
      <c r="O48" s="74">
        <f t="shared" si="9"/>
        <v>14</v>
      </c>
      <c r="P48" s="74">
        <f t="shared" si="9"/>
        <v>10</v>
      </c>
      <c r="Q48" s="74">
        <f t="shared" si="9"/>
        <v>7</v>
      </c>
      <c r="R48" s="74">
        <f t="shared" si="9"/>
        <v>8</v>
      </c>
      <c r="S48" s="74">
        <f t="shared" si="9"/>
        <v>7</v>
      </c>
      <c r="T48" s="74">
        <f t="shared" si="9"/>
        <v>6</v>
      </c>
      <c r="U48" s="74">
        <f t="shared" si="9"/>
        <v>5</v>
      </c>
      <c r="V48" s="74">
        <f t="shared" si="9"/>
        <v>9</v>
      </c>
      <c r="W48" s="74">
        <f t="shared" si="9"/>
        <v>7</v>
      </c>
      <c r="X48" s="73">
        <f>SUM(X35:X47)</f>
        <v>6</v>
      </c>
      <c r="Y48" s="57"/>
      <c r="Z48" s="57">
        <f t="shared" si="4"/>
        <v>12</v>
      </c>
      <c r="AA48">
        <f t="shared" si="5"/>
        <v>42</v>
      </c>
      <c r="AB48">
        <f t="shared" si="6"/>
        <v>52</v>
      </c>
      <c r="AC48">
        <f t="shared" si="7"/>
        <v>28</v>
      </c>
      <c r="AD48">
        <f t="shared" si="8"/>
        <v>27</v>
      </c>
    </row>
    <row r="50" spans="2:15" ht="18.5" x14ac:dyDescent="0.45">
      <c r="C50" s="57"/>
      <c r="D50" s="57"/>
      <c r="E50" s="58" t="s">
        <v>189</v>
      </c>
      <c r="F50" s="59"/>
      <c r="G50" s="59"/>
      <c r="H50" s="59"/>
      <c r="I50" s="59"/>
      <c r="J50" s="57"/>
      <c r="K50" s="57"/>
      <c r="L50" s="57"/>
      <c r="M50" s="57"/>
      <c r="N50" s="57"/>
      <c r="O50" s="57"/>
    </row>
    <row r="51" spans="2:15" x14ac:dyDescent="0.35">
      <c r="B51" s="61" t="s">
        <v>190</v>
      </c>
      <c r="C51" s="312" t="s">
        <v>191</v>
      </c>
      <c r="D51" s="314" t="s">
        <v>192</v>
      </c>
      <c r="E51" s="312" t="s">
        <v>250</v>
      </c>
      <c r="F51" s="313" t="s">
        <v>341</v>
      </c>
      <c r="G51" s="313" t="s">
        <v>342</v>
      </c>
      <c r="H51" s="313" t="s">
        <v>343</v>
      </c>
      <c r="I51" s="313" t="s">
        <v>344</v>
      </c>
      <c r="K51" s="61" t="s">
        <v>190</v>
      </c>
    </row>
    <row r="52" spans="2:15" x14ac:dyDescent="0.35">
      <c r="B52" s="67" t="s">
        <v>213</v>
      </c>
      <c r="C52" s="68">
        <v>9</v>
      </c>
      <c r="D52" s="69">
        <v>6</v>
      </c>
      <c r="E52" s="68">
        <v>1</v>
      </c>
      <c r="F52" s="70">
        <v>6</v>
      </c>
      <c r="G52" s="70">
        <v>7</v>
      </c>
      <c r="H52" s="70">
        <v>11</v>
      </c>
      <c r="I52" s="70">
        <v>14</v>
      </c>
      <c r="K52" s="67" t="s">
        <v>213</v>
      </c>
    </row>
    <row r="53" spans="2:15" x14ac:dyDescent="0.35">
      <c r="B53" s="67" t="s">
        <v>214</v>
      </c>
      <c r="C53" s="68">
        <v>4</v>
      </c>
      <c r="D53" s="69">
        <v>4</v>
      </c>
      <c r="E53" s="68">
        <v>0</v>
      </c>
      <c r="F53" s="70">
        <v>1</v>
      </c>
      <c r="G53" s="70">
        <v>2</v>
      </c>
      <c r="H53" s="70">
        <v>2</v>
      </c>
      <c r="I53" s="70">
        <v>1</v>
      </c>
      <c r="K53" s="67" t="s">
        <v>214</v>
      </c>
    </row>
    <row r="54" spans="2:15" x14ac:dyDescent="0.35">
      <c r="B54" s="67" t="s">
        <v>215</v>
      </c>
      <c r="C54" s="68">
        <v>55</v>
      </c>
      <c r="D54" s="69">
        <v>54</v>
      </c>
      <c r="E54" s="68">
        <f>3+1</f>
        <v>4</v>
      </c>
      <c r="F54" s="70">
        <v>5</v>
      </c>
      <c r="G54" s="70">
        <v>7</v>
      </c>
      <c r="H54" s="70">
        <v>7</v>
      </c>
      <c r="I54" s="70">
        <v>8</v>
      </c>
      <c r="K54" s="67" t="s">
        <v>215</v>
      </c>
    </row>
    <row r="55" spans="2:15" x14ac:dyDescent="0.35">
      <c r="B55" s="67" t="s">
        <v>216</v>
      </c>
      <c r="C55" s="68">
        <v>4</v>
      </c>
      <c r="D55" s="69">
        <v>2</v>
      </c>
      <c r="E55" s="68">
        <v>1</v>
      </c>
      <c r="F55" s="70">
        <v>6</v>
      </c>
      <c r="G55" s="70">
        <v>6</v>
      </c>
      <c r="H55" s="70">
        <v>1</v>
      </c>
      <c r="I55" s="70">
        <v>0</v>
      </c>
      <c r="K55" s="67" t="s">
        <v>216</v>
      </c>
    </row>
    <row r="56" spans="2:15" x14ac:dyDescent="0.35">
      <c r="B56" s="67" t="s">
        <v>217</v>
      </c>
      <c r="C56" s="68">
        <v>1</v>
      </c>
      <c r="D56" s="69">
        <v>1</v>
      </c>
      <c r="E56" s="68">
        <v>1</v>
      </c>
      <c r="F56" s="70">
        <v>1</v>
      </c>
      <c r="G56" s="70">
        <v>1</v>
      </c>
      <c r="H56" s="70">
        <v>0</v>
      </c>
      <c r="I56" s="70">
        <v>0</v>
      </c>
      <c r="K56" s="67" t="s">
        <v>217</v>
      </c>
    </row>
    <row r="57" spans="2:15" x14ac:dyDescent="0.35">
      <c r="B57" s="67" t="s">
        <v>218</v>
      </c>
      <c r="C57" s="68">
        <v>1</v>
      </c>
      <c r="D57" s="69">
        <v>2</v>
      </c>
      <c r="E57" s="68">
        <v>1</v>
      </c>
      <c r="F57" s="70">
        <v>0</v>
      </c>
      <c r="G57" s="70">
        <v>0</v>
      </c>
      <c r="H57" s="70">
        <v>0</v>
      </c>
      <c r="I57" s="70">
        <v>0</v>
      </c>
      <c r="K57" s="67" t="s">
        <v>218</v>
      </c>
    </row>
    <row r="58" spans="2:15" x14ac:dyDescent="0.35">
      <c r="B58" s="67" t="s">
        <v>219</v>
      </c>
      <c r="C58" s="68">
        <v>7</v>
      </c>
      <c r="D58" s="69">
        <v>6</v>
      </c>
      <c r="E58" s="68">
        <v>2</v>
      </c>
      <c r="F58" s="70">
        <v>1</v>
      </c>
      <c r="G58" s="70">
        <v>1</v>
      </c>
      <c r="H58" s="70">
        <v>1</v>
      </c>
      <c r="I58" s="70">
        <v>0</v>
      </c>
      <c r="K58" s="67" t="s">
        <v>219</v>
      </c>
    </row>
    <row r="59" spans="2:15" x14ac:dyDescent="0.35">
      <c r="B59" s="67" t="s">
        <v>220</v>
      </c>
      <c r="C59" s="68">
        <v>0</v>
      </c>
      <c r="D59" s="69">
        <v>0</v>
      </c>
      <c r="E59" s="68">
        <v>0</v>
      </c>
      <c r="F59" s="70">
        <v>3</v>
      </c>
      <c r="G59" s="70">
        <v>5</v>
      </c>
      <c r="H59" s="70">
        <v>0</v>
      </c>
      <c r="I59" s="70">
        <v>0</v>
      </c>
      <c r="K59" s="67" t="s">
        <v>220</v>
      </c>
    </row>
    <row r="60" spans="2:15" x14ac:dyDescent="0.35">
      <c r="B60" s="67" t="s">
        <v>221</v>
      </c>
      <c r="C60" s="68">
        <v>2</v>
      </c>
      <c r="D60" s="69">
        <v>2</v>
      </c>
      <c r="E60" s="68">
        <v>0</v>
      </c>
      <c r="F60" s="70">
        <v>0</v>
      </c>
      <c r="G60" s="70">
        <v>0</v>
      </c>
      <c r="H60" s="70">
        <v>0</v>
      </c>
      <c r="I60" s="70">
        <v>0</v>
      </c>
      <c r="K60" s="67" t="s">
        <v>221</v>
      </c>
    </row>
    <row r="61" spans="2:15" x14ac:dyDescent="0.35">
      <c r="B61" s="67" t="s">
        <v>222</v>
      </c>
      <c r="C61" s="68">
        <v>3</v>
      </c>
      <c r="D61" s="69">
        <v>3</v>
      </c>
      <c r="E61" s="68">
        <v>3</v>
      </c>
      <c r="F61" s="70">
        <v>6</v>
      </c>
      <c r="G61" s="70">
        <v>8</v>
      </c>
      <c r="H61" s="70">
        <v>0</v>
      </c>
      <c r="I61" s="70">
        <v>0</v>
      </c>
      <c r="K61" s="67" t="s">
        <v>222</v>
      </c>
    </row>
    <row r="62" spans="2:15" x14ac:dyDescent="0.35">
      <c r="B62" s="67" t="s">
        <v>223</v>
      </c>
      <c r="C62" s="68">
        <v>2</v>
      </c>
      <c r="D62" s="69">
        <v>2</v>
      </c>
      <c r="E62" s="68">
        <v>0</v>
      </c>
      <c r="F62" s="70">
        <v>0</v>
      </c>
      <c r="G62" s="70">
        <v>0</v>
      </c>
      <c r="H62" s="70">
        <v>0</v>
      </c>
      <c r="I62" s="70">
        <v>0</v>
      </c>
      <c r="K62" s="67" t="s">
        <v>223</v>
      </c>
    </row>
    <row r="63" spans="2:15" x14ac:dyDescent="0.35">
      <c r="B63" s="67" t="s">
        <v>224</v>
      </c>
      <c r="C63" s="68">
        <v>2</v>
      </c>
      <c r="D63" s="69">
        <v>1</v>
      </c>
      <c r="E63" s="68">
        <v>0</v>
      </c>
      <c r="F63" s="70">
        <v>4</v>
      </c>
      <c r="G63" s="70">
        <v>2</v>
      </c>
      <c r="H63" s="70">
        <v>0</v>
      </c>
      <c r="I63" s="70">
        <v>0</v>
      </c>
      <c r="K63" s="67" t="s">
        <v>224</v>
      </c>
    </row>
    <row r="64" spans="2:15" x14ac:dyDescent="0.35">
      <c r="B64" s="67" t="s">
        <v>225</v>
      </c>
      <c r="C64" s="68">
        <v>0</v>
      </c>
      <c r="D64" s="69">
        <v>0</v>
      </c>
      <c r="E64" s="68">
        <v>0</v>
      </c>
      <c r="F64" s="70">
        <v>9</v>
      </c>
      <c r="G64" s="70">
        <v>13</v>
      </c>
      <c r="H64" s="70">
        <v>6</v>
      </c>
      <c r="I64" s="70">
        <v>4</v>
      </c>
      <c r="K64" s="67" t="s">
        <v>225</v>
      </c>
    </row>
    <row r="65" spans="2:37" x14ac:dyDescent="0.35">
      <c r="B65" s="71" t="s">
        <v>226</v>
      </c>
      <c r="C65" s="72">
        <f>SUM(C52:C64)</f>
        <v>90</v>
      </c>
      <c r="D65" s="73">
        <f t="shared" ref="D65" si="10">SUM(D52:D64)</f>
        <v>83</v>
      </c>
      <c r="E65" s="72">
        <f>SUM(E52:E64)</f>
        <v>13</v>
      </c>
      <c r="F65" s="72">
        <f t="shared" ref="F65:I65" si="11">SUM(F52:F64)</f>
        <v>42</v>
      </c>
      <c r="G65" s="72">
        <f t="shared" si="11"/>
        <v>52</v>
      </c>
      <c r="H65" s="72">
        <f t="shared" si="11"/>
        <v>28</v>
      </c>
      <c r="I65" s="72">
        <f t="shared" si="11"/>
        <v>27</v>
      </c>
      <c r="K65" s="71" t="s">
        <v>226</v>
      </c>
    </row>
    <row r="66" spans="2:37" x14ac:dyDescent="0.35">
      <c r="U66" s="33"/>
      <c r="V66" s="30"/>
      <c r="W66" s="53"/>
    </row>
    <row r="67" spans="2:37" x14ac:dyDescent="0.35">
      <c r="V67" s="30"/>
      <c r="W67" s="30"/>
      <c r="AF67" t="s">
        <v>409</v>
      </c>
      <c r="AH67" s="227">
        <v>0.16</v>
      </c>
      <c r="AI67" s="227"/>
      <c r="AJ67" s="227"/>
      <c r="AK67" s="227"/>
    </row>
    <row r="68" spans="2:37" ht="18.5" x14ac:dyDescent="0.45">
      <c r="E68" s="58" t="s">
        <v>227</v>
      </c>
      <c r="F68" s="59"/>
      <c r="G68" s="59"/>
      <c r="H68" s="59"/>
      <c r="I68" s="59"/>
      <c r="R68" t="s">
        <v>410</v>
      </c>
      <c r="Y68" t="s">
        <v>411</v>
      </c>
      <c r="AF68" t="s">
        <v>411</v>
      </c>
    </row>
    <row r="69" spans="2:37" x14ac:dyDescent="0.35">
      <c r="B69" s="61" t="s">
        <v>190</v>
      </c>
      <c r="C69" s="312" t="s">
        <v>191</v>
      </c>
      <c r="D69" s="314" t="s">
        <v>192</v>
      </c>
      <c r="E69" s="312" t="s">
        <v>250</v>
      </c>
      <c r="F69" s="313" t="s">
        <v>341</v>
      </c>
      <c r="G69" s="313" t="s">
        <v>342</v>
      </c>
      <c r="H69" s="313" t="s">
        <v>343</v>
      </c>
      <c r="I69" s="313" t="s">
        <v>344</v>
      </c>
      <c r="K69" s="61" t="s">
        <v>190</v>
      </c>
      <c r="L69" s="312" t="s">
        <v>250</v>
      </c>
      <c r="M69" s="313" t="s">
        <v>341</v>
      </c>
      <c r="N69" s="313" t="s">
        <v>342</v>
      </c>
      <c r="O69" s="313" t="s">
        <v>343</v>
      </c>
      <c r="P69" s="313" t="s">
        <v>344</v>
      </c>
      <c r="R69" s="61" t="s">
        <v>190</v>
      </c>
      <c r="S69" s="312" t="s">
        <v>250</v>
      </c>
      <c r="T69" s="313" t="s">
        <v>341</v>
      </c>
      <c r="U69" s="313" t="s">
        <v>342</v>
      </c>
      <c r="V69" s="313" t="s">
        <v>343</v>
      </c>
      <c r="W69" s="313" t="s">
        <v>344</v>
      </c>
      <c r="Y69" s="61" t="s">
        <v>190</v>
      </c>
      <c r="Z69" s="312" t="s">
        <v>250</v>
      </c>
      <c r="AA69" s="313" t="s">
        <v>341</v>
      </c>
      <c r="AB69" s="313" t="s">
        <v>342</v>
      </c>
      <c r="AC69" s="313" t="s">
        <v>343</v>
      </c>
      <c r="AD69" s="313" t="s">
        <v>344</v>
      </c>
      <c r="AF69" s="61" t="s">
        <v>190</v>
      </c>
      <c r="AG69" s="312" t="s">
        <v>250</v>
      </c>
      <c r="AH69" s="313" t="s">
        <v>341</v>
      </c>
      <c r="AI69" s="313" t="s">
        <v>342</v>
      </c>
      <c r="AJ69" s="313" t="s">
        <v>343</v>
      </c>
      <c r="AK69" s="313" t="s">
        <v>344</v>
      </c>
    </row>
    <row r="70" spans="2:37" x14ac:dyDescent="0.35">
      <c r="B70" s="77" t="str">
        <f t="shared" ref="B70:D82" si="12">B35</f>
        <v>BLR</v>
      </c>
      <c r="C70" s="78">
        <f t="shared" si="12"/>
        <v>9</v>
      </c>
      <c r="D70" s="79">
        <f t="shared" si="12"/>
        <v>6</v>
      </c>
      <c r="E70" s="336">
        <f>E52/12*5</f>
        <v>0.41666666666666663</v>
      </c>
      <c r="F70" s="336">
        <f t="shared" ref="F70:I70" si="13">F52/12*5</f>
        <v>2.5</v>
      </c>
      <c r="G70" s="336">
        <f t="shared" si="13"/>
        <v>2.916666666666667</v>
      </c>
      <c r="H70" s="336">
        <f t="shared" si="13"/>
        <v>4.583333333333333</v>
      </c>
      <c r="I70" s="336">
        <f t="shared" si="13"/>
        <v>5.8333333333333339</v>
      </c>
      <c r="K70" s="67" t="s">
        <v>213</v>
      </c>
      <c r="L70" s="53">
        <f t="shared" ref="L70:L82" si="14">$C$12*($E$4+1)</f>
        <v>440.00000000000006</v>
      </c>
      <c r="M70" s="53">
        <f>L70*($F$4+1)</f>
        <v>506</v>
      </c>
      <c r="N70" s="53">
        <f>M70*($G$4+1)</f>
        <v>581.9</v>
      </c>
      <c r="O70" s="53">
        <f>N70*($H$4+1)</f>
        <v>640.09</v>
      </c>
      <c r="P70" s="53">
        <f>O70*($I$4+1)</f>
        <v>704.09900000000005</v>
      </c>
      <c r="R70" s="67" t="s">
        <v>213</v>
      </c>
      <c r="S70" s="53">
        <f>L70*E70</f>
        <v>183.33333333333334</v>
      </c>
      <c r="T70" s="53">
        <f>(M70*F70)+(M70*E52)</f>
        <v>1771</v>
      </c>
      <c r="U70" s="53">
        <f>(N70*G70)+(N70*F52)+(N70*E52)</f>
        <v>5770.5083333333332</v>
      </c>
      <c r="V70" s="53">
        <f>(O70*H70)+(O70*G52)+(O70*F52)+(O70*E52)</f>
        <v>11895.005833333333</v>
      </c>
      <c r="W70" s="53">
        <f>(P70*I70)+(P70*H52)+(P70*G52)+(P70*F52)+(P70*E52)</f>
        <v>21709.719166666666</v>
      </c>
      <c r="Y70" s="67" t="s">
        <v>213</v>
      </c>
      <c r="Z70" s="235">
        <f>S70*$E$6*$E$7</f>
        <v>19.800000000000004</v>
      </c>
      <c r="AA70" s="235">
        <f>T70*$F$6*$F$7</f>
        <v>233.77200000000005</v>
      </c>
      <c r="AB70" s="235">
        <f>U70*$G$6*$G$7</f>
        <v>872.50086000000022</v>
      </c>
      <c r="AC70" s="235">
        <f>V70*$H$6*$H$7</f>
        <v>1943.6439531666672</v>
      </c>
      <c r="AD70" s="235">
        <f>W70*$I$6*$I$7</f>
        <v>3725.3878089999998</v>
      </c>
      <c r="AF70" s="67" t="s">
        <v>213</v>
      </c>
      <c r="AG70" s="235">
        <f>Z70*(1-$AH$67)</f>
        <v>16.632000000000001</v>
      </c>
      <c r="AH70" s="235">
        <f t="shared" ref="AH70:AK82" si="15">AA70*(1-$AH$67)</f>
        <v>196.36848000000003</v>
      </c>
      <c r="AI70" s="235">
        <f t="shared" si="15"/>
        <v>732.90072240000018</v>
      </c>
      <c r="AJ70" s="235">
        <f t="shared" si="15"/>
        <v>1632.6609206600003</v>
      </c>
      <c r="AK70" s="235">
        <f t="shared" si="15"/>
        <v>3129.3257595599998</v>
      </c>
    </row>
    <row r="71" spans="2:37" x14ac:dyDescent="0.35">
      <c r="B71" s="77" t="str">
        <f t="shared" si="12"/>
        <v>CBE</v>
      </c>
      <c r="C71" s="78">
        <f t="shared" si="12"/>
        <v>4</v>
      </c>
      <c r="D71" s="79">
        <f t="shared" si="12"/>
        <v>4</v>
      </c>
      <c r="E71" s="336">
        <f t="shared" ref="E71:I82" si="16">E53/12*5</f>
        <v>0</v>
      </c>
      <c r="F71" s="336">
        <f t="shared" si="16"/>
        <v>0.41666666666666663</v>
      </c>
      <c r="G71" s="336">
        <f t="shared" si="16"/>
        <v>0.83333333333333326</v>
      </c>
      <c r="H71" s="336">
        <f t="shared" si="16"/>
        <v>0.83333333333333326</v>
      </c>
      <c r="I71" s="336">
        <f t="shared" si="16"/>
        <v>0.41666666666666663</v>
      </c>
      <c r="K71" s="67" t="s">
        <v>214</v>
      </c>
      <c r="L71" s="53">
        <f t="shared" si="14"/>
        <v>440.00000000000006</v>
      </c>
      <c r="M71" s="53">
        <f t="shared" ref="M71:M82" si="17">L71*($F$4+1)</f>
        <v>506</v>
      </c>
      <c r="N71" s="53">
        <f t="shared" ref="N71:N82" si="18">M71*($G$4+1)</f>
        <v>581.9</v>
      </c>
      <c r="O71" s="53">
        <f t="shared" ref="O71:O82" si="19">N71*($H$4+1)</f>
        <v>640.09</v>
      </c>
      <c r="P71" s="53">
        <f t="shared" ref="P71:P82" si="20">O71*($I$4+1)</f>
        <v>704.09900000000005</v>
      </c>
      <c r="R71" s="67" t="s">
        <v>214</v>
      </c>
      <c r="S71" s="53">
        <f t="shared" ref="S71:S82" si="21">L71*E71</f>
        <v>0</v>
      </c>
      <c r="T71" s="53">
        <f t="shared" ref="T71:T82" si="22">(M71*F71)+(M71*E53)</f>
        <v>210.83333333333331</v>
      </c>
      <c r="U71" s="53">
        <f t="shared" ref="U71:V82" si="23">(N71*G71)+(N71*F53)+(N71*E53)</f>
        <v>1066.8166666666666</v>
      </c>
      <c r="V71" s="53">
        <f t="shared" si="23"/>
        <v>2453.6783333333333</v>
      </c>
      <c r="W71" s="53">
        <f t="shared" ref="W71:W82" si="24">(P71*I71)+(P71*H53)+(P71*G53)+(P71*F53)+(P71*E53)</f>
        <v>3813.8695833333336</v>
      </c>
      <c r="Y71" s="67" t="s">
        <v>214</v>
      </c>
      <c r="Z71" s="235">
        <f t="shared" ref="Z71:Z82" si="25">S71*$E$6*$E$7</f>
        <v>0</v>
      </c>
      <c r="AA71" s="235">
        <f t="shared" ref="AA71:AA82" si="26">T71*$F$6*$F$7</f>
        <v>27.83</v>
      </c>
      <c r="AB71" s="235">
        <f t="shared" ref="AB71:AB82" si="27">U71*$G$6*$G$7</f>
        <v>161.30268000000004</v>
      </c>
      <c r="AC71" s="235">
        <f t="shared" ref="AC71:AC82" si="28">V71*$H$6*$H$7</f>
        <v>400.93103966666678</v>
      </c>
      <c r="AD71" s="235">
        <f t="shared" ref="AD71:AD82" si="29">W71*$I$6*$I$7</f>
        <v>654.46002050000004</v>
      </c>
      <c r="AF71" s="67" t="s">
        <v>214</v>
      </c>
      <c r="AG71" s="235">
        <f t="shared" ref="AG71:AG82" si="30">Z71*(1-$AH$67)</f>
        <v>0</v>
      </c>
      <c r="AH71" s="235">
        <f t="shared" si="15"/>
        <v>23.377199999999998</v>
      </c>
      <c r="AI71" s="235">
        <f t="shared" si="15"/>
        <v>135.49425120000004</v>
      </c>
      <c r="AJ71" s="235">
        <f t="shared" si="15"/>
        <v>336.78207332000011</v>
      </c>
      <c r="AK71" s="235">
        <f t="shared" si="15"/>
        <v>549.74641722000001</v>
      </c>
    </row>
    <row r="72" spans="2:37" x14ac:dyDescent="0.35">
      <c r="B72" s="77" t="str">
        <f t="shared" si="12"/>
        <v>CHN</v>
      </c>
      <c r="C72" s="78">
        <f t="shared" si="12"/>
        <v>55</v>
      </c>
      <c r="D72" s="79">
        <f t="shared" si="12"/>
        <v>55</v>
      </c>
      <c r="E72" s="336">
        <f t="shared" si="16"/>
        <v>1.6666666666666665</v>
      </c>
      <c r="F72" s="336">
        <f t="shared" si="16"/>
        <v>2.0833333333333335</v>
      </c>
      <c r="G72" s="336">
        <f t="shared" si="16"/>
        <v>2.916666666666667</v>
      </c>
      <c r="H72" s="336">
        <f t="shared" si="16"/>
        <v>2.916666666666667</v>
      </c>
      <c r="I72" s="336">
        <f t="shared" si="16"/>
        <v>3.333333333333333</v>
      </c>
      <c r="K72" s="67" t="s">
        <v>215</v>
      </c>
      <c r="L72" s="53">
        <f t="shared" si="14"/>
        <v>440.00000000000006</v>
      </c>
      <c r="M72" s="53">
        <f t="shared" si="17"/>
        <v>506</v>
      </c>
      <c r="N72" s="53">
        <f t="shared" si="18"/>
        <v>581.9</v>
      </c>
      <c r="O72" s="53">
        <f t="shared" si="19"/>
        <v>640.09</v>
      </c>
      <c r="P72" s="53">
        <f t="shared" si="20"/>
        <v>704.09900000000005</v>
      </c>
      <c r="R72" s="67" t="s">
        <v>215</v>
      </c>
      <c r="S72" s="53">
        <f t="shared" si="21"/>
        <v>733.33333333333337</v>
      </c>
      <c r="T72" s="53">
        <f t="shared" si="22"/>
        <v>3078.166666666667</v>
      </c>
      <c r="U72" s="53">
        <f t="shared" si="23"/>
        <v>6934.3083333333343</v>
      </c>
      <c r="V72" s="53">
        <f t="shared" si="23"/>
        <v>9548.0091666666667</v>
      </c>
      <c r="W72" s="53">
        <f t="shared" si="24"/>
        <v>18541.273666666668</v>
      </c>
      <c r="Y72" s="67" t="s">
        <v>215</v>
      </c>
      <c r="Z72" s="235">
        <f t="shared" si="25"/>
        <v>79.200000000000017</v>
      </c>
      <c r="AA72" s="235">
        <f t="shared" si="26"/>
        <v>406.3180000000001</v>
      </c>
      <c r="AB72" s="235">
        <f t="shared" si="27"/>
        <v>1048.4674200000004</v>
      </c>
      <c r="AC72" s="235">
        <f t="shared" si="28"/>
        <v>1560.1446978333338</v>
      </c>
      <c r="AD72" s="235">
        <f t="shared" si="29"/>
        <v>3181.6825612000007</v>
      </c>
      <c r="AF72" s="67" t="s">
        <v>215</v>
      </c>
      <c r="AG72" s="235">
        <f t="shared" si="30"/>
        <v>66.528000000000006</v>
      </c>
      <c r="AH72" s="235">
        <f t="shared" si="15"/>
        <v>341.30712000000005</v>
      </c>
      <c r="AI72" s="235">
        <f t="shared" si="15"/>
        <v>880.71263280000028</v>
      </c>
      <c r="AJ72" s="235">
        <f t="shared" si="15"/>
        <v>1310.5215461800003</v>
      </c>
      <c r="AK72" s="235">
        <f t="shared" si="15"/>
        <v>2672.6133514080007</v>
      </c>
    </row>
    <row r="73" spans="2:37" x14ac:dyDescent="0.35">
      <c r="B73" s="77" t="str">
        <f t="shared" si="12"/>
        <v>COC</v>
      </c>
      <c r="C73" s="78">
        <f t="shared" si="12"/>
        <v>4</v>
      </c>
      <c r="D73" s="79">
        <f t="shared" si="12"/>
        <v>2</v>
      </c>
      <c r="E73" s="336">
        <f t="shared" si="16"/>
        <v>0.41666666666666663</v>
      </c>
      <c r="F73" s="336">
        <f t="shared" si="16"/>
        <v>2.5</v>
      </c>
      <c r="G73" s="336">
        <f t="shared" si="16"/>
        <v>2.5</v>
      </c>
      <c r="H73" s="336">
        <f t="shared" si="16"/>
        <v>0.41666666666666663</v>
      </c>
      <c r="I73" s="336">
        <f t="shared" si="16"/>
        <v>0</v>
      </c>
      <c r="K73" s="67" t="s">
        <v>216</v>
      </c>
      <c r="L73" s="53">
        <f t="shared" si="14"/>
        <v>440.00000000000006</v>
      </c>
      <c r="M73" s="53">
        <f t="shared" si="17"/>
        <v>506</v>
      </c>
      <c r="N73" s="53">
        <f t="shared" si="18"/>
        <v>581.9</v>
      </c>
      <c r="O73" s="53">
        <f t="shared" si="19"/>
        <v>640.09</v>
      </c>
      <c r="P73" s="53">
        <f t="shared" si="20"/>
        <v>704.09900000000005</v>
      </c>
      <c r="R73" s="67" t="s">
        <v>216</v>
      </c>
      <c r="S73" s="53">
        <f t="shared" si="21"/>
        <v>183.33333333333334</v>
      </c>
      <c r="T73" s="53">
        <f t="shared" si="22"/>
        <v>1771</v>
      </c>
      <c r="U73" s="53">
        <f t="shared" si="23"/>
        <v>5528.0499999999993</v>
      </c>
      <c r="V73" s="53">
        <f t="shared" si="23"/>
        <v>7947.7841666666664</v>
      </c>
      <c r="W73" s="53">
        <f t="shared" si="24"/>
        <v>9857.3860000000004</v>
      </c>
      <c r="Y73" s="67" t="s">
        <v>216</v>
      </c>
      <c r="Z73" s="235">
        <f t="shared" si="25"/>
        <v>19.800000000000004</v>
      </c>
      <c r="AA73" s="235">
        <f t="shared" si="26"/>
        <v>233.77200000000005</v>
      </c>
      <c r="AB73" s="235">
        <f t="shared" si="27"/>
        <v>835.84116000000006</v>
      </c>
      <c r="AC73" s="235">
        <f t="shared" si="28"/>
        <v>1298.6679328333337</v>
      </c>
      <c r="AD73" s="235">
        <f t="shared" si="29"/>
        <v>1691.5274376</v>
      </c>
      <c r="AF73" s="67" t="s">
        <v>216</v>
      </c>
      <c r="AG73" s="235">
        <f t="shared" si="30"/>
        <v>16.632000000000001</v>
      </c>
      <c r="AH73" s="235">
        <f t="shared" si="15"/>
        <v>196.36848000000003</v>
      </c>
      <c r="AI73" s="235">
        <f t="shared" si="15"/>
        <v>702.1065744</v>
      </c>
      <c r="AJ73" s="235">
        <f t="shared" si="15"/>
        <v>1090.8810635800003</v>
      </c>
      <c r="AK73" s="235">
        <f t="shared" si="15"/>
        <v>1420.883047584</v>
      </c>
    </row>
    <row r="74" spans="2:37" x14ac:dyDescent="0.35">
      <c r="B74" s="77" t="str">
        <f t="shared" si="12"/>
        <v>CON</v>
      </c>
      <c r="C74" s="78">
        <f t="shared" si="12"/>
        <v>1</v>
      </c>
      <c r="D74" s="79">
        <f t="shared" si="12"/>
        <v>1</v>
      </c>
      <c r="E74" s="336">
        <f t="shared" si="16"/>
        <v>0.41666666666666663</v>
      </c>
      <c r="F74" s="336">
        <f t="shared" si="16"/>
        <v>0.41666666666666663</v>
      </c>
      <c r="G74" s="336">
        <f t="shared" si="16"/>
        <v>0.41666666666666663</v>
      </c>
      <c r="H74" s="336">
        <f t="shared" si="16"/>
        <v>0</v>
      </c>
      <c r="I74" s="336">
        <f t="shared" si="16"/>
        <v>0</v>
      </c>
      <c r="K74" s="67" t="s">
        <v>217</v>
      </c>
      <c r="L74" s="53">
        <f t="shared" si="14"/>
        <v>440.00000000000006</v>
      </c>
      <c r="M74" s="53">
        <f t="shared" si="17"/>
        <v>506</v>
      </c>
      <c r="N74" s="53">
        <f t="shared" si="18"/>
        <v>581.9</v>
      </c>
      <c r="O74" s="53">
        <f t="shared" si="19"/>
        <v>640.09</v>
      </c>
      <c r="P74" s="53">
        <f t="shared" si="20"/>
        <v>704.09900000000005</v>
      </c>
      <c r="R74" s="67" t="s">
        <v>217</v>
      </c>
      <c r="S74" s="53">
        <f t="shared" si="21"/>
        <v>183.33333333333334</v>
      </c>
      <c r="T74" s="53">
        <f t="shared" si="22"/>
        <v>716.83333333333326</v>
      </c>
      <c r="U74" s="53">
        <f t="shared" si="23"/>
        <v>1406.2583333333332</v>
      </c>
      <c r="V74" s="53">
        <f t="shared" si="23"/>
        <v>1280.18</v>
      </c>
      <c r="W74" s="53">
        <f t="shared" si="24"/>
        <v>2112.297</v>
      </c>
      <c r="Y74" s="67" t="s">
        <v>217</v>
      </c>
      <c r="Z74" s="235">
        <f t="shared" si="25"/>
        <v>19.800000000000004</v>
      </c>
      <c r="AA74" s="235">
        <f t="shared" si="26"/>
        <v>94.622</v>
      </c>
      <c r="AB74" s="235">
        <f t="shared" si="27"/>
        <v>212.62626000000003</v>
      </c>
      <c r="AC74" s="235">
        <f t="shared" si="28"/>
        <v>209.18141200000005</v>
      </c>
      <c r="AD74" s="235">
        <f t="shared" si="29"/>
        <v>362.4701652</v>
      </c>
      <c r="AF74" s="67" t="s">
        <v>217</v>
      </c>
      <c r="AG74" s="235">
        <f t="shared" si="30"/>
        <v>16.632000000000001</v>
      </c>
      <c r="AH74" s="235">
        <f t="shared" si="15"/>
        <v>79.482479999999995</v>
      </c>
      <c r="AI74" s="235">
        <f t="shared" si="15"/>
        <v>178.60605840000002</v>
      </c>
      <c r="AJ74" s="235">
        <f t="shared" si="15"/>
        <v>175.71238608000004</v>
      </c>
      <c r="AK74" s="235">
        <f t="shared" si="15"/>
        <v>304.47493876799996</v>
      </c>
    </row>
    <row r="75" spans="2:37" x14ac:dyDescent="0.35">
      <c r="B75" s="77" t="str">
        <f t="shared" si="12"/>
        <v>MDU</v>
      </c>
      <c r="C75" s="78">
        <f t="shared" si="12"/>
        <v>1</v>
      </c>
      <c r="D75" s="79">
        <f t="shared" si="12"/>
        <v>2</v>
      </c>
      <c r="E75" s="336">
        <f t="shared" si="16"/>
        <v>0.41666666666666663</v>
      </c>
      <c r="F75" s="336">
        <f t="shared" si="16"/>
        <v>0</v>
      </c>
      <c r="G75" s="336">
        <f t="shared" si="16"/>
        <v>0</v>
      </c>
      <c r="H75" s="336">
        <f t="shared" si="16"/>
        <v>0</v>
      </c>
      <c r="I75" s="336">
        <f t="shared" si="16"/>
        <v>0</v>
      </c>
      <c r="K75" s="67" t="s">
        <v>218</v>
      </c>
      <c r="L75" s="53">
        <f t="shared" si="14"/>
        <v>440.00000000000006</v>
      </c>
      <c r="M75" s="53">
        <f t="shared" si="17"/>
        <v>506</v>
      </c>
      <c r="N75" s="53">
        <f t="shared" si="18"/>
        <v>581.9</v>
      </c>
      <c r="O75" s="53">
        <f t="shared" si="19"/>
        <v>640.09</v>
      </c>
      <c r="P75" s="53">
        <f t="shared" si="20"/>
        <v>704.09900000000005</v>
      </c>
      <c r="R75" s="67" t="s">
        <v>218</v>
      </c>
      <c r="S75" s="53">
        <f t="shared" si="21"/>
        <v>183.33333333333334</v>
      </c>
      <c r="T75" s="53">
        <f t="shared" si="22"/>
        <v>506</v>
      </c>
      <c r="U75" s="53">
        <f t="shared" si="23"/>
        <v>581.9</v>
      </c>
      <c r="V75" s="53">
        <f t="shared" si="23"/>
        <v>0</v>
      </c>
      <c r="W75" s="53">
        <f t="shared" si="24"/>
        <v>704.09900000000005</v>
      </c>
      <c r="Y75" s="67" t="s">
        <v>218</v>
      </c>
      <c r="Z75" s="235">
        <f t="shared" si="25"/>
        <v>19.800000000000004</v>
      </c>
      <c r="AA75" s="235">
        <f t="shared" si="26"/>
        <v>66.792000000000016</v>
      </c>
      <c r="AB75" s="235">
        <f t="shared" si="27"/>
        <v>87.983280000000008</v>
      </c>
      <c r="AC75" s="235">
        <f t="shared" si="28"/>
        <v>0</v>
      </c>
      <c r="AD75" s="235">
        <f t="shared" si="29"/>
        <v>120.8233884</v>
      </c>
      <c r="AF75" s="67" t="s">
        <v>218</v>
      </c>
      <c r="AG75" s="235">
        <f t="shared" si="30"/>
        <v>16.632000000000001</v>
      </c>
      <c r="AH75" s="235">
        <f t="shared" si="15"/>
        <v>56.105280000000015</v>
      </c>
      <c r="AI75" s="235">
        <f t="shared" si="15"/>
        <v>73.905955200000008</v>
      </c>
      <c r="AJ75" s="235">
        <f t="shared" si="15"/>
        <v>0</v>
      </c>
      <c r="AK75" s="235">
        <f t="shared" si="15"/>
        <v>101.491646256</v>
      </c>
    </row>
    <row r="76" spans="2:37" x14ac:dyDescent="0.35">
      <c r="B76" s="77" t="str">
        <f t="shared" si="12"/>
        <v>MLR</v>
      </c>
      <c r="C76" s="78">
        <f t="shared" si="12"/>
        <v>7</v>
      </c>
      <c r="D76" s="79">
        <f t="shared" si="12"/>
        <v>6</v>
      </c>
      <c r="E76" s="336">
        <f t="shared" si="16"/>
        <v>0.83333333333333326</v>
      </c>
      <c r="F76" s="336">
        <f t="shared" si="16"/>
        <v>0.41666666666666663</v>
      </c>
      <c r="G76" s="336">
        <f t="shared" si="16"/>
        <v>0.41666666666666663</v>
      </c>
      <c r="H76" s="336">
        <f t="shared" si="16"/>
        <v>0.41666666666666663</v>
      </c>
      <c r="I76" s="336">
        <f t="shared" si="16"/>
        <v>0</v>
      </c>
      <c r="K76" s="67" t="s">
        <v>219</v>
      </c>
      <c r="L76" s="53">
        <f t="shared" si="14"/>
        <v>440.00000000000006</v>
      </c>
      <c r="M76" s="53">
        <f t="shared" si="17"/>
        <v>506</v>
      </c>
      <c r="N76" s="53">
        <f t="shared" si="18"/>
        <v>581.9</v>
      </c>
      <c r="O76" s="53">
        <f t="shared" si="19"/>
        <v>640.09</v>
      </c>
      <c r="P76" s="53">
        <f t="shared" si="20"/>
        <v>704.09900000000005</v>
      </c>
      <c r="R76" s="67" t="s">
        <v>219</v>
      </c>
      <c r="S76" s="53">
        <f t="shared" si="21"/>
        <v>366.66666666666669</v>
      </c>
      <c r="T76" s="53">
        <f t="shared" si="22"/>
        <v>1222.8333333333333</v>
      </c>
      <c r="U76" s="53">
        <f t="shared" si="23"/>
        <v>1988.1583333333333</v>
      </c>
      <c r="V76" s="53">
        <f t="shared" si="23"/>
        <v>1546.8841666666667</v>
      </c>
      <c r="W76" s="53">
        <f t="shared" si="24"/>
        <v>3520.4949999999999</v>
      </c>
      <c r="Y76" s="67" t="s">
        <v>219</v>
      </c>
      <c r="Z76" s="235">
        <f t="shared" si="25"/>
        <v>39.600000000000009</v>
      </c>
      <c r="AA76" s="235">
        <f t="shared" si="26"/>
        <v>161.41400000000002</v>
      </c>
      <c r="AB76" s="235">
        <f t="shared" si="27"/>
        <v>300.6095400000001</v>
      </c>
      <c r="AC76" s="235">
        <f t="shared" si="28"/>
        <v>252.76087283333342</v>
      </c>
      <c r="AD76" s="235">
        <f t="shared" si="29"/>
        <v>604.11694199999999</v>
      </c>
      <c r="AF76" s="67" t="s">
        <v>219</v>
      </c>
      <c r="AG76" s="235">
        <f t="shared" si="30"/>
        <v>33.264000000000003</v>
      </c>
      <c r="AH76" s="235">
        <f t="shared" si="15"/>
        <v>135.58776</v>
      </c>
      <c r="AI76" s="235">
        <f t="shared" si="15"/>
        <v>252.51201360000007</v>
      </c>
      <c r="AJ76" s="235">
        <f t="shared" si="15"/>
        <v>212.31913318000008</v>
      </c>
      <c r="AK76" s="235">
        <f t="shared" si="15"/>
        <v>507.45823127999995</v>
      </c>
    </row>
    <row r="77" spans="2:37" x14ac:dyDescent="0.35">
      <c r="B77" s="77" t="s">
        <v>220</v>
      </c>
      <c r="C77" s="78">
        <f t="shared" si="12"/>
        <v>0</v>
      </c>
      <c r="D77" s="79">
        <f t="shared" si="12"/>
        <v>0</v>
      </c>
      <c r="E77" s="336">
        <f t="shared" si="16"/>
        <v>0</v>
      </c>
      <c r="F77" s="336">
        <f t="shared" si="16"/>
        <v>1.25</v>
      </c>
      <c r="G77" s="336">
        <f t="shared" si="16"/>
        <v>2.0833333333333335</v>
      </c>
      <c r="H77" s="336">
        <f t="shared" si="16"/>
        <v>0</v>
      </c>
      <c r="I77" s="336">
        <f t="shared" si="16"/>
        <v>0</v>
      </c>
      <c r="K77" s="67" t="s">
        <v>220</v>
      </c>
      <c r="L77" s="53">
        <f t="shared" si="14"/>
        <v>440.00000000000006</v>
      </c>
      <c r="M77" s="53">
        <f t="shared" si="17"/>
        <v>506</v>
      </c>
      <c r="N77" s="53">
        <f t="shared" si="18"/>
        <v>581.9</v>
      </c>
      <c r="O77" s="53">
        <f t="shared" si="19"/>
        <v>640.09</v>
      </c>
      <c r="P77" s="53">
        <f t="shared" si="20"/>
        <v>704.09900000000005</v>
      </c>
      <c r="R77" s="67" t="s">
        <v>220</v>
      </c>
      <c r="S77" s="53">
        <f t="shared" si="21"/>
        <v>0</v>
      </c>
      <c r="T77" s="53">
        <f t="shared" si="22"/>
        <v>632.5</v>
      </c>
      <c r="U77" s="53">
        <f t="shared" si="23"/>
        <v>2957.9916666666668</v>
      </c>
      <c r="V77" s="53">
        <f t="shared" si="23"/>
        <v>5120.72</v>
      </c>
      <c r="W77" s="53">
        <f t="shared" si="24"/>
        <v>5632.7920000000004</v>
      </c>
      <c r="Y77" s="67" t="s">
        <v>220</v>
      </c>
      <c r="Z77" s="235">
        <f t="shared" si="25"/>
        <v>0</v>
      </c>
      <c r="AA77" s="235">
        <f t="shared" si="26"/>
        <v>83.490000000000009</v>
      </c>
      <c r="AB77" s="235">
        <f t="shared" si="27"/>
        <v>447.24834000000016</v>
      </c>
      <c r="AC77" s="235">
        <f t="shared" si="28"/>
        <v>836.72564800000021</v>
      </c>
      <c r="AD77" s="235">
        <f t="shared" si="29"/>
        <v>966.58710719999999</v>
      </c>
      <c r="AF77" s="67" t="s">
        <v>220</v>
      </c>
      <c r="AG77" s="235">
        <f t="shared" si="30"/>
        <v>0</v>
      </c>
      <c r="AH77" s="235">
        <f t="shared" si="15"/>
        <v>70.131600000000006</v>
      </c>
      <c r="AI77" s="235">
        <f t="shared" si="15"/>
        <v>375.68860560000013</v>
      </c>
      <c r="AJ77" s="235">
        <f t="shared" si="15"/>
        <v>702.84954432000018</v>
      </c>
      <c r="AK77" s="235">
        <f t="shared" si="15"/>
        <v>811.93317004799997</v>
      </c>
    </row>
    <row r="78" spans="2:37" x14ac:dyDescent="0.35">
      <c r="B78" s="77" t="str">
        <f>B43</f>
        <v>PONDY</v>
      </c>
      <c r="C78" s="78">
        <f t="shared" si="12"/>
        <v>2</v>
      </c>
      <c r="D78" s="79">
        <f t="shared" si="12"/>
        <v>2</v>
      </c>
      <c r="E78" s="336">
        <f t="shared" si="16"/>
        <v>0</v>
      </c>
      <c r="F78" s="336">
        <f t="shared" si="16"/>
        <v>0</v>
      </c>
      <c r="G78" s="336">
        <f t="shared" si="16"/>
        <v>0</v>
      </c>
      <c r="H78" s="336">
        <f t="shared" si="16"/>
        <v>0</v>
      </c>
      <c r="I78" s="336">
        <f t="shared" si="16"/>
        <v>0</v>
      </c>
      <c r="K78" s="67" t="s">
        <v>221</v>
      </c>
      <c r="L78" s="53">
        <f t="shared" si="14"/>
        <v>440.00000000000006</v>
      </c>
      <c r="M78" s="53">
        <f t="shared" si="17"/>
        <v>506</v>
      </c>
      <c r="N78" s="53">
        <f t="shared" si="18"/>
        <v>581.9</v>
      </c>
      <c r="O78" s="53">
        <f t="shared" si="19"/>
        <v>640.09</v>
      </c>
      <c r="P78" s="53">
        <f t="shared" si="20"/>
        <v>704.09900000000005</v>
      </c>
      <c r="R78" s="67" t="s">
        <v>221</v>
      </c>
      <c r="S78" s="53">
        <f t="shared" si="21"/>
        <v>0</v>
      </c>
      <c r="T78" s="53">
        <f t="shared" si="22"/>
        <v>0</v>
      </c>
      <c r="U78" s="53">
        <f t="shared" si="23"/>
        <v>0</v>
      </c>
      <c r="V78" s="53">
        <f t="shared" si="23"/>
        <v>0</v>
      </c>
      <c r="W78" s="53">
        <f t="shared" si="24"/>
        <v>0</v>
      </c>
      <c r="Y78" s="67" t="s">
        <v>221</v>
      </c>
      <c r="Z78" s="235">
        <f t="shared" si="25"/>
        <v>0</v>
      </c>
      <c r="AA78" s="235">
        <f t="shared" si="26"/>
        <v>0</v>
      </c>
      <c r="AB78" s="235">
        <f t="shared" si="27"/>
        <v>0</v>
      </c>
      <c r="AC78" s="235">
        <f t="shared" si="28"/>
        <v>0</v>
      </c>
      <c r="AD78" s="235">
        <f t="shared" si="29"/>
        <v>0</v>
      </c>
      <c r="AF78" s="67" t="s">
        <v>221</v>
      </c>
      <c r="AG78" s="235">
        <f t="shared" si="30"/>
        <v>0</v>
      </c>
      <c r="AH78" s="235">
        <f t="shared" si="15"/>
        <v>0</v>
      </c>
      <c r="AI78" s="235">
        <f t="shared" si="15"/>
        <v>0</v>
      </c>
      <c r="AJ78" s="235">
        <f t="shared" si="15"/>
        <v>0</v>
      </c>
      <c r="AK78" s="235">
        <f t="shared" si="15"/>
        <v>0</v>
      </c>
    </row>
    <row r="79" spans="2:37" x14ac:dyDescent="0.35">
      <c r="B79" s="77" t="str">
        <f>B44</f>
        <v>TVM</v>
      </c>
      <c r="C79" s="78">
        <f t="shared" si="12"/>
        <v>3</v>
      </c>
      <c r="D79" s="79">
        <f t="shared" si="12"/>
        <v>3</v>
      </c>
      <c r="E79" s="336">
        <f t="shared" si="16"/>
        <v>1.25</v>
      </c>
      <c r="F79" s="336">
        <f t="shared" si="16"/>
        <v>2.5</v>
      </c>
      <c r="G79" s="336">
        <f t="shared" si="16"/>
        <v>3.333333333333333</v>
      </c>
      <c r="H79" s="336">
        <f t="shared" si="16"/>
        <v>0</v>
      </c>
      <c r="I79" s="336">
        <f t="shared" si="16"/>
        <v>0</v>
      </c>
      <c r="K79" s="67" t="s">
        <v>222</v>
      </c>
      <c r="L79" s="53">
        <f t="shared" si="14"/>
        <v>440.00000000000006</v>
      </c>
      <c r="M79" s="53">
        <f t="shared" si="17"/>
        <v>506</v>
      </c>
      <c r="N79" s="53">
        <f t="shared" si="18"/>
        <v>581.9</v>
      </c>
      <c r="O79" s="53">
        <f t="shared" si="19"/>
        <v>640.09</v>
      </c>
      <c r="P79" s="53">
        <f t="shared" si="20"/>
        <v>704.09900000000005</v>
      </c>
      <c r="R79" s="67" t="s">
        <v>222</v>
      </c>
      <c r="S79" s="53">
        <f t="shared" si="21"/>
        <v>550.00000000000011</v>
      </c>
      <c r="T79" s="53">
        <f t="shared" si="22"/>
        <v>2783</v>
      </c>
      <c r="U79" s="53">
        <f t="shared" si="23"/>
        <v>7176.7666666666655</v>
      </c>
      <c r="V79" s="53">
        <f t="shared" si="23"/>
        <v>8961.26</v>
      </c>
      <c r="W79" s="53">
        <f t="shared" si="24"/>
        <v>11969.683000000001</v>
      </c>
      <c r="Y79" s="67" t="s">
        <v>222</v>
      </c>
      <c r="Z79" s="235">
        <f t="shared" si="25"/>
        <v>59.40000000000002</v>
      </c>
      <c r="AA79" s="235">
        <f t="shared" si="26"/>
        <v>367.35600000000005</v>
      </c>
      <c r="AB79" s="235">
        <f t="shared" si="27"/>
        <v>1085.1271200000001</v>
      </c>
      <c r="AC79" s="235">
        <f t="shared" si="28"/>
        <v>1464.2698840000003</v>
      </c>
      <c r="AD79" s="235">
        <f t="shared" si="29"/>
        <v>2053.9976028000001</v>
      </c>
      <c r="AF79" s="67" t="s">
        <v>222</v>
      </c>
      <c r="AG79" s="235">
        <f t="shared" si="30"/>
        <v>49.896000000000015</v>
      </c>
      <c r="AH79" s="235">
        <f t="shared" si="15"/>
        <v>308.57904000000002</v>
      </c>
      <c r="AI79" s="235">
        <f t="shared" si="15"/>
        <v>911.5067808</v>
      </c>
      <c r="AJ79" s="235">
        <f t="shared" si="15"/>
        <v>1229.9867025600001</v>
      </c>
      <c r="AK79" s="235">
        <f t="shared" si="15"/>
        <v>1725.3579863520001</v>
      </c>
    </row>
    <row r="80" spans="2:37" x14ac:dyDescent="0.35">
      <c r="B80" s="77" t="str">
        <f>B45</f>
        <v>TVML</v>
      </c>
      <c r="C80" s="78">
        <f t="shared" si="12"/>
        <v>2</v>
      </c>
      <c r="D80" s="79">
        <f t="shared" si="12"/>
        <v>2</v>
      </c>
      <c r="E80" s="336">
        <f t="shared" si="16"/>
        <v>0</v>
      </c>
      <c r="F80" s="336">
        <f t="shared" si="16"/>
        <v>0</v>
      </c>
      <c r="G80" s="336">
        <f t="shared" si="16"/>
        <v>0</v>
      </c>
      <c r="H80" s="336">
        <f t="shared" si="16"/>
        <v>0</v>
      </c>
      <c r="I80" s="336">
        <f t="shared" si="16"/>
        <v>0</v>
      </c>
      <c r="K80" s="67" t="s">
        <v>223</v>
      </c>
      <c r="L80" s="53">
        <f t="shared" si="14"/>
        <v>440.00000000000006</v>
      </c>
      <c r="M80" s="53">
        <f t="shared" si="17"/>
        <v>506</v>
      </c>
      <c r="N80" s="53">
        <f t="shared" si="18"/>
        <v>581.9</v>
      </c>
      <c r="O80" s="53">
        <f t="shared" si="19"/>
        <v>640.09</v>
      </c>
      <c r="P80" s="53">
        <f t="shared" si="20"/>
        <v>704.09900000000005</v>
      </c>
      <c r="R80" s="67" t="s">
        <v>223</v>
      </c>
      <c r="S80" s="53">
        <f t="shared" si="21"/>
        <v>0</v>
      </c>
      <c r="T80" s="53">
        <f t="shared" si="22"/>
        <v>0</v>
      </c>
      <c r="U80" s="53">
        <f t="shared" si="23"/>
        <v>0</v>
      </c>
      <c r="V80" s="53">
        <f t="shared" si="23"/>
        <v>0</v>
      </c>
      <c r="W80" s="53">
        <f t="shared" si="24"/>
        <v>0</v>
      </c>
      <c r="Y80" s="67" t="s">
        <v>223</v>
      </c>
      <c r="Z80" s="235">
        <f t="shared" si="25"/>
        <v>0</v>
      </c>
      <c r="AA80" s="235">
        <f t="shared" si="26"/>
        <v>0</v>
      </c>
      <c r="AB80" s="235">
        <f t="shared" si="27"/>
        <v>0</v>
      </c>
      <c r="AC80" s="235">
        <f t="shared" si="28"/>
        <v>0</v>
      </c>
      <c r="AD80" s="235">
        <f t="shared" si="29"/>
        <v>0</v>
      </c>
      <c r="AF80" s="67" t="s">
        <v>223</v>
      </c>
      <c r="AG80" s="235">
        <f t="shared" si="30"/>
        <v>0</v>
      </c>
      <c r="AH80" s="235">
        <f t="shared" si="15"/>
        <v>0</v>
      </c>
      <c r="AI80" s="235">
        <f t="shared" si="15"/>
        <v>0</v>
      </c>
      <c r="AJ80" s="235">
        <f t="shared" si="15"/>
        <v>0</v>
      </c>
      <c r="AK80" s="235">
        <f t="shared" si="15"/>
        <v>0</v>
      </c>
    </row>
    <row r="81" spans="2:37" x14ac:dyDescent="0.35">
      <c r="B81" s="77" t="s">
        <v>224</v>
      </c>
      <c r="C81" s="78">
        <f t="shared" si="12"/>
        <v>2</v>
      </c>
      <c r="D81" s="79">
        <f t="shared" si="12"/>
        <v>1</v>
      </c>
      <c r="E81" s="336">
        <f t="shared" si="16"/>
        <v>0</v>
      </c>
      <c r="F81" s="336">
        <f t="shared" si="16"/>
        <v>1.6666666666666665</v>
      </c>
      <c r="G81" s="336">
        <f t="shared" si="16"/>
        <v>0.83333333333333326</v>
      </c>
      <c r="H81" s="336">
        <f t="shared" si="16"/>
        <v>0</v>
      </c>
      <c r="I81" s="336">
        <f t="shared" si="16"/>
        <v>0</v>
      </c>
      <c r="K81" s="67" t="s">
        <v>224</v>
      </c>
      <c r="L81" s="53">
        <f t="shared" si="14"/>
        <v>440.00000000000006</v>
      </c>
      <c r="M81" s="53">
        <f t="shared" si="17"/>
        <v>506</v>
      </c>
      <c r="N81" s="53">
        <f t="shared" si="18"/>
        <v>581.9</v>
      </c>
      <c r="O81" s="53">
        <f t="shared" si="19"/>
        <v>640.09</v>
      </c>
      <c r="P81" s="53">
        <f t="shared" si="20"/>
        <v>704.09900000000005</v>
      </c>
      <c r="R81" s="67" t="s">
        <v>224</v>
      </c>
      <c r="S81" s="53">
        <f t="shared" si="21"/>
        <v>0</v>
      </c>
      <c r="T81" s="53">
        <f t="shared" si="22"/>
        <v>843.33333333333326</v>
      </c>
      <c r="U81" s="53">
        <f t="shared" si="23"/>
        <v>2812.5166666666664</v>
      </c>
      <c r="V81" s="53">
        <f t="shared" si="23"/>
        <v>3840.54</v>
      </c>
      <c r="W81" s="53">
        <f t="shared" si="24"/>
        <v>4224.5940000000001</v>
      </c>
      <c r="Y81" s="67" t="s">
        <v>224</v>
      </c>
      <c r="Z81" s="235">
        <f t="shared" si="25"/>
        <v>0</v>
      </c>
      <c r="AA81" s="235">
        <f t="shared" si="26"/>
        <v>111.32</v>
      </c>
      <c r="AB81" s="235">
        <f t="shared" si="27"/>
        <v>425.25252000000006</v>
      </c>
      <c r="AC81" s="235">
        <f t="shared" si="28"/>
        <v>627.54423600000018</v>
      </c>
      <c r="AD81" s="235">
        <f t="shared" si="29"/>
        <v>724.94033039999999</v>
      </c>
      <c r="AF81" s="67" t="s">
        <v>224</v>
      </c>
      <c r="AG81" s="235">
        <f t="shared" si="30"/>
        <v>0</v>
      </c>
      <c r="AH81" s="235">
        <f t="shared" si="15"/>
        <v>93.508799999999994</v>
      </c>
      <c r="AI81" s="235">
        <f t="shared" si="15"/>
        <v>357.21211680000005</v>
      </c>
      <c r="AJ81" s="235">
        <f t="shared" si="15"/>
        <v>527.13715824000019</v>
      </c>
      <c r="AK81" s="235">
        <f t="shared" si="15"/>
        <v>608.94987753599992</v>
      </c>
    </row>
    <row r="82" spans="2:37" x14ac:dyDescent="0.35">
      <c r="B82" s="77" t="str">
        <f>B47</f>
        <v>TS</v>
      </c>
      <c r="C82" s="78">
        <f t="shared" si="12"/>
        <v>0</v>
      </c>
      <c r="D82" s="79">
        <f t="shared" si="12"/>
        <v>0</v>
      </c>
      <c r="E82" s="336">
        <f t="shared" si="16"/>
        <v>0</v>
      </c>
      <c r="F82" s="336">
        <f t="shared" si="16"/>
        <v>3.75</v>
      </c>
      <c r="G82" s="336">
        <f t="shared" si="16"/>
        <v>5.4166666666666661</v>
      </c>
      <c r="H82" s="336">
        <f t="shared" si="16"/>
        <v>2.5</v>
      </c>
      <c r="I82" s="336">
        <f t="shared" si="16"/>
        <v>1.6666666666666665</v>
      </c>
      <c r="K82" s="67" t="s">
        <v>225</v>
      </c>
      <c r="L82" s="53">
        <f t="shared" si="14"/>
        <v>440.00000000000006</v>
      </c>
      <c r="M82" s="53">
        <f t="shared" si="17"/>
        <v>506</v>
      </c>
      <c r="N82" s="53">
        <f t="shared" si="18"/>
        <v>581.9</v>
      </c>
      <c r="O82" s="53">
        <f t="shared" si="19"/>
        <v>640.09</v>
      </c>
      <c r="P82" s="53">
        <f t="shared" si="20"/>
        <v>704.09900000000005</v>
      </c>
      <c r="R82" s="67" t="s">
        <v>225</v>
      </c>
      <c r="S82" s="53">
        <f t="shared" si="21"/>
        <v>0</v>
      </c>
      <c r="T82" s="53">
        <f t="shared" si="22"/>
        <v>1897.5</v>
      </c>
      <c r="U82" s="53">
        <f t="shared" si="23"/>
        <v>8389.0583333333325</v>
      </c>
      <c r="V82" s="53">
        <f t="shared" si="23"/>
        <v>15682.205000000002</v>
      </c>
      <c r="W82" s="53">
        <f t="shared" si="24"/>
        <v>20888.270333333334</v>
      </c>
      <c r="Y82" s="67" t="s">
        <v>225</v>
      </c>
      <c r="Z82" s="235">
        <f t="shared" si="25"/>
        <v>0</v>
      </c>
      <c r="AA82" s="235">
        <f t="shared" si="26"/>
        <v>250.47000000000006</v>
      </c>
      <c r="AB82" s="235">
        <f t="shared" si="27"/>
        <v>1268.4256200000002</v>
      </c>
      <c r="AC82" s="235">
        <f t="shared" si="28"/>
        <v>2562.4722970000012</v>
      </c>
      <c r="AD82" s="235">
        <f t="shared" si="29"/>
        <v>3584.4271892000002</v>
      </c>
      <c r="AF82" s="67" t="s">
        <v>225</v>
      </c>
      <c r="AG82" s="235">
        <f t="shared" si="30"/>
        <v>0</v>
      </c>
      <c r="AH82" s="235">
        <f t="shared" si="15"/>
        <v>210.39480000000003</v>
      </c>
      <c r="AI82" s="235">
        <f t="shared" si="15"/>
        <v>1065.4775208000001</v>
      </c>
      <c r="AJ82" s="235">
        <f t="shared" si="15"/>
        <v>2152.4767294800008</v>
      </c>
      <c r="AK82" s="235">
        <f t="shared" si="15"/>
        <v>3010.9188389280002</v>
      </c>
    </row>
    <row r="83" spans="2:37" x14ac:dyDescent="0.35">
      <c r="B83" s="71" t="s">
        <v>226</v>
      </c>
      <c r="C83" s="85">
        <f t="shared" ref="C83:D83" si="31">SUM(C70:C82)</f>
        <v>90</v>
      </c>
      <c r="D83" s="86">
        <f t="shared" si="31"/>
        <v>84</v>
      </c>
      <c r="E83" s="337">
        <f>SUM(E70:E82)</f>
        <v>5.4166666666666661</v>
      </c>
      <c r="F83" s="337">
        <f t="shared" ref="F83:I83" si="32">SUM(F70:F82)</f>
        <v>17.5</v>
      </c>
      <c r="G83" s="337">
        <f t="shared" si="32"/>
        <v>21.666666666666664</v>
      </c>
      <c r="H83" s="337">
        <f t="shared" si="32"/>
        <v>11.666666666666664</v>
      </c>
      <c r="I83" s="337">
        <f t="shared" si="32"/>
        <v>11.25</v>
      </c>
      <c r="R83" s="67" t="s">
        <v>226</v>
      </c>
      <c r="S83" s="53">
        <f>SUM(S70:S82)</f>
        <v>2383.3333333333335</v>
      </c>
      <c r="T83" s="53">
        <f t="shared" ref="T83:W83" si="33">SUM(T70:T82)</f>
        <v>15433</v>
      </c>
      <c r="U83" s="53">
        <f t="shared" si="33"/>
        <v>44612.333333333328</v>
      </c>
      <c r="V83" s="53">
        <f t="shared" si="33"/>
        <v>68276.266666666677</v>
      </c>
      <c r="W83" s="53">
        <f t="shared" si="33"/>
        <v>102974.47875000001</v>
      </c>
      <c r="Y83" s="338" t="s">
        <v>226</v>
      </c>
      <c r="Z83" s="238">
        <f>SUM(Z70:Z82)</f>
        <v>257.40000000000009</v>
      </c>
      <c r="AA83" s="238">
        <f t="shared" ref="AA83:AD83" si="34">SUM(AA70:AA82)</f>
        <v>2037.1559999999999</v>
      </c>
      <c r="AB83" s="238">
        <f t="shared" si="34"/>
        <v>6745.3848000000007</v>
      </c>
      <c r="AC83" s="238">
        <f t="shared" si="34"/>
        <v>11156.341973333336</v>
      </c>
      <c r="AD83" s="238">
        <f t="shared" si="34"/>
        <v>17670.420553500004</v>
      </c>
      <c r="AF83" s="338" t="s">
        <v>226</v>
      </c>
      <c r="AG83" s="238">
        <f>SUM(AG70:AG82)</f>
        <v>216.21600000000004</v>
      </c>
      <c r="AH83" s="238">
        <f t="shared" ref="AH83:AK83" si="35">SUM(AH70:AH82)</f>
        <v>1711.2110400000001</v>
      </c>
      <c r="AI83" s="238">
        <f t="shared" si="35"/>
        <v>5666.1232320000017</v>
      </c>
      <c r="AJ83" s="238">
        <f t="shared" si="35"/>
        <v>9371.3272576000018</v>
      </c>
      <c r="AK83" s="238">
        <f t="shared" si="35"/>
        <v>14843.153264940003</v>
      </c>
    </row>
    <row r="86" spans="2:37" x14ac:dyDescent="0.35">
      <c r="Y86" t="s">
        <v>414</v>
      </c>
      <c r="AF86" t="s">
        <v>414</v>
      </c>
    </row>
    <row r="87" spans="2:37" x14ac:dyDescent="0.35">
      <c r="B87" s="61" t="s">
        <v>190</v>
      </c>
      <c r="C87" s="312" t="s">
        <v>191</v>
      </c>
      <c r="D87" s="314" t="s">
        <v>192</v>
      </c>
      <c r="K87" s="61" t="s">
        <v>190</v>
      </c>
      <c r="L87" s="312" t="s">
        <v>250</v>
      </c>
      <c r="M87" s="313" t="s">
        <v>341</v>
      </c>
      <c r="N87" s="313" t="s">
        <v>342</v>
      </c>
      <c r="O87" s="313" t="s">
        <v>343</v>
      </c>
      <c r="P87" s="313" t="s">
        <v>344</v>
      </c>
      <c r="R87" s="61" t="s">
        <v>190</v>
      </c>
      <c r="S87" s="312" t="s">
        <v>250</v>
      </c>
      <c r="T87" s="313" t="s">
        <v>341</v>
      </c>
      <c r="U87" s="313" t="s">
        <v>342</v>
      </c>
      <c r="V87" s="313" t="s">
        <v>343</v>
      </c>
      <c r="W87" s="313" t="s">
        <v>344</v>
      </c>
      <c r="Y87" s="61" t="s">
        <v>190</v>
      </c>
      <c r="Z87" s="312" t="s">
        <v>250</v>
      </c>
      <c r="AA87" s="313" t="s">
        <v>341</v>
      </c>
      <c r="AB87" s="313" t="s">
        <v>342</v>
      </c>
      <c r="AC87" s="313" t="s">
        <v>343</v>
      </c>
      <c r="AD87" s="313" t="s">
        <v>344</v>
      </c>
      <c r="AF87" s="61" t="s">
        <v>190</v>
      </c>
      <c r="AG87" s="312" t="s">
        <v>250</v>
      </c>
      <c r="AH87" s="313" t="s">
        <v>341</v>
      </c>
      <c r="AI87" s="313" t="s">
        <v>342</v>
      </c>
      <c r="AJ87" s="313" t="s">
        <v>343</v>
      </c>
      <c r="AK87" s="313" t="s">
        <v>344</v>
      </c>
    </row>
    <row r="88" spans="2:37" x14ac:dyDescent="0.35">
      <c r="B88" s="77" t="s">
        <v>213</v>
      </c>
      <c r="C88" s="78">
        <v>9</v>
      </c>
      <c r="D88" s="79">
        <v>6</v>
      </c>
      <c r="K88" s="67" t="s">
        <v>213</v>
      </c>
      <c r="L88" s="53">
        <f t="shared" ref="L88:L100" si="36">$C$13*($E$4+1)</f>
        <v>645.83488319911226</v>
      </c>
      <c r="M88" s="53">
        <f>L88*($F$4+1)</f>
        <v>742.71011567897904</v>
      </c>
      <c r="N88" s="53">
        <f>M88*($G$4+1)</f>
        <v>854.11663303082582</v>
      </c>
      <c r="O88" s="53">
        <f>N88*($H$4+1)</f>
        <v>939.52829633390843</v>
      </c>
      <c r="P88" s="53">
        <f>O88*($I$4+1)</f>
        <v>1033.4811259672992</v>
      </c>
      <c r="R88" s="67" t="s">
        <v>213</v>
      </c>
      <c r="S88" s="53">
        <f>L88*$D88</f>
        <v>3875.0092991946735</v>
      </c>
      <c r="T88" s="53">
        <f t="shared" ref="T88:W100" si="37">M88*$D88</f>
        <v>4456.2606940738742</v>
      </c>
      <c r="U88" s="53">
        <f t="shared" si="37"/>
        <v>5124.6997981849545</v>
      </c>
      <c r="V88" s="53">
        <f t="shared" si="37"/>
        <v>5637.1697780034501</v>
      </c>
      <c r="W88" s="53">
        <f t="shared" si="37"/>
        <v>6200.8867558037955</v>
      </c>
      <c r="Y88" s="67" t="s">
        <v>213</v>
      </c>
      <c r="Z88" s="235">
        <f>S88*$E$8*$E$9</f>
        <v>418.50100431302479</v>
      </c>
      <c r="AA88" s="235">
        <f>T88*$F$8*$F$9</f>
        <v>588.22641161775152</v>
      </c>
      <c r="AB88" s="235">
        <f>U88*$G$8*$G$9</f>
        <v>811.75244803249711</v>
      </c>
      <c r="AC88" s="235">
        <f>V88*$H$8*$H$9</f>
        <v>942.53478688217706</v>
      </c>
      <c r="AD88" s="235">
        <f>W88*$I$8*$I$9</f>
        <v>1064.0721672959314</v>
      </c>
      <c r="AF88" s="67" t="s">
        <v>213</v>
      </c>
      <c r="AG88" s="235">
        <f>Z88*(1-$AH$67)</f>
        <v>351.54084362294083</v>
      </c>
      <c r="AH88" s="235">
        <f t="shared" ref="AH88:AK100" si="38">AA88*(1-$AH$67)</f>
        <v>494.11018575891126</v>
      </c>
      <c r="AI88" s="235">
        <f t="shared" si="38"/>
        <v>681.87205634729753</v>
      </c>
      <c r="AJ88" s="235">
        <f t="shared" si="38"/>
        <v>791.72922098102867</v>
      </c>
      <c r="AK88" s="235">
        <f t="shared" si="38"/>
        <v>893.82062052858237</v>
      </c>
    </row>
    <row r="89" spans="2:37" x14ac:dyDescent="0.35">
      <c r="B89" s="77" t="s">
        <v>214</v>
      </c>
      <c r="C89" s="78">
        <v>4</v>
      </c>
      <c r="D89" s="79">
        <v>4</v>
      </c>
      <c r="K89" s="67" t="s">
        <v>214</v>
      </c>
      <c r="L89" s="53">
        <f t="shared" si="36"/>
        <v>645.83488319911226</v>
      </c>
      <c r="M89" s="53">
        <f t="shared" ref="M89:M100" si="39">L89*($F$4+1)</f>
        <v>742.71011567897904</v>
      </c>
      <c r="N89" s="53">
        <f t="shared" ref="N89:N100" si="40">M89*($G$4+1)</f>
        <v>854.11663303082582</v>
      </c>
      <c r="O89" s="53">
        <f t="shared" ref="O89:O100" si="41">N89*($H$4+1)</f>
        <v>939.52829633390843</v>
      </c>
      <c r="P89" s="53">
        <f t="shared" ref="P89:P100" si="42">O89*($I$4+1)</f>
        <v>1033.4811259672992</v>
      </c>
      <c r="R89" s="67" t="s">
        <v>214</v>
      </c>
      <c r="S89" s="53">
        <f t="shared" ref="S89:S100" si="43">L89*$D89</f>
        <v>2583.339532796449</v>
      </c>
      <c r="T89" s="53">
        <f t="shared" si="37"/>
        <v>2970.8404627159161</v>
      </c>
      <c r="U89" s="53">
        <f t="shared" si="37"/>
        <v>3416.4665321233033</v>
      </c>
      <c r="V89" s="53">
        <f t="shared" si="37"/>
        <v>3758.1131853356337</v>
      </c>
      <c r="W89" s="53">
        <f t="shared" si="37"/>
        <v>4133.924503869197</v>
      </c>
      <c r="Y89" s="67" t="s">
        <v>214</v>
      </c>
      <c r="Z89" s="235">
        <f t="shared" ref="Z89:Z100" si="44">S89*$E$8*$E$9</f>
        <v>279.00066954201651</v>
      </c>
      <c r="AA89" s="235">
        <f t="shared" ref="AA89:AA100" si="45">T89*$F$8*$F$9</f>
        <v>392.15094107850098</v>
      </c>
      <c r="AB89" s="235">
        <f t="shared" ref="AB89:AB100" si="46">U89*$G$8*$G$9</f>
        <v>541.16829868833145</v>
      </c>
      <c r="AC89" s="235">
        <f t="shared" ref="AC89:AC100" si="47">V89*$H$8*$H$9</f>
        <v>628.35652458811819</v>
      </c>
      <c r="AD89" s="235">
        <f t="shared" ref="AD89:AD100" si="48">W89*$I$8*$I$9</f>
        <v>709.38144486395424</v>
      </c>
      <c r="AF89" s="67" t="s">
        <v>214</v>
      </c>
      <c r="AG89" s="235">
        <f t="shared" ref="AG89:AG100" si="49">Z89*(1-$AH$67)</f>
        <v>234.36056241529386</v>
      </c>
      <c r="AH89" s="235">
        <f t="shared" si="38"/>
        <v>329.40679050594082</v>
      </c>
      <c r="AI89" s="235">
        <f t="shared" si="38"/>
        <v>454.58137089819837</v>
      </c>
      <c r="AJ89" s="235">
        <f t="shared" si="38"/>
        <v>527.81948065401923</v>
      </c>
      <c r="AK89" s="235">
        <f t="shared" si="38"/>
        <v>595.88041368572158</v>
      </c>
    </row>
    <row r="90" spans="2:37" x14ac:dyDescent="0.35">
      <c r="B90" s="77" t="s">
        <v>215</v>
      </c>
      <c r="C90" s="78">
        <v>55</v>
      </c>
      <c r="D90" s="79">
        <v>54</v>
      </c>
      <c r="K90" s="67" t="s">
        <v>215</v>
      </c>
      <c r="L90" s="53">
        <f t="shared" si="36"/>
        <v>645.83488319911226</v>
      </c>
      <c r="M90" s="53">
        <f t="shared" si="39"/>
        <v>742.71011567897904</v>
      </c>
      <c r="N90" s="53">
        <f t="shared" si="40"/>
        <v>854.11663303082582</v>
      </c>
      <c r="O90" s="53">
        <f t="shared" si="41"/>
        <v>939.52829633390843</v>
      </c>
      <c r="P90" s="53">
        <f t="shared" si="42"/>
        <v>1033.4811259672992</v>
      </c>
      <c r="R90" s="67" t="s">
        <v>215</v>
      </c>
      <c r="S90" s="53">
        <f t="shared" si="43"/>
        <v>34875.083692752065</v>
      </c>
      <c r="T90" s="53">
        <f t="shared" si="37"/>
        <v>40106.346246664871</v>
      </c>
      <c r="U90" s="53">
        <f t="shared" si="37"/>
        <v>46122.298183664592</v>
      </c>
      <c r="V90" s="53">
        <f t="shared" si="37"/>
        <v>50734.528002031053</v>
      </c>
      <c r="W90" s="53">
        <f t="shared" si="37"/>
        <v>55807.98080223416</v>
      </c>
      <c r="Y90" s="67" t="s">
        <v>215</v>
      </c>
      <c r="Z90" s="235">
        <f t="shared" si="44"/>
        <v>3766.5090388172234</v>
      </c>
      <c r="AA90" s="235">
        <f t="shared" si="45"/>
        <v>5294.0377045597634</v>
      </c>
      <c r="AB90" s="235">
        <f t="shared" si="46"/>
        <v>7305.7720322924743</v>
      </c>
      <c r="AC90" s="235">
        <f t="shared" si="47"/>
        <v>8482.8130819395938</v>
      </c>
      <c r="AD90" s="235">
        <f t="shared" si="48"/>
        <v>9576.649505663383</v>
      </c>
      <c r="AF90" s="67" t="s">
        <v>215</v>
      </c>
      <c r="AG90" s="235">
        <f t="shared" si="49"/>
        <v>3163.8675926064675</v>
      </c>
      <c r="AH90" s="235">
        <f t="shared" si="38"/>
        <v>4446.9916718302011</v>
      </c>
      <c r="AI90" s="235">
        <f t="shared" si="38"/>
        <v>6136.8485071256782</v>
      </c>
      <c r="AJ90" s="235">
        <f t="shared" si="38"/>
        <v>7125.5629888292588</v>
      </c>
      <c r="AK90" s="235">
        <f t="shared" si="38"/>
        <v>8044.3855847572413</v>
      </c>
    </row>
    <row r="91" spans="2:37" x14ac:dyDescent="0.35">
      <c r="B91" s="77" t="s">
        <v>216</v>
      </c>
      <c r="C91" s="78">
        <v>4</v>
      </c>
      <c r="D91" s="79">
        <v>2</v>
      </c>
      <c r="K91" s="67" t="s">
        <v>216</v>
      </c>
      <c r="L91" s="53">
        <f t="shared" si="36"/>
        <v>645.83488319911226</v>
      </c>
      <c r="M91" s="53">
        <f t="shared" si="39"/>
        <v>742.71011567897904</v>
      </c>
      <c r="N91" s="53">
        <f t="shared" si="40"/>
        <v>854.11663303082582</v>
      </c>
      <c r="O91" s="53">
        <f t="shared" si="41"/>
        <v>939.52829633390843</v>
      </c>
      <c r="P91" s="53">
        <f t="shared" si="42"/>
        <v>1033.4811259672992</v>
      </c>
      <c r="R91" s="67" t="s">
        <v>216</v>
      </c>
      <c r="S91" s="53">
        <f t="shared" si="43"/>
        <v>1291.6697663982245</v>
      </c>
      <c r="T91" s="53">
        <f t="shared" si="37"/>
        <v>1485.4202313579581</v>
      </c>
      <c r="U91" s="53">
        <f t="shared" si="37"/>
        <v>1708.2332660616516</v>
      </c>
      <c r="V91" s="53">
        <f t="shared" si="37"/>
        <v>1879.0565926678169</v>
      </c>
      <c r="W91" s="53">
        <f t="shared" si="37"/>
        <v>2066.9622519345985</v>
      </c>
      <c r="Y91" s="67" t="s">
        <v>216</v>
      </c>
      <c r="Z91" s="235">
        <f t="shared" si="44"/>
        <v>139.50033477100826</v>
      </c>
      <c r="AA91" s="235">
        <f t="shared" si="45"/>
        <v>196.07547053925049</v>
      </c>
      <c r="AB91" s="235">
        <f t="shared" si="46"/>
        <v>270.58414934416572</v>
      </c>
      <c r="AC91" s="235">
        <f t="shared" si="47"/>
        <v>314.1782622940591</v>
      </c>
      <c r="AD91" s="235">
        <f t="shared" si="48"/>
        <v>354.69072243197712</v>
      </c>
      <c r="AF91" s="67" t="s">
        <v>216</v>
      </c>
      <c r="AG91" s="235">
        <f t="shared" si="49"/>
        <v>117.18028120764693</v>
      </c>
      <c r="AH91" s="235">
        <f t="shared" si="38"/>
        <v>164.70339525297041</v>
      </c>
      <c r="AI91" s="235">
        <f t="shared" si="38"/>
        <v>227.29068544909919</v>
      </c>
      <c r="AJ91" s="235">
        <f t="shared" si="38"/>
        <v>263.90974032700962</v>
      </c>
      <c r="AK91" s="235">
        <f t="shared" si="38"/>
        <v>297.94020684286079</v>
      </c>
    </row>
    <row r="92" spans="2:37" x14ac:dyDescent="0.35">
      <c r="B92" s="77" t="s">
        <v>217</v>
      </c>
      <c r="C92" s="78">
        <v>1</v>
      </c>
      <c r="D92" s="79">
        <v>1</v>
      </c>
      <c r="K92" s="67" t="s">
        <v>217</v>
      </c>
      <c r="L92" s="53">
        <f t="shared" si="36"/>
        <v>645.83488319911226</v>
      </c>
      <c r="M92" s="53">
        <f t="shared" si="39"/>
        <v>742.71011567897904</v>
      </c>
      <c r="N92" s="53">
        <f t="shared" si="40"/>
        <v>854.11663303082582</v>
      </c>
      <c r="O92" s="53">
        <f t="shared" si="41"/>
        <v>939.52829633390843</v>
      </c>
      <c r="P92" s="53">
        <f t="shared" si="42"/>
        <v>1033.4811259672992</v>
      </c>
      <c r="R92" s="67" t="s">
        <v>217</v>
      </c>
      <c r="S92" s="53">
        <f t="shared" si="43"/>
        <v>645.83488319911226</v>
      </c>
      <c r="T92" s="53">
        <f t="shared" si="37"/>
        <v>742.71011567897904</v>
      </c>
      <c r="U92" s="53">
        <f t="shared" si="37"/>
        <v>854.11663303082582</v>
      </c>
      <c r="V92" s="53">
        <f t="shared" si="37"/>
        <v>939.52829633390843</v>
      </c>
      <c r="W92" s="53">
        <f t="shared" si="37"/>
        <v>1033.4811259672992</v>
      </c>
      <c r="Y92" s="67" t="s">
        <v>217</v>
      </c>
      <c r="Z92" s="235">
        <f t="shared" si="44"/>
        <v>69.750167385504128</v>
      </c>
      <c r="AA92" s="235">
        <f t="shared" si="45"/>
        <v>98.037735269625244</v>
      </c>
      <c r="AB92" s="235">
        <f t="shared" si="46"/>
        <v>135.29207467208286</v>
      </c>
      <c r="AC92" s="235">
        <f t="shared" si="47"/>
        <v>157.08913114702955</v>
      </c>
      <c r="AD92" s="235">
        <f t="shared" si="48"/>
        <v>177.34536121598856</v>
      </c>
      <c r="AF92" s="67" t="s">
        <v>217</v>
      </c>
      <c r="AG92" s="235">
        <f t="shared" si="49"/>
        <v>58.590140603823464</v>
      </c>
      <c r="AH92" s="235">
        <f t="shared" si="38"/>
        <v>82.351697626485205</v>
      </c>
      <c r="AI92" s="235">
        <f t="shared" si="38"/>
        <v>113.64534272454959</v>
      </c>
      <c r="AJ92" s="235">
        <f t="shared" si="38"/>
        <v>131.95487016350481</v>
      </c>
      <c r="AK92" s="235">
        <f t="shared" si="38"/>
        <v>148.97010342143039</v>
      </c>
    </row>
    <row r="93" spans="2:37" x14ac:dyDescent="0.35">
      <c r="B93" s="77" t="s">
        <v>218</v>
      </c>
      <c r="C93" s="78">
        <v>1</v>
      </c>
      <c r="D93" s="79">
        <v>2</v>
      </c>
      <c r="K93" s="67" t="s">
        <v>218</v>
      </c>
      <c r="L93" s="53">
        <f t="shared" si="36"/>
        <v>645.83488319911226</v>
      </c>
      <c r="M93" s="53">
        <f t="shared" si="39"/>
        <v>742.71011567897904</v>
      </c>
      <c r="N93" s="53">
        <f t="shared" si="40"/>
        <v>854.11663303082582</v>
      </c>
      <c r="O93" s="53">
        <f t="shared" si="41"/>
        <v>939.52829633390843</v>
      </c>
      <c r="P93" s="53">
        <f t="shared" si="42"/>
        <v>1033.4811259672992</v>
      </c>
      <c r="R93" s="67" t="s">
        <v>218</v>
      </c>
      <c r="S93" s="53">
        <f t="shared" si="43"/>
        <v>1291.6697663982245</v>
      </c>
      <c r="T93" s="53">
        <f t="shared" si="37"/>
        <v>1485.4202313579581</v>
      </c>
      <c r="U93" s="53">
        <f t="shared" si="37"/>
        <v>1708.2332660616516</v>
      </c>
      <c r="V93" s="53">
        <f t="shared" si="37"/>
        <v>1879.0565926678169</v>
      </c>
      <c r="W93" s="53">
        <f t="shared" si="37"/>
        <v>2066.9622519345985</v>
      </c>
      <c r="Y93" s="67" t="s">
        <v>218</v>
      </c>
      <c r="Z93" s="235">
        <f t="shared" si="44"/>
        <v>139.50033477100826</v>
      </c>
      <c r="AA93" s="235">
        <f t="shared" si="45"/>
        <v>196.07547053925049</v>
      </c>
      <c r="AB93" s="235">
        <f t="shared" si="46"/>
        <v>270.58414934416572</v>
      </c>
      <c r="AC93" s="235">
        <f t="shared" si="47"/>
        <v>314.1782622940591</v>
      </c>
      <c r="AD93" s="235">
        <f t="shared" si="48"/>
        <v>354.69072243197712</v>
      </c>
      <c r="AF93" s="67" t="s">
        <v>218</v>
      </c>
      <c r="AG93" s="235">
        <f t="shared" si="49"/>
        <v>117.18028120764693</v>
      </c>
      <c r="AH93" s="235">
        <f t="shared" si="38"/>
        <v>164.70339525297041</v>
      </c>
      <c r="AI93" s="235">
        <f t="shared" si="38"/>
        <v>227.29068544909919</v>
      </c>
      <c r="AJ93" s="235">
        <f t="shared" si="38"/>
        <v>263.90974032700962</v>
      </c>
      <c r="AK93" s="235">
        <f t="shared" si="38"/>
        <v>297.94020684286079</v>
      </c>
    </row>
    <row r="94" spans="2:37" x14ac:dyDescent="0.35">
      <c r="B94" s="77" t="s">
        <v>219</v>
      </c>
      <c r="C94" s="78">
        <v>7</v>
      </c>
      <c r="D94" s="79">
        <v>6</v>
      </c>
      <c r="K94" s="67" t="s">
        <v>219</v>
      </c>
      <c r="L94" s="53">
        <f t="shared" si="36"/>
        <v>645.83488319911226</v>
      </c>
      <c r="M94" s="53">
        <f t="shared" si="39"/>
        <v>742.71011567897904</v>
      </c>
      <c r="N94" s="53">
        <f t="shared" si="40"/>
        <v>854.11663303082582</v>
      </c>
      <c r="O94" s="53">
        <f t="shared" si="41"/>
        <v>939.52829633390843</v>
      </c>
      <c r="P94" s="53">
        <f t="shared" si="42"/>
        <v>1033.4811259672992</v>
      </c>
      <c r="R94" s="67" t="s">
        <v>219</v>
      </c>
      <c r="S94" s="53">
        <f t="shared" si="43"/>
        <v>3875.0092991946735</v>
      </c>
      <c r="T94" s="53">
        <f t="shared" si="37"/>
        <v>4456.2606940738742</v>
      </c>
      <c r="U94" s="53">
        <f t="shared" si="37"/>
        <v>5124.6997981849545</v>
      </c>
      <c r="V94" s="53">
        <f t="shared" si="37"/>
        <v>5637.1697780034501</v>
      </c>
      <c r="W94" s="53">
        <f t="shared" si="37"/>
        <v>6200.8867558037955</v>
      </c>
      <c r="Y94" s="67" t="s">
        <v>219</v>
      </c>
      <c r="Z94" s="235">
        <f t="shared" si="44"/>
        <v>418.50100431302479</v>
      </c>
      <c r="AA94" s="235">
        <f t="shared" si="45"/>
        <v>588.22641161775152</v>
      </c>
      <c r="AB94" s="235">
        <f t="shared" si="46"/>
        <v>811.75244803249711</v>
      </c>
      <c r="AC94" s="235">
        <f t="shared" si="47"/>
        <v>942.53478688217706</v>
      </c>
      <c r="AD94" s="235">
        <f t="shared" si="48"/>
        <v>1064.0721672959314</v>
      </c>
      <c r="AF94" s="67" t="s">
        <v>219</v>
      </c>
      <c r="AG94" s="235">
        <f t="shared" si="49"/>
        <v>351.54084362294083</v>
      </c>
      <c r="AH94" s="235">
        <f t="shared" si="38"/>
        <v>494.11018575891126</v>
      </c>
      <c r="AI94" s="235">
        <f t="shared" si="38"/>
        <v>681.87205634729753</v>
      </c>
      <c r="AJ94" s="235">
        <f t="shared" si="38"/>
        <v>791.72922098102867</v>
      </c>
      <c r="AK94" s="235">
        <f t="shared" si="38"/>
        <v>893.82062052858237</v>
      </c>
    </row>
    <row r="95" spans="2:37" x14ac:dyDescent="0.35">
      <c r="B95" s="77" t="s">
        <v>220</v>
      </c>
      <c r="C95" s="78">
        <v>0</v>
      </c>
      <c r="D95" s="79">
        <v>0</v>
      </c>
      <c r="K95" s="67" t="s">
        <v>220</v>
      </c>
      <c r="L95" s="53">
        <f t="shared" si="36"/>
        <v>645.83488319911226</v>
      </c>
      <c r="M95" s="53">
        <f t="shared" si="39"/>
        <v>742.71011567897904</v>
      </c>
      <c r="N95" s="53">
        <f t="shared" si="40"/>
        <v>854.11663303082582</v>
      </c>
      <c r="O95" s="53">
        <f t="shared" si="41"/>
        <v>939.52829633390843</v>
      </c>
      <c r="P95" s="53">
        <f t="shared" si="42"/>
        <v>1033.4811259672992</v>
      </c>
      <c r="R95" s="67" t="s">
        <v>220</v>
      </c>
      <c r="S95" s="53">
        <f t="shared" si="43"/>
        <v>0</v>
      </c>
      <c r="T95" s="53">
        <f t="shared" si="37"/>
        <v>0</v>
      </c>
      <c r="U95" s="53">
        <f t="shared" si="37"/>
        <v>0</v>
      </c>
      <c r="V95" s="53">
        <f t="shared" si="37"/>
        <v>0</v>
      </c>
      <c r="W95" s="53">
        <f t="shared" si="37"/>
        <v>0</v>
      </c>
      <c r="Y95" s="67" t="s">
        <v>220</v>
      </c>
      <c r="Z95" s="235">
        <f t="shared" si="44"/>
        <v>0</v>
      </c>
      <c r="AA95" s="235">
        <f t="shared" si="45"/>
        <v>0</v>
      </c>
      <c r="AB95" s="235">
        <f t="shared" si="46"/>
        <v>0</v>
      </c>
      <c r="AC95" s="235">
        <f t="shared" si="47"/>
        <v>0</v>
      </c>
      <c r="AD95" s="235">
        <f t="shared" si="48"/>
        <v>0</v>
      </c>
      <c r="AF95" s="67" t="s">
        <v>220</v>
      </c>
      <c r="AG95" s="235">
        <f t="shared" si="49"/>
        <v>0</v>
      </c>
      <c r="AH95" s="235">
        <f t="shared" si="38"/>
        <v>0</v>
      </c>
      <c r="AI95" s="235">
        <f t="shared" si="38"/>
        <v>0</v>
      </c>
      <c r="AJ95" s="235">
        <f t="shared" si="38"/>
        <v>0</v>
      </c>
      <c r="AK95" s="235">
        <f t="shared" si="38"/>
        <v>0</v>
      </c>
    </row>
    <row r="96" spans="2:37" x14ac:dyDescent="0.35">
      <c r="B96" s="77" t="s">
        <v>221</v>
      </c>
      <c r="C96" s="78">
        <v>2</v>
      </c>
      <c r="D96" s="79">
        <v>2</v>
      </c>
      <c r="K96" s="67" t="s">
        <v>221</v>
      </c>
      <c r="L96" s="53">
        <f t="shared" si="36"/>
        <v>645.83488319911226</v>
      </c>
      <c r="M96" s="53">
        <f t="shared" si="39"/>
        <v>742.71011567897904</v>
      </c>
      <c r="N96" s="53">
        <f t="shared" si="40"/>
        <v>854.11663303082582</v>
      </c>
      <c r="O96" s="53">
        <f t="shared" si="41"/>
        <v>939.52829633390843</v>
      </c>
      <c r="P96" s="53">
        <f t="shared" si="42"/>
        <v>1033.4811259672992</v>
      </c>
      <c r="R96" s="67" t="s">
        <v>221</v>
      </c>
      <c r="S96" s="53">
        <f t="shared" si="43"/>
        <v>1291.6697663982245</v>
      </c>
      <c r="T96" s="53">
        <f t="shared" si="37"/>
        <v>1485.4202313579581</v>
      </c>
      <c r="U96" s="53">
        <f t="shared" si="37"/>
        <v>1708.2332660616516</v>
      </c>
      <c r="V96" s="53">
        <f t="shared" si="37"/>
        <v>1879.0565926678169</v>
      </c>
      <c r="W96" s="53">
        <f t="shared" si="37"/>
        <v>2066.9622519345985</v>
      </c>
      <c r="Y96" s="67" t="s">
        <v>221</v>
      </c>
      <c r="Z96" s="235">
        <f t="shared" si="44"/>
        <v>139.50033477100826</v>
      </c>
      <c r="AA96" s="235">
        <f t="shared" si="45"/>
        <v>196.07547053925049</v>
      </c>
      <c r="AB96" s="235">
        <f t="shared" si="46"/>
        <v>270.58414934416572</v>
      </c>
      <c r="AC96" s="235">
        <f t="shared" si="47"/>
        <v>314.1782622940591</v>
      </c>
      <c r="AD96" s="235">
        <f t="shared" si="48"/>
        <v>354.69072243197712</v>
      </c>
      <c r="AF96" s="67" t="s">
        <v>221</v>
      </c>
      <c r="AG96" s="235">
        <f t="shared" si="49"/>
        <v>117.18028120764693</v>
      </c>
      <c r="AH96" s="235">
        <f t="shared" si="38"/>
        <v>164.70339525297041</v>
      </c>
      <c r="AI96" s="235">
        <f t="shared" si="38"/>
        <v>227.29068544909919</v>
      </c>
      <c r="AJ96" s="235">
        <f t="shared" si="38"/>
        <v>263.90974032700962</v>
      </c>
      <c r="AK96" s="235">
        <f t="shared" si="38"/>
        <v>297.94020684286079</v>
      </c>
    </row>
    <row r="97" spans="2:37" x14ac:dyDescent="0.35">
      <c r="B97" s="77" t="s">
        <v>222</v>
      </c>
      <c r="C97" s="78">
        <v>3</v>
      </c>
      <c r="D97" s="79">
        <v>3</v>
      </c>
      <c r="K97" s="67" t="s">
        <v>222</v>
      </c>
      <c r="L97" s="53">
        <f t="shared" si="36"/>
        <v>645.83488319911226</v>
      </c>
      <c r="M97" s="53">
        <f t="shared" si="39"/>
        <v>742.71011567897904</v>
      </c>
      <c r="N97" s="53">
        <f t="shared" si="40"/>
        <v>854.11663303082582</v>
      </c>
      <c r="O97" s="53">
        <f t="shared" si="41"/>
        <v>939.52829633390843</v>
      </c>
      <c r="P97" s="53">
        <f t="shared" si="42"/>
        <v>1033.4811259672992</v>
      </c>
      <c r="R97" s="67" t="s">
        <v>222</v>
      </c>
      <c r="S97" s="53">
        <f t="shared" si="43"/>
        <v>1937.5046495973368</v>
      </c>
      <c r="T97" s="53">
        <f t="shared" si="37"/>
        <v>2228.1303470369371</v>
      </c>
      <c r="U97" s="53">
        <f t="shared" si="37"/>
        <v>2562.3498990924772</v>
      </c>
      <c r="V97" s="53">
        <f t="shared" si="37"/>
        <v>2818.5848890017251</v>
      </c>
      <c r="W97" s="53">
        <f t="shared" si="37"/>
        <v>3100.4433779018977</v>
      </c>
      <c r="Y97" s="67" t="s">
        <v>222</v>
      </c>
      <c r="Z97" s="235">
        <f t="shared" si="44"/>
        <v>209.2505021565124</v>
      </c>
      <c r="AA97" s="235">
        <f t="shared" si="45"/>
        <v>294.11320580887576</v>
      </c>
      <c r="AB97" s="235">
        <f t="shared" si="46"/>
        <v>405.87622401624856</v>
      </c>
      <c r="AC97" s="235">
        <f t="shared" si="47"/>
        <v>471.26739344108853</v>
      </c>
      <c r="AD97" s="235">
        <f t="shared" si="48"/>
        <v>532.03608364796571</v>
      </c>
      <c r="AF97" s="67" t="s">
        <v>222</v>
      </c>
      <c r="AG97" s="235">
        <f t="shared" si="49"/>
        <v>175.77042181147041</v>
      </c>
      <c r="AH97" s="235">
        <f t="shared" si="38"/>
        <v>247.05509287945563</v>
      </c>
      <c r="AI97" s="235">
        <f t="shared" si="38"/>
        <v>340.93602817364877</v>
      </c>
      <c r="AJ97" s="235">
        <f t="shared" si="38"/>
        <v>395.86461049051434</v>
      </c>
      <c r="AK97" s="235">
        <f t="shared" si="38"/>
        <v>446.91031026429118</v>
      </c>
    </row>
    <row r="98" spans="2:37" x14ac:dyDescent="0.35">
      <c r="B98" s="77" t="s">
        <v>223</v>
      </c>
      <c r="C98" s="78">
        <v>2</v>
      </c>
      <c r="D98" s="79">
        <v>2</v>
      </c>
      <c r="K98" s="67" t="s">
        <v>223</v>
      </c>
      <c r="L98" s="53">
        <f t="shared" si="36"/>
        <v>645.83488319911226</v>
      </c>
      <c r="M98" s="53">
        <f t="shared" si="39"/>
        <v>742.71011567897904</v>
      </c>
      <c r="N98" s="53">
        <f t="shared" si="40"/>
        <v>854.11663303082582</v>
      </c>
      <c r="O98" s="53">
        <f t="shared" si="41"/>
        <v>939.52829633390843</v>
      </c>
      <c r="P98" s="53">
        <f t="shared" si="42"/>
        <v>1033.4811259672992</v>
      </c>
      <c r="R98" s="67" t="s">
        <v>223</v>
      </c>
      <c r="S98" s="53">
        <f t="shared" si="43"/>
        <v>1291.6697663982245</v>
      </c>
      <c r="T98" s="53">
        <f t="shared" si="37"/>
        <v>1485.4202313579581</v>
      </c>
      <c r="U98" s="53">
        <f t="shared" si="37"/>
        <v>1708.2332660616516</v>
      </c>
      <c r="V98" s="53">
        <f t="shared" si="37"/>
        <v>1879.0565926678169</v>
      </c>
      <c r="W98" s="53">
        <f t="shared" si="37"/>
        <v>2066.9622519345985</v>
      </c>
      <c r="Y98" s="67" t="s">
        <v>223</v>
      </c>
      <c r="Z98" s="235">
        <f t="shared" si="44"/>
        <v>139.50033477100826</v>
      </c>
      <c r="AA98" s="235">
        <f t="shared" si="45"/>
        <v>196.07547053925049</v>
      </c>
      <c r="AB98" s="235">
        <f t="shared" si="46"/>
        <v>270.58414934416572</v>
      </c>
      <c r="AC98" s="235">
        <f t="shared" si="47"/>
        <v>314.1782622940591</v>
      </c>
      <c r="AD98" s="235">
        <f t="shared" si="48"/>
        <v>354.69072243197712</v>
      </c>
      <c r="AF98" s="67" t="s">
        <v>223</v>
      </c>
      <c r="AG98" s="235">
        <f t="shared" si="49"/>
        <v>117.18028120764693</v>
      </c>
      <c r="AH98" s="235">
        <f t="shared" si="38"/>
        <v>164.70339525297041</v>
      </c>
      <c r="AI98" s="235">
        <f t="shared" si="38"/>
        <v>227.29068544909919</v>
      </c>
      <c r="AJ98" s="235">
        <f t="shared" si="38"/>
        <v>263.90974032700962</v>
      </c>
      <c r="AK98" s="235">
        <f t="shared" si="38"/>
        <v>297.94020684286079</v>
      </c>
    </row>
    <row r="99" spans="2:37" x14ac:dyDescent="0.35">
      <c r="B99" s="77" t="s">
        <v>224</v>
      </c>
      <c r="C99" s="78">
        <v>2</v>
      </c>
      <c r="D99" s="79">
        <v>1</v>
      </c>
      <c r="K99" s="67" t="s">
        <v>224</v>
      </c>
      <c r="L99" s="53">
        <f t="shared" si="36"/>
        <v>645.83488319911226</v>
      </c>
      <c r="M99" s="53">
        <f t="shared" si="39"/>
        <v>742.71011567897904</v>
      </c>
      <c r="N99" s="53">
        <f t="shared" si="40"/>
        <v>854.11663303082582</v>
      </c>
      <c r="O99" s="53">
        <f t="shared" si="41"/>
        <v>939.52829633390843</v>
      </c>
      <c r="P99" s="53">
        <f t="shared" si="42"/>
        <v>1033.4811259672992</v>
      </c>
      <c r="R99" s="67" t="s">
        <v>224</v>
      </c>
      <c r="S99" s="53">
        <f t="shared" si="43"/>
        <v>645.83488319911226</v>
      </c>
      <c r="T99" s="53">
        <f t="shared" si="37"/>
        <v>742.71011567897904</v>
      </c>
      <c r="U99" s="53">
        <f t="shared" si="37"/>
        <v>854.11663303082582</v>
      </c>
      <c r="V99" s="53">
        <f t="shared" si="37"/>
        <v>939.52829633390843</v>
      </c>
      <c r="W99" s="53">
        <f t="shared" si="37"/>
        <v>1033.4811259672992</v>
      </c>
      <c r="Y99" s="67" t="s">
        <v>224</v>
      </c>
      <c r="Z99" s="235">
        <f t="shared" si="44"/>
        <v>69.750167385504128</v>
      </c>
      <c r="AA99" s="235">
        <f t="shared" si="45"/>
        <v>98.037735269625244</v>
      </c>
      <c r="AB99" s="235">
        <f t="shared" si="46"/>
        <v>135.29207467208286</v>
      </c>
      <c r="AC99" s="235">
        <f t="shared" si="47"/>
        <v>157.08913114702955</v>
      </c>
      <c r="AD99" s="235">
        <f t="shared" si="48"/>
        <v>177.34536121598856</v>
      </c>
      <c r="AF99" s="67" t="s">
        <v>224</v>
      </c>
      <c r="AG99" s="235">
        <f t="shared" si="49"/>
        <v>58.590140603823464</v>
      </c>
      <c r="AH99" s="235">
        <f t="shared" si="38"/>
        <v>82.351697626485205</v>
      </c>
      <c r="AI99" s="235">
        <f t="shared" si="38"/>
        <v>113.64534272454959</v>
      </c>
      <c r="AJ99" s="235">
        <f t="shared" si="38"/>
        <v>131.95487016350481</v>
      </c>
      <c r="AK99" s="235">
        <f t="shared" si="38"/>
        <v>148.97010342143039</v>
      </c>
    </row>
    <row r="100" spans="2:37" x14ac:dyDescent="0.35">
      <c r="B100" s="77" t="s">
        <v>225</v>
      </c>
      <c r="C100" s="78">
        <v>0</v>
      </c>
      <c r="D100" s="79">
        <v>0</v>
      </c>
      <c r="K100" s="67" t="s">
        <v>225</v>
      </c>
      <c r="L100" s="53">
        <f t="shared" si="36"/>
        <v>645.83488319911226</v>
      </c>
      <c r="M100" s="53">
        <f t="shared" si="39"/>
        <v>742.71011567897904</v>
      </c>
      <c r="N100" s="53">
        <f t="shared" si="40"/>
        <v>854.11663303082582</v>
      </c>
      <c r="O100" s="53">
        <f t="shared" si="41"/>
        <v>939.52829633390843</v>
      </c>
      <c r="P100" s="53">
        <f t="shared" si="42"/>
        <v>1033.4811259672992</v>
      </c>
      <c r="R100" s="67" t="s">
        <v>225</v>
      </c>
      <c r="S100" s="53">
        <f t="shared" si="43"/>
        <v>0</v>
      </c>
      <c r="T100" s="53">
        <f t="shared" si="37"/>
        <v>0</v>
      </c>
      <c r="U100" s="53">
        <f t="shared" si="37"/>
        <v>0</v>
      </c>
      <c r="V100" s="53">
        <f t="shared" si="37"/>
        <v>0</v>
      </c>
      <c r="W100" s="53">
        <f t="shared" si="37"/>
        <v>0</v>
      </c>
      <c r="Y100" s="67" t="s">
        <v>225</v>
      </c>
      <c r="Z100" s="235">
        <f t="shared" si="44"/>
        <v>0</v>
      </c>
      <c r="AA100" s="235">
        <f t="shared" si="45"/>
        <v>0</v>
      </c>
      <c r="AB100" s="235">
        <f t="shared" si="46"/>
        <v>0</v>
      </c>
      <c r="AC100" s="235">
        <f t="shared" si="47"/>
        <v>0</v>
      </c>
      <c r="AD100" s="235">
        <f t="shared" si="48"/>
        <v>0</v>
      </c>
      <c r="AF100" s="67" t="s">
        <v>225</v>
      </c>
      <c r="AG100" s="235">
        <f t="shared" si="49"/>
        <v>0</v>
      </c>
      <c r="AH100" s="235">
        <f t="shared" si="38"/>
        <v>0</v>
      </c>
      <c r="AI100" s="235">
        <f t="shared" si="38"/>
        <v>0</v>
      </c>
      <c r="AJ100" s="235">
        <f t="shared" si="38"/>
        <v>0</v>
      </c>
      <c r="AK100" s="235">
        <f t="shared" si="38"/>
        <v>0</v>
      </c>
    </row>
    <row r="101" spans="2:37" x14ac:dyDescent="0.35">
      <c r="B101" s="71" t="s">
        <v>226</v>
      </c>
      <c r="C101" s="85">
        <v>90</v>
      </c>
      <c r="D101" s="86">
        <v>84</v>
      </c>
      <c r="R101" s="67" t="s">
        <v>226</v>
      </c>
      <c r="S101" s="53">
        <f>SUM(S88:S100)</f>
        <v>53604.295305526321</v>
      </c>
      <c r="T101" s="53">
        <f t="shared" ref="T101:W101" si="50">SUM(T88:T100)</f>
        <v>61644.939601355269</v>
      </c>
      <c r="U101" s="53">
        <f t="shared" si="50"/>
        <v>70891.680541558526</v>
      </c>
      <c r="V101" s="53">
        <f t="shared" si="50"/>
        <v>77980.848595714386</v>
      </c>
      <c r="W101" s="53">
        <f t="shared" si="50"/>
        <v>85778.933455285849</v>
      </c>
      <c r="Y101" s="338" t="s">
        <v>226</v>
      </c>
      <c r="Z101" s="238">
        <f>SUM(Z88:Z100)</f>
        <v>5789.2638929968425</v>
      </c>
      <c r="AA101" s="238">
        <f t="shared" ref="AA101:AD101" si="51">SUM(AA88:AA100)</f>
        <v>8137.1320273788933</v>
      </c>
      <c r="AB101" s="238">
        <f t="shared" si="51"/>
        <v>11229.242197782878</v>
      </c>
      <c r="AC101" s="238">
        <f t="shared" si="51"/>
        <v>13038.397885203451</v>
      </c>
      <c r="AD101" s="238">
        <f t="shared" si="51"/>
        <v>14719.664980927049</v>
      </c>
      <c r="AF101" s="338" t="s">
        <v>226</v>
      </c>
      <c r="AG101" s="238">
        <f>SUM(AG88:AG100)</f>
        <v>4862.9816701173477</v>
      </c>
      <c r="AH101" s="238">
        <f t="shared" ref="AH101:AK101" si="52">SUM(AH88:AH100)</f>
        <v>6835.1909029982708</v>
      </c>
      <c r="AI101" s="238">
        <f t="shared" si="52"/>
        <v>9432.5634461376158</v>
      </c>
      <c r="AJ101" s="238">
        <f t="shared" si="52"/>
        <v>10952.254223570899</v>
      </c>
      <c r="AK101" s="238">
        <f t="shared" si="52"/>
        <v>12364.518583978723</v>
      </c>
    </row>
    <row r="103" spans="2:37" x14ac:dyDescent="0.35">
      <c r="AG103" s="25"/>
      <c r="AH103" s="25"/>
      <c r="AI103" s="25"/>
      <c r="AJ103" s="25"/>
      <c r="AK103" s="25"/>
    </row>
    <row r="104" spans="2:37" x14ac:dyDescent="0.35">
      <c r="R104" t="s">
        <v>226</v>
      </c>
      <c r="Y104" t="s">
        <v>226</v>
      </c>
      <c r="AF104" t="s">
        <v>414</v>
      </c>
    </row>
    <row r="105" spans="2:37" x14ac:dyDescent="0.35">
      <c r="R105" s="61" t="s">
        <v>190</v>
      </c>
      <c r="S105" s="342" t="s">
        <v>250</v>
      </c>
      <c r="T105" s="343" t="s">
        <v>341</v>
      </c>
      <c r="U105" s="343" t="s">
        <v>342</v>
      </c>
      <c r="V105" s="343" t="s">
        <v>343</v>
      </c>
      <c r="W105" s="343" t="s">
        <v>344</v>
      </c>
      <c r="Y105" s="61" t="s">
        <v>190</v>
      </c>
      <c r="Z105" s="312" t="s">
        <v>250</v>
      </c>
      <c r="AA105" s="313" t="s">
        <v>341</v>
      </c>
      <c r="AB105" s="313" t="s">
        <v>342</v>
      </c>
      <c r="AC105" s="313" t="s">
        <v>343</v>
      </c>
      <c r="AD105" s="313" t="s">
        <v>344</v>
      </c>
      <c r="AF105" s="61" t="s">
        <v>190</v>
      </c>
      <c r="AG105" s="312" t="s">
        <v>250</v>
      </c>
      <c r="AH105" s="313" t="s">
        <v>341</v>
      </c>
      <c r="AI105" s="313" t="s">
        <v>342</v>
      </c>
      <c r="AJ105" s="313" t="s">
        <v>343</v>
      </c>
      <c r="AK105" s="313" t="s">
        <v>344</v>
      </c>
    </row>
    <row r="106" spans="2:37" x14ac:dyDescent="0.35">
      <c r="Q106" t="s">
        <v>416</v>
      </c>
      <c r="R106" s="67" t="s">
        <v>213</v>
      </c>
      <c r="S106" s="53">
        <f>S88+S70</f>
        <v>4058.342632528007</v>
      </c>
      <c r="T106" s="53">
        <f t="shared" ref="T106:W106" si="53">T88+T70</f>
        <v>6227.2606940738742</v>
      </c>
      <c r="U106" s="53">
        <f t="shared" si="53"/>
        <v>10895.208131518288</v>
      </c>
      <c r="V106" s="53">
        <f t="shared" si="53"/>
        <v>17532.175611336781</v>
      </c>
      <c r="W106" s="53">
        <f t="shared" si="53"/>
        <v>27910.605922470462</v>
      </c>
      <c r="Y106" s="67" t="s">
        <v>213</v>
      </c>
      <c r="Z106" s="53">
        <f>Z88+Z70</f>
        <v>438.30100431302481</v>
      </c>
      <c r="AA106" s="53">
        <f t="shared" ref="AA106:AD106" si="54">AA88+AA70</f>
        <v>821.99841161775157</v>
      </c>
      <c r="AB106" s="53">
        <f t="shared" si="54"/>
        <v>1684.2533080324974</v>
      </c>
      <c r="AC106" s="53">
        <f t="shared" si="54"/>
        <v>2886.1787400488442</v>
      </c>
      <c r="AD106" s="53">
        <f t="shared" si="54"/>
        <v>4789.4599762959315</v>
      </c>
      <c r="AE106" s="53"/>
      <c r="AF106" s="340" t="s">
        <v>213</v>
      </c>
      <c r="AG106" s="53">
        <f>AG88+AG70</f>
        <v>368.17284362294083</v>
      </c>
      <c r="AH106" s="53">
        <f t="shared" ref="AH106:AK106" si="55">AH88+AH70</f>
        <v>690.47866575891135</v>
      </c>
      <c r="AI106" s="53">
        <f t="shared" si="55"/>
        <v>1414.7727787472977</v>
      </c>
      <c r="AJ106" s="53">
        <f t="shared" si="55"/>
        <v>2424.390141641029</v>
      </c>
      <c r="AK106" s="53">
        <f t="shared" si="55"/>
        <v>4023.1463800885822</v>
      </c>
    </row>
    <row r="107" spans="2:37" x14ac:dyDescent="0.35">
      <c r="Q107" t="s">
        <v>177</v>
      </c>
      <c r="R107" s="67" t="s">
        <v>214</v>
      </c>
      <c r="S107" s="53">
        <f t="shared" ref="S107:W107" si="56">S89+S71</f>
        <v>2583.339532796449</v>
      </c>
      <c r="T107" s="53">
        <f t="shared" si="56"/>
        <v>3181.6737960492496</v>
      </c>
      <c r="U107" s="53">
        <f t="shared" si="56"/>
        <v>4483.2831987899699</v>
      </c>
      <c r="V107" s="53">
        <f t="shared" si="56"/>
        <v>6211.791518668967</v>
      </c>
      <c r="W107" s="53">
        <f t="shared" si="56"/>
        <v>7947.7940872025301</v>
      </c>
      <c r="Y107" s="67" t="s">
        <v>214</v>
      </c>
      <c r="Z107" s="53">
        <f t="shared" ref="Z107:AD107" si="57">Z89+Z71</f>
        <v>279.00066954201651</v>
      </c>
      <c r="AA107" s="53">
        <f t="shared" si="57"/>
        <v>419.98094107850096</v>
      </c>
      <c r="AB107" s="53">
        <f t="shared" si="57"/>
        <v>702.47097868833146</v>
      </c>
      <c r="AC107" s="53">
        <f t="shared" si="57"/>
        <v>1029.2875642547849</v>
      </c>
      <c r="AD107" s="53">
        <f t="shared" si="57"/>
        <v>1363.8414653639543</v>
      </c>
      <c r="AE107" s="53"/>
      <c r="AF107" s="340" t="s">
        <v>214</v>
      </c>
      <c r="AG107" s="53">
        <f t="shared" ref="AG107:AK107" si="58">AG89+AG71</f>
        <v>234.36056241529386</v>
      </c>
      <c r="AH107" s="53">
        <f t="shared" si="58"/>
        <v>352.78399050594084</v>
      </c>
      <c r="AI107" s="53">
        <f t="shared" si="58"/>
        <v>590.07562209819844</v>
      </c>
      <c r="AJ107" s="53">
        <f t="shared" si="58"/>
        <v>864.60155397401934</v>
      </c>
      <c r="AK107" s="53">
        <f t="shared" si="58"/>
        <v>1145.6268309057216</v>
      </c>
    </row>
    <row r="108" spans="2:37" x14ac:dyDescent="0.35">
      <c r="Q108" t="s">
        <v>175</v>
      </c>
      <c r="R108" s="67" t="s">
        <v>215</v>
      </c>
      <c r="S108" s="53">
        <f t="shared" ref="S108:W108" si="59">S90+S72</f>
        <v>35608.417026085401</v>
      </c>
      <c r="T108" s="53">
        <f t="shared" si="59"/>
        <v>43184.512913331535</v>
      </c>
      <c r="U108" s="53">
        <f t="shared" si="59"/>
        <v>53056.606516997927</v>
      </c>
      <c r="V108" s="53">
        <f t="shared" si="59"/>
        <v>60282.537168697716</v>
      </c>
      <c r="W108" s="53">
        <f t="shared" si="59"/>
        <v>74349.254468900821</v>
      </c>
      <c r="Y108" s="67" t="s">
        <v>215</v>
      </c>
      <c r="Z108" s="53">
        <f t="shared" ref="Z108:AD108" si="60">Z90+Z72</f>
        <v>3845.7090388172232</v>
      </c>
      <c r="AA108" s="53">
        <f t="shared" si="60"/>
        <v>5700.3557045597636</v>
      </c>
      <c r="AB108" s="53">
        <f t="shared" si="60"/>
        <v>8354.2394522924751</v>
      </c>
      <c r="AC108" s="53">
        <f t="shared" si="60"/>
        <v>10042.957779772927</v>
      </c>
      <c r="AD108" s="53">
        <f t="shared" si="60"/>
        <v>12758.332066863384</v>
      </c>
      <c r="AE108" s="53"/>
      <c r="AF108" s="340" t="s">
        <v>215</v>
      </c>
      <c r="AG108" s="53">
        <f t="shared" ref="AG108:AK108" si="61">AG90+AG72</f>
        <v>3230.3955926064673</v>
      </c>
      <c r="AH108" s="53">
        <f t="shared" si="61"/>
        <v>4788.2987918302015</v>
      </c>
      <c r="AI108" s="53">
        <f t="shared" si="61"/>
        <v>7017.5611399256786</v>
      </c>
      <c r="AJ108" s="53">
        <f t="shared" si="61"/>
        <v>8436.0845350092586</v>
      </c>
      <c r="AK108" s="53">
        <f t="shared" si="61"/>
        <v>10716.998936165242</v>
      </c>
    </row>
    <row r="109" spans="2:37" x14ac:dyDescent="0.35">
      <c r="Q109" t="s">
        <v>176</v>
      </c>
      <c r="R109" s="67" t="s">
        <v>216</v>
      </c>
      <c r="S109" s="53">
        <f t="shared" ref="S109:W109" si="62">S91+S73</f>
        <v>1475.0030997315578</v>
      </c>
      <c r="T109" s="53">
        <f t="shared" si="62"/>
        <v>3256.4202313579581</v>
      </c>
      <c r="U109" s="53">
        <f t="shared" si="62"/>
        <v>7236.2832660616514</v>
      </c>
      <c r="V109" s="53">
        <f t="shared" si="62"/>
        <v>9826.8407593344837</v>
      </c>
      <c r="W109" s="53">
        <f t="shared" si="62"/>
        <v>11924.3482519346</v>
      </c>
      <c r="Y109" s="67" t="s">
        <v>216</v>
      </c>
      <c r="Z109" s="53">
        <f t="shared" ref="Z109:AD109" si="63">Z91+Z73</f>
        <v>159.30033477100827</v>
      </c>
      <c r="AA109" s="53">
        <f t="shared" si="63"/>
        <v>429.84747053925054</v>
      </c>
      <c r="AB109" s="53">
        <f t="shared" si="63"/>
        <v>1106.4253093441657</v>
      </c>
      <c r="AC109" s="53">
        <f t="shared" si="63"/>
        <v>1612.8461951273928</v>
      </c>
      <c r="AD109" s="53">
        <f t="shared" si="63"/>
        <v>2046.218160031977</v>
      </c>
      <c r="AE109" s="53"/>
      <c r="AF109" s="340" t="s">
        <v>216</v>
      </c>
      <c r="AG109" s="53">
        <f t="shared" ref="AG109:AK109" si="64">AG91+AG73</f>
        <v>133.81228120764692</v>
      </c>
      <c r="AH109" s="53">
        <f t="shared" si="64"/>
        <v>361.07187525297047</v>
      </c>
      <c r="AI109" s="53">
        <f t="shared" si="64"/>
        <v>929.39725984909921</v>
      </c>
      <c r="AJ109" s="53">
        <f t="shared" si="64"/>
        <v>1354.7908039070098</v>
      </c>
      <c r="AK109" s="53">
        <f t="shared" si="64"/>
        <v>1718.8232544268608</v>
      </c>
    </row>
    <row r="110" spans="2:37" x14ac:dyDescent="0.35">
      <c r="Q110" t="s">
        <v>243</v>
      </c>
      <c r="R110" s="67" t="s">
        <v>217</v>
      </c>
      <c r="S110" s="53">
        <f t="shared" ref="S110:W110" si="65">S92+S74</f>
        <v>829.16821653244563</v>
      </c>
      <c r="T110" s="53">
        <f t="shared" si="65"/>
        <v>1459.5434490123123</v>
      </c>
      <c r="U110" s="53">
        <f t="shared" si="65"/>
        <v>2260.3749663641593</v>
      </c>
      <c r="V110" s="53">
        <f t="shared" si="65"/>
        <v>2219.7082963339085</v>
      </c>
      <c r="W110" s="53">
        <f t="shared" si="65"/>
        <v>3145.7781259672993</v>
      </c>
      <c r="Y110" s="67" t="s">
        <v>217</v>
      </c>
      <c r="Z110" s="53">
        <f t="shared" ref="Z110:AD110" si="66">Z92+Z74</f>
        <v>89.550167385504125</v>
      </c>
      <c r="AA110" s="53">
        <f t="shared" si="66"/>
        <v>192.65973526962523</v>
      </c>
      <c r="AB110" s="53">
        <f t="shared" si="66"/>
        <v>347.91833467208289</v>
      </c>
      <c r="AC110" s="53">
        <f t="shared" si="66"/>
        <v>366.27054314702957</v>
      </c>
      <c r="AD110" s="53">
        <f t="shared" si="66"/>
        <v>539.81552641598853</v>
      </c>
      <c r="AE110" s="53"/>
      <c r="AF110" s="340" t="s">
        <v>217</v>
      </c>
      <c r="AG110" s="53">
        <f t="shared" ref="AG110:AK110" si="67">AG92+AG74</f>
        <v>75.222140603823462</v>
      </c>
      <c r="AH110" s="53">
        <f t="shared" si="67"/>
        <v>161.8341776264852</v>
      </c>
      <c r="AI110" s="53">
        <f t="shared" si="67"/>
        <v>292.2514011245496</v>
      </c>
      <c r="AJ110" s="53">
        <f t="shared" si="67"/>
        <v>307.66725624350488</v>
      </c>
      <c r="AK110" s="53">
        <f t="shared" si="67"/>
        <v>453.44504218943035</v>
      </c>
    </row>
    <row r="111" spans="2:37" x14ac:dyDescent="0.35">
      <c r="Q111" t="s">
        <v>179</v>
      </c>
      <c r="R111" s="67" t="s">
        <v>218</v>
      </c>
      <c r="S111" s="53">
        <f t="shared" ref="S111:W111" si="68">S93+S75</f>
        <v>1475.0030997315578</v>
      </c>
      <c r="T111" s="53">
        <f t="shared" si="68"/>
        <v>1991.4202313579581</v>
      </c>
      <c r="U111" s="53">
        <f t="shared" si="68"/>
        <v>2290.1332660616517</v>
      </c>
      <c r="V111" s="53">
        <f t="shared" si="68"/>
        <v>1879.0565926678169</v>
      </c>
      <c r="W111" s="53">
        <f t="shared" si="68"/>
        <v>2771.0612519345987</v>
      </c>
      <c r="Y111" s="67" t="s">
        <v>218</v>
      </c>
      <c r="Z111" s="53">
        <f t="shared" ref="Z111:AD111" si="69">Z93+Z75</f>
        <v>159.30033477100827</v>
      </c>
      <c r="AA111" s="53">
        <f t="shared" si="69"/>
        <v>262.86747053925052</v>
      </c>
      <c r="AB111" s="53">
        <f t="shared" si="69"/>
        <v>358.5674293441657</v>
      </c>
      <c r="AC111" s="53">
        <f t="shared" si="69"/>
        <v>314.1782622940591</v>
      </c>
      <c r="AD111" s="53">
        <f t="shared" si="69"/>
        <v>475.51411083197712</v>
      </c>
      <c r="AE111" s="53"/>
      <c r="AF111" s="340" t="s">
        <v>218</v>
      </c>
      <c r="AG111" s="53">
        <f t="shared" ref="AG111:AK111" si="70">AG93+AG75</f>
        <v>133.81228120764692</v>
      </c>
      <c r="AH111" s="53">
        <f t="shared" si="70"/>
        <v>220.80867525297043</v>
      </c>
      <c r="AI111" s="53">
        <f t="shared" si="70"/>
        <v>301.19664064909921</v>
      </c>
      <c r="AJ111" s="53">
        <f t="shared" si="70"/>
        <v>263.90974032700962</v>
      </c>
      <c r="AK111" s="53">
        <f t="shared" si="70"/>
        <v>399.43185309886076</v>
      </c>
    </row>
    <row r="112" spans="2:37" x14ac:dyDescent="0.35">
      <c r="Q112" t="s">
        <v>417</v>
      </c>
      <c r="R112" s="67" t="s">
        <v>219</v>
      </c>
      <c r="S112" s="53">
        <f t="shared" ref="S112:W112" si="71">S94+S76</f>
        <v>4241.67596586134</v>
      </c>
      <c r="T112" s="53">
        <f t="shared" si="71"/>
        <v>5679.0940274072072</v>
      </c>
      <c r="U112" s="53">
        <f t="shared" si="71"/>
        <v>7112.8581315182873</v>
      </c>
      <c r="V112" s="53">
        <f t="shared" si="71"/>
        <v>7184.0539446701168</v>
      </c>
      <c r="W112" s="53">
        <f t="shared" si="71"/>
        <v>9721.3817558037954</v>
      </c>
      <c r="Y112" s="67" t="s">
        <v>219</v>
      </c>
      <c r="Z112" s="53">
        <f t="shared" ref="Z112:AD112" si="72">Z94+Z76</f>
        <v>458.10100431302482</v>
      </c>
      <c r="AA112" s="53">
        <f t="shared" si="72"/>
        <v>749.64041161775151</v>
      </c>
      <c r="AB112" s="53">
        <f t="shared" si="72"/>
        <v>1112.3619880324973</v>
      </c>
      <c r="AC112" s="53">
        <f t="shared" si="72"/>
        <v>1195.2956597155105</v>
      </c>
      <c r="AD112" s="53">
        <f t="shared" si="72"/>
        <v>1668.1891092959313</v>
      </c>
      <c r="AE112" s="53"/>
      <c r="AF112" s="340" t="s">
        <v>219</v>
      </c>
      <c r="AG112" s="53">
        <f t="shared" ref="AG112:AK112" si="73">AG94+AG76</f>
        <v>384.80484362294084</v>
      </c>
      <c r="AH112" s="53">
        <f t="shared" si="73"/>
        <v>629.69794575891126</v>
      </c>
      <c r="AI112" s="53">
        <f t="shared" si="73"/>
        <v>934.38406994729758</v>
      </c>
      <c r="AJ112" s="53">
        <f t="shared" si="73"/>
        <v>1004.0483541610288</v>
      </c>
      <c r="AK112" s="53">
        <f t="shared" si="73"/>
        <v>1401.2788518085822</v>
      </c>
    </row>
    <row r="113" spans="17:37" x14ac:dyDescent="0.35">
      <c r="Q113" t="s">
        <v>238</v>
      </c>
      <c r="R113" s="67" t="s">
        <v>220</v>
      </c>
      <c r="S113" s="53">
        <f t="shared" ref="S113:W113" si="74">S95+S77</f>
        <v>0</v>
      </c>
      <c r="T113" s="53">
        <f t="shared" si="74"/>
        <v>632.5</v>
      </c>
      <c r="U113" s="53">
        <f t="shared" si="74"/>
        <v>2957.9916666666668</v>
      </c>
      <c r="V113" s="53">
        <f t="shared" si="74"/>
        <v>5120.72</v>
      </c>
      <c r="W113" s="53">
        <f t="shared" si="74"/>
        <v>5632.7920000000004</v>
      </c>
      <c r="Y113" s="67" t="s">
        <v>220</v>
      </c>
      <c r="Z113" s="53">
        <f t="shared" ref="Z113:AD113" si="75">Z95+Z77</f>
        <v>0</v>
      </c>
      <c r="AA113" s="53">
        <f t="shared" si="75"/>
        <v>83.490000000000009</v>
      </c>
      <c r="AB113" s="53">
        <f t="shared" si="75"/>
        <v>447.24834000000016</v>
      </c>
      <c r="AC113" s="53">
        <f t="shared" si="75"/>
        <v>836.72564800000021</v>
      </c>
      <c r="AD113" s="53">
        <f t="shared" si="75"/>
        <v>966.58710719999999</v>
      </c>
      <c r="AE113" s="53"/>
      <c r="AF113" s="340" t="s">
        <v>220</v>
      </c>
      <c r="AG113" s="53">
        <f t="shared" ref="AG113:AK113" si="76">AG95+AG77</f>
        <v>0</v>
      </c>
      <c r="AH113" s="53">
        <f t="shared" si="76"/>
        <v>70.131600000000006</v>
      </c>
      <c r="AI113" s="53">
        <f t="shared" si="76"/>
        <v>375.68860560000013</v>
      </c>
      <c r="AJ113" s="53">
        <f t="shared" si="76"/>
        <v>702.84954432000018</v>
      </c>
      <c r="AK113" s="53">
        <f t="shared" si="76"/>
        <v>811.93317004799997</v>
      </c>
    </row>
    <row r="114" spans="17:37" x14ac:dyDescent="0.35">
      <c r="Q114" t="s">
        <v>182</v>
      </c>
      <c r="R114" s="67" t="s">
        <v>221</v>
      </c>
      <c r="S114" s="53">
        <f t="shared" ref="S114:W114" si="77">S96+S78</f>
        <v>1291.6697663982245</v>
      </c>
      <c r="T114" s="53">
        <f t="shared" si="77"/>
        <v>1485.4202313579581</v>
      </c>
      <c r="U114" s="53">
        <f t="shared" si="77"/>
        <v>1708.2332660616516</v>
      </c>
      <c r="V114" s="53">
        <f t="shared" si="77"/>
        <v>1879.0565926678169</v>
      </c>
      <c r="W114" s="53">
        <f t="shared" si="77"/>
        <v>2066.9622519345985</v>
      </c>
      <c r="Y114" s="67" t="s">
        <v>221</v>
      </c>
      <c r="Z114" s="53">
        <f t="shared" ref="Z114:AD114" si="78">Z96+Z78</f>
        <v>139.50033477100826</v>
      </c>
      <c r="AA114" s="53">
        <f t="shared" si="78"/>
        <v>196.07547053925049</v>
      </c>
      <c r="AB114" s="53">
        <f t="shared" si="78"/>
        <v>270.58414934416572</v>
      </c>
      <c r="AC114" s="53">
        <f t="shared" si="78"/>
        <v>314.1782622940591</v>
      </c>
      <c r="AD114" s="53">
        <f t="shared" si="78"/>
        <v>354.69072243197712</v>
      </c>
      <c r="AE114" s="53"/>
      <c r="AF114" s="340" t="s">
        <v>221</v>
      </c>
      <c r="AG114" s="53">
        <f t="shared" ref="AG114:AK114" si="79">AG96+AG78</f>
        <v>117.18028120764693</v>
      </c>
      <c r="AH114" s="53">
        <f t="shared" si="79"/>
        <v>164.70339525297041</v>
      </c>
      <c r="AI114" s="53">
        <f t="shared" si="79"/>
        <v>227.29068544909919</v>
      </c>
      <c r="AJ114" s="53">
        <f t="shared" si="79"/>
        <v>263.90974032700962</v>
      </c>
      <c r="AK114" s="53">
        <f t="shared" si="79"/>
        <v>297.94020684286079</v>
      </c>
    </row>
    <row r="115" spans="17:37" x14ac:dyDescent="0.35">
      <c r="Q115" t="s">
        <v>186</v>
      </c>
      <c r="R115" s="67" t="s">
        <v>222</v>
      </c>
      <c r="S115" s="53">
        <f t="shared" ref="S115:W115" si="80">S97+S79</f>
        <v>2487.504649597337</v>
      </c>
      <c r="T115" s="53">
        <f t="shared" si="80"/>
        <v>5011.1303470369367</v>
      </c>
      <c r="U115" s="53">
        <f t="shared" si="80"/>
        <v>9739.1165657591428</v>
      </c>
      <c r="V115" s="53">
        <f t="shared" si="80"/>
        <v>11779.844889001724</v>
      </c>
      <c r="W115" s="53">
        <f t="shared" si="80"/>
        <v>15070.126377901899</v>
      </c>
      <c r="Y115" s="67" t="s">
        <v>222</v>
      </c>
      <c r="Z115" s="53">
        <f t="shared" ref="Z115:AD115" si="81">Z97+Z79</f>
        <v>268.6505021565124</v>
      </c>
      <c r="AA115" s="53">
        <f t="shared" si="81"/>
        <v>661.46920580887581</v>
      </c>
      <c r="AB115" s="53">
        <f t="shared" si="81"/>
        <v>1491.0033440162488</v>
      </c>
      <c r="AC115" s="53">
        <f t="shared" si="81"/>
        <v>1935.5372774410889</v>
      </c>
      <c r="AD115" s="53">
        <f t="shared" si="81"/>
        <v>2586.0336864479659</v>
      </c>
      <c r="AE115" s="53"/>
      <c r="AF115" s="340" t="s">
        <v>222</v>
      </c>
      <c r="AG115" s="53">
        <f t="shared" ref="AG115:AK115" si="82">AG97+AG79</f>
        <v>225.66642181147043</v>
      </c>
      <c r="AH115" s="53">
        <f t="shared" si="82"/>
        <v>555.63413287945559</v>
      </c>
      <c r="AI115" s="53">
        <f t="shared" si="82"/>
        <v>1252.4428089736489</v>
      </c>
      <c r="AJ115" s="53">
        <f t="shared" si="82"/>
        <v>1625.8513130505144</v>
      </c>
      <c r="AK115" s="53">
        <f t="shared" si="82"/>
        <v>2172.2682966162911</v>
      </c>
    </row>
    <row r="116" spans="17:37" x14ac:dyDescent="0.35">
      <c r="Q116" t="s">
        <v>418</v>
      </c>
      <c r="R116" s="67" t="s">
        <v>223</v>
      </c>
      <c r="S116" s="53">
        <f t="shared" ref="S116:W116" si="83">S98+S80</f>
        <v>1291.6697663982245</v>
      </c>
      <c r="T116" s="53">
        <f t="shared" si="83"/>
        <v>1485.4202313579581</v>
      </c>
      <c r="U116" s="53">
        <f t="shared" si="83"/>
        <v>1708.2332660616516</v>
      </c>
      <c r="V116" s="53">
        <f t="shared" si="83"/>
        <v>1879.0565926678169</v>
      </c>
      <c r="W116" s="53">
        <f t="shared" si="83"/>
        <v>2066.9622519345985</v>
      </c>
      <c r="Y116" s="67" t="s">
        <v>223</v>
      </c>
      <c r="Z116" s="53">
        <f t="shared" ref="Z116:AD116" si="84">Z98+Z80</f>
        <v>139.50033477100826</v>
      </c>
      <c r="AA116" s="53">
        <f t="shared" si="84"/>
        <v>196.07547053925049</v>
      </c>
      <c r="AB116" s="53">
        <f t="shared" si="84"/>
        <v>270.58414934416572</v>
      </c>
      <c r="AC116" s="53">
        <f t="shared" si="84"/>
        <v>314.1782622940591</v>
      </c>
      <c r="AD116" s="53">
        <f t="shared" si="84"/>
        <v>354.69072243197712</v>
      </c>
      <c r="AE116" s="53"/>
      <c r="AF116" s="340" t="s">
        <v>223</v>
      </c>
      <c r="AG116" s="53">
        <f t="shared" ref="AG116:AK116" si="85">AG98+AG80</f>
        <v>117.18028120764693</v>
      </c>
      <c r="AH116" s="53">
        <f t="shared" si="85"/>
        <v>164.70339525297041</v>
      </c>
      <c r="AI116" s="53">
        <f t="shared" si="85"/>
        <v>227.29068544909919</v>
      </c>
      <c r="AJ116" s="53">
        <f t="shared" si="85"/>
        <v>263.90974032700962</v>
      </c>
      <c r="AK116" s="53">
        <f t="shared" si="85"/>
        <v>297.94020684286079</v>
      </c>
    </row>
    <row r="117" spans="17:37" x14ac:dyDescent="0.35">
      <c r="Q117" t="s">
        <v>419</v>
      </c>
      <c r="R117" s="67" t="s">
        <v>224</v>
      </c>
      <c r="S117" s="53">
        <f t="shared" ref="S117:W117" si="86">S99+S81</f>
        <v>645.83488319911226</v>
      </c>
      <c r="T117" s="53">
        <f t="shared" si="86"/>
        <v>1586.0434490123123</v>
      </c>
      <c r="U117" s="53">
        <f t="shared" si="86"/>
        <v>3666.6332996974925</v>
      </c>
      <c r="V117" s="53">
        <f t="shared" si="86"/>
        <v>4780.0682963339086</v>
      </c>
      <c r="W117" s="53">
        <f t="shared" si="86"/>
        <v>5258.0751259672998</v>
      </c>
      <c r="Y117" s="67" t="s">
        <v>224</v>
      </c>
      <c r="Z117" s="53">
        <f t="shared" ref="Z117:AD117" si="87">Z99+Z81</f>
        <v>69.750167385504128</v>
      </c>
      <c r="AA117" s="53">
        <f t="shared" si="87"/>
        <v>209.35773526962524</v>
      </c>
      <c r="AB117" s="53">
        <f t="shared" si="87"/>
        <v>560.54459467208289</v>
      </c>
      <c r="AC117" s="53">
        <f t="shared" si="87"/>
        <v>784.63336714702973</v>
      </c>
      <c r="AD117" s="53">
        <f t="shared" si="87"/>
        <v>902.28569161598853</v>
      </c>
      <c r="AE117" s="53"/>
      <c r="AF117" s="340" t="s">
        <v>224</v>
      </c>
      <c r="AG117" s="53">
        <f t="shared" ref="AG117:AK117" si="88">AG99+AG81</f>
        <v>58.590140603823464</v>
      </c>
      <c r="AH117" s="53">
        <f t="shared" si="88"/>
        <v>175.8604976264852</v>
      </c>
      <c r="AI117" s="53">
        <f t="shared" si="88"/>
        <v>470.85745952454965</v>
      </c>
      <c r="AJ117" s="53">
        <f t="shared" si="88"/>
        <v>659.09202840350497</v>
      </c>
      <c r="AK117" s="53">
        <f t="shared" si="88"/>
        <v>757.91998095743031</v>
      </c>
    </row>
    <row r="118" spans="17:37" x14ac:dyDescent="0.35">
      <c r="Q118" t="s">
        <v>183</v>
      </c>
      <c r="R118" s="67" t="s">
        <v>225</v>
      </c>
      <c r="S118" s="53">
        <f t="shared" ref="S118:W118" si="89">S100+S82</f>
        <v>0</v>
      </c>
      <c r="T118" s="53">
        <f t="shared" si="89"/>
        <v>1897.5</v>
      </c>
      <c r="U118" s="53">
        <f t="shared" si="89"/>
        <v>8389.0583333333325</v>
      </c>
      <c r="V118" s="53">
        <f t="shared" si="89"/>
        <v>15682.205000000002</v>
      </c>
      <c r="W118" s="53">
        <f t="shared" si="89"/>
        <v>20888.270333333334</v>
      </c>
      <c r="Y118" s="67" t="s">
        <v>225</v>
      </c>
      <c r="Z118" s="53">
        <f t="shared" ref="Z118:AD118" si="90">Z100+Z82</f>
        <v>0</v>
      </c>
      <c r="AA118" s="53">
        <f t="shared" si="90"/>
        <v>250.47000000000006</v>
      </c>
      <c r="AB118" s="53">
        <f t="shared" si="90"/>
        <v>1268.4256200000002</v>
      </c>
      <c r="AC118" s="53">
        <f t="shared" si="90"/>
        <v>2562.4722970000012</v>
      </c>
      <c r="AD118" s="53">
        <f t="shared" si="90"/>
        <v>3584.4271892000002</v>
      </c>
      <c r="AE118" s="53"/>
      <c r="AF118" s="340" t="s">
        <v>225</v>
      </c>
      <c r="AG118" s="53">
        <f t="shared" ref="AG118:AK118" si="91">AG100+AG82</f>
        <v>0</v>
      </c>
      <c r="AH118" s="53">
        <f t="shared" si="91"/>
        <v>210.39480000000003</v>
      </c>
      <c r="AI118" s="53">
        <f t="shared" si="91"/>
        <v>1065.4775208000001</v>
      </c>
      <c r="AJ118" s="53">
        <f t="shared" si="91"/>
        <v>2152.4767294800008</v>
      </c>
      <c r="AK118" s="53">
        <f t="shared" si="91"/>
        <v>3010.9188389280002</v>
      </c>
    </row>
    <row r="119" spans="17:37" x14ac:dyDescent="0.35">
      <c r="R119" s="338" t="s">
        <v>226</v>
      </c>
      <c r="S119" s="238">
        <f>SUM(S106:S118)</f>
        <v>55987.628638859649</v>
      </c>
      <c r="T119" s="238">
        <f t="shared" ref="T119:W119" si="92">SUM(T106:T118)</f>
        <v>77077.939601355261</v>
      </c>
      <c r="U119" s="238">
        <f t="shared" si="92"/>
        <v>115504.01387489188</v>
      </c>
      <c r="V119" s="238">
        <f t="shared" si="92"/>
        <v>146257.11526238103</v>
      </c>
      <c r="W119" s="238">
        <f t="shared" si="92"/>
        <v>188753.41220528586</v>
      </c>
      <c r="Y119" s="338" t="s">
        <v>226</v>
      </c>
      <c r="Z119" s="238">
        <f>SUM(Z106:Z118)</f>
        <v>6046.6638929968431</v>
      </c>
      <c r="AA119" s="238">
        <f t="shared" ref="AA119:AD119" si="93">SUM(AA106:AA118)</f>
        <v>10174.288027378894</v>
      </c>
      <c r="AB119" s="238">
        <f t="shared" si="93"/>
        <v>17974.626997782878</v>
      </c>
      <c r="AC119" s="238">
        <f t="shared" si="93"/>
        <v>24194.739858536788</v>
      </c>
      <c r="AD119" s="238">
        <f t="shared" si="93"/>
        <v>32390.085534427049</v>
      </c>
      <c r="AE119" s="53"/>
      <c r="AF119" s="341" t="s">
        <v>226</v>
      </c>
      <c r="AG119" s="238">
        <f>SUM(AG106:AG118)</f>
        <v>5079.1976701173471</v>
      </c>
      <c r="AH119" s="238">
        <f t="shared" ref="AH119:AK119" si="94">SUM(AH106:AH118)</f>
        <v>8546.4019429982727</v>
      </c>
      <c r="AI119" s="238">
        <f t="shared" si="94"/>
        <v>15098.686678137619</v>
      </c>
      <c r="AJ119" s="238">
        <f t="shared" si="94"/>
        <v>20323.581481170902</v>
      </c>
      <c r="AK119" s="238">
        <f t="shared" si="94"/>
        <v>27207.671848918722</v>
      </c>
    </row>
    <row r="120" spans="17:37" x14ac:dyDescent="0.35">
      <c r="S120" s="53"/>
      <c r="T120" s="53"/>
      <c r="U120" s="53"/>
      <c r="V120" s="53"/>
      <c r="W120" s="53"/>
    </row>
    <row r="121" spans="17:37" x14ac:dyDescent="0.35">
      <c r="S121" s="53"/>
      <c r="T121" s="53"/>
      <c r="U121" s="53"/>
      <c r="V121" s="53"/>
      <c r="W121" s="5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A00-000000000000}">
          <x14:formula1>
            <xm:f>'D:\Presentation\[Nilgiris Business Model v9 120922_convergent.xlsb]Guidelines F'!#REF!</xm:f>
          </x14:formula1>
          <xm:sqref>B16:B28 H16:H28 B35:B47 B70:B82 B52:B64 K52:K64 K70:K82 R70:R82 Y70:Y82 AF70:AF82 AF88:AF100 K88:K100 R88:R100 Y88:Y100 B88:B100 AF106:AF118 Y106:Y118 R106:R118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V14"/>
  <sheetViews>
    <sheetView workbookViewId="0">
      <selection activeCell="C5" sqref="C5"/>
    </sheetView>
  </sheetViews>
  <sheetFormatPr defaultRowHeight="14.5" x14ac:dyDescent="0.35"/>
  <cols>
    <col min="2" max="2" width="19.54296875" bestFit="1" customWidth="1"/>
  </cols>
  <sheetData>
    <row r="2" spans="1:22" x14ac:dyDescent="0.35">
      <c r="B2" t="s">
        <v>359</v>
      </c>
      <c r="C2" s="298"/>
      <c r="D2" s="298"/>
      <c r="E2" s="298"/>
      <c r="F2" s="298"/>
    </row>
    <row r="3" spans="1:22" x14ac:dyDescent="0.35">
      <c r="C3" s="299" t="s">
        <v>360</v>
      </c>
      <c r="D3" s="298"/>
      <c r="E3" s="298"/>
      <c r="F3" s="298"/>
      <c r="G3" s="300">
        <v>0.1</v>
      </c>
      <c r="K3" s="300">
        <v>0.1</v>
      </c>
      <c r="O3" s="300">
        <v>0.1</v>
      </c>
      <c r="S3" s="300">
        <v>0.1</v>
      </c>
    </row>
    <row r="4" spans="1:22" x14ac:dyDescent="0.35">
      <c r="B4" s="301" t="s">
        <v>361</v>
      </c>
      <c r="C4" s="301" t="s">
        <v>362</v>
      </c>
      <c r="D4" s="301" t="s">
        <v>363</v>
      </c>
      <c r="E4" s="301" t="s">
        <v>364</v>
      </c>
      <c r="F4" s="301" t="s">
        <v>365</v>
      </c>
      <c r="G4" s="301" t="s">
        <v>366</v>
      </c>
      <c r="H4" s="301" t="s">
        <v>367</v>
      </c>
      <c r="I4" s="301" t="s">
        <v>368</v>
      </c>
      <c r="J4" s="301" t="s">
        <v>369</v>
      </c>
      <c r="K4" s="301" t="s">
        <v>370</v>
      </c>
      <c r="L4" s="301" t="s">
        <v>371</v>
      </c>
      <c r="M4" s="301" t="s">
        <v>372</v>
      </c>
      <c r="N4" s="301" t="s">
        <v>373</v>
      </c>
      <c r="O4" s="301" t="s">
        <v>374</v>
      </c>
      <c r="P4" s="301" t="s">
        <v>375</v>
      </c>
      <c r="Q4" s="301" t="s">
        <v>376</v>
      </c>
      <c r="R4" s="301" t="s">
        <v>377</v>
      </c>
      <c r="S4" s="301" t="s">
        <v>378</v>
      </c>
      <c r="T4" s="301" t="s">
        <v>379</v>
      </c>
      <c r="U4" s="301" t="s">
        <v>380</v>
      </c>
      <c r="V4" s="301" t="s">
        <v>381</v>
      </c>
    </row>
    <row r="5" spans="1:22" x14ac:dyDescent="0.35">
      <c r="A5" s="298">
        <f>SUM(C5:F5)</f>
        <v>8.1180000000000003</v>
      </c>
      <c r="B5" s="65" t="s">
        <v>382</v>
      </c>
      <c r="C5" s="302">
        <v>2.0295000000000001</v>
      </c>
      <c r="D5" s="298">
        <v>2.0295000000000001</v>
      </c>
      <c r="E5" s="298">
        <v>2.0295000000000001</v>
      </c>
      <c r="F5" s="298">
        <v>2.0295000000000001</v>
      </c>
      <c r="G5" s="53">
        <f>C5*107%</f>
        <v>2.1715650000000002</v>
      </c>
      <c r="H5" s="53">
        <f t="shared" ref="H5:H14" si="0">D5*107%</f>
        <v>2.1715650000000002</v>
      </c>
      <c r="I5" s="53">
        <f t="shared" ref="I5:I14" si="1">E5*107%</f>
        <v>2.1715650000000002</v>
      </c>
      <c r="J5" s="53">
        <f t="shared" ref="J5:J14" si="2">F5*107%</f>
        <v>2.1715650000000002</v>
      </c>
      <c r="K5" s="53">
        <f t="shared" ref="K5:K14" si="3">G5*107%</f>
        <v>2.3235745500000005</v>
      </c>
      <c r="L5" s="53">
        <f t="shared" ref="L5:L14" si="4">H5*107%</f>
        <v>2.3235745500000005</v>
      </c>
      <c r="M5" s="53">
        <f t="shared" ref="M5:M14" si="5">I5*107%</f>
        <v>2.3235745500000005</v>
      </c>
      <c r="N5" s="53">
        <f t="shared" ref="N5:N14" si="6">J5*107%</f>
        <v>2.3235745500000005</v>
      </c>
      <c r="O5" s="53">
        <f t="shared" ref="O5:O14" si="7">K5*107%</f>
        <v>2.4862247685000005</v>
      </c>
      <c r="P5" s="53">
        <f t="shared" ref="P5:P14" si="8">L5*107%</f>
        <v>2.4862247685000005</v>
      </c>
      <c r="Q5" s="53">
        <f t="shared" ref="Q5:Q14" si="9">M5*107%</f>
        <v>2.4862247685000005</v>
      </c>
      <c r="R5" s="53">
        <f t="shared" ref="R5:R14" si="10">N5*107%</f>
        <v>2.4862247685000005</v>
      </c>
      <c r="S5" s="53">
        <f t="shared" ref="S5:S14" si="11">O5*107%</f>
        <v>2.6602605022950008</v>
      </c>
      <c r="T5" s="53">
        <f t="shared" ref="T5:T14" si="12">P5*107%</f>
        <v>2.6602605022950008</v>
      </c>
      <c r="U5" s="53">
        <f t="shared" ref="U5:U14" si="13">Q5*107%</f>
        <v>2.6602605022950008</v>
      </c>
      <c r="V5" s="53">
        <f t="shared" ref="V5:V14" si="14">R5*107%</f>
        <v>2.6602605022950008</v>
      </c>
    </row>
    <row r="6" spans="1:22" x14ac:dyDescent="0.35">
      <c r="A6" s="298">
        <f t="shared" ref="A6:A14" si="15">SUM(C6:F6)</f>
        <v>21.884476800000009</v>
      </c>
      <c r="B6" s="65" t="s">
        <v>383</v>
      </c>
      <c r="C6" s="302">
        <v>5.4711192000000022</v>
      </c>
      <c r="D6" s="298">
        <v>5.4711192000000022</v>
      </c>
      <c r="E6" s="298">
        <v>5.4711192000000022</v>
      </c>
      <c r="F6" s="298">
        <v>5.4711192000000022</v>
      </c>
      <c r="G6" s="53">
        <f t="shared" ref="G6:G14" si="16">C6*107%</f>
        <v>5.8540975440000027</v>
      </c>
      <c r="H6" s="53">
        <f t="shared" si="0"/>
        <v>5.8540975440000027</v>
      </c>
      <c r="I6" s="53">
        <f t="shared" si="1"/>
        <v>5.8540975440000027</v>
      </c>
      <c r="J6" s="53">
        <f t="shared" si="2"/>
        <v>5.8540975440000027</v>
      </c>
      <c r="K6" s="53">
        <f t="shared" si="3"/>
        <v>6.2638843720800033</v>
      </c>
      <c r="L6" s="53">
        <f t="shared" si="4"/>
        <v>6.2638843720800033</v>
      </c>
      <c r="M6" s="53">
        <f t="shared" si="5"/>
        <v>6.2638843720800033</v>
      </c>
      <c r="N6" s="53">
        <f t="shared" si="6"/>
        <v>6.2638843720800033</v>
      </c>
      <c r="O6" s="53">
        <f t="shared" si="7"/>
        <v>6.7023562781256043</v>
      </c>
      <c r="P6" s="53">
        <f t="shared" si="8"/>
        <v>6.7023562781256043</v>
      </c>
      <c r="Q6" s="53">
        <f t="shared" si="9"/>
        <v>6.7023562781256043</v>
      </c>
      <c r="R6" s="53">
        <f t="shared" si="10"/>
        <v>6.7023562781256043</v>
      </c>
      <c r="S6" s="53">
        <f t="shared" si="11"/>
        <v>7.171521217594397</v>
      </c>
      <c r="T6" s="53">
        <f t="shared" si="12"/>
        <v>7.171521217594397</v>
      </c>
      <c r="U6" s="53">
        <f t="shared" si="13"/>
        <v>7.171521217594397</v>
      </c>
      <c r="V6" s="53">
        <f t="shared" si="14"/>
        <v>7.171521217594397</v>
      </c>
    </row>
    <row r="7" spans="1:22" x14ac:dyDescent="0.35">
      <c r="A7" s="298">
        <f t="shared" si="15"/>
        <v>53.882639999999995</v>
      </c>
      <c r="B7" t="s">
        <v>384</v>
      </c>
      <c r="C7" s="302">
        <v>13.470659999999999</v>
      </c>
      <c r="D7" s="298">
        <v>13.470659999999999</v>
      </c>
      <c r="E7" s="298">
        <v>13.470659999999999</v>
      </c>
      <c r="F7" s="298">
        <v>13.470659999999999</v>
      </c>
      <c r="G7" s="53">
        <f t="shared" si="16"/>
        <v>14.4136062</v>
      </c>
      <c r="H7" s="53">
        <f t="shared" si="0"/>
        <v>14.4136062</v>
      </c>
      <c r="I7" s="53">
        <f t="shared" si="1"/>
        <v>14.4136062</v>
      </c>
      <c r="J7" s="53">
        <f t="shared" si="2"/>
        <v>14.4136062</v>
      </c>
      <c r="K7" s="53">
        <f t="shared" si="3"/>
        <v>15.422558634000001</v>
      </c>
      <c r="L7" s="53">
        <f t="shared" si="4"/>
        <v>15.422558634000001</v>
      </c>
      <c r="M7" s="53">
        <f t="shared" si="5"/>
        <v>15.422558634000001</v>
      </c>
      <c r="N7" s="53">
        <f t="shared" si="6"/>
        <v>15.422558634000001</v>
      </c>
      <c r="O7" s="53">
        <f t="shared" si="7"/>
        <v>16.502137738380004</v>
      </c>
      <c r="P7" s="53">
        <f t="shared" si="8"/>
        <v>16.502137738380004</v>
      </c>
      <c r="Q7" s="53">
        <f t="shared" si="9"/>
        <v>16.502137738380004</v>
      </c>
      <c r="R7" s="53">
        <f t="shared" si="10"/>
        <v>16.502137738380004</v>
      </c>
      <c r="S7" s="53">
        <f t="shared" si="11"/>
        <v>17.657287380066606</v>
      </c>
      <c r="T7" s="53">
        <f t="shared" si="12"/>
        <v>17.657287380066606</v>
      </c>
      <c r="U7" s="53">
        <f t="shared" si="13"/>
        <v>17.657287380066606</v>
      </c>
      <c r="V7" s="53">
        <f t="shared" si="14"/>
        <v>17.657287380066606</v>
      </c>
    </row>
    <row r="8" spans="1:22" x14ac:dyDescent="0.35">
      <c r="A8" s="298">
        <f t="shared" si="15"/>
        <v>33.199919999999999</v>
      </c>
      <c r="B8" t="s">
        <v>385</v>
      </c>
      <c r="C8" s="302">
        <v>8.2999799999999997</v>
      </c>
      <c r="D8" s="298">
        <v>8.2999799999999997</v>
      </c>
      <c r="E8" s="298">
        <v>8.2999799999999997</v>
      </c>
      <c r="F8" s="298">
        <v>8.2999799999999997</v>
      </c>
      <c r="G8" s="53">
        <f t="shared" si="16"/>
        <v>8.8809786000000006</v>
      </c>
      <c r="H8" s="53">
        <f t="shared" si="0"/>
        <v>8.8809786000000006</v>
      </c>
      <c r="I8" s="53">
        <f t="shared" si="1"/>
        <v>8.8809786000000006</v>
      </c>
      <c r="J8" s="53">
        <f t="shared" si="2"/>
        <v>8.8809786000000006</v>
      </c>
      <c r="K8" s="53">
        <f t="shared" si="3"/>
        <v>9.502647102000001</v>
      </c>
      <c r="L8" s="53">
        <f t="shared" si="4"/>
        <v>9.502647102000001</v>
      </c>
      <c r="M8" s="53">
        <f t="shared" si="5"/>
        <v>9.502647102000001</v>
      </c>
      <c r="N8" s="53">
        <f t="shared" si="6"/>
        <v>9.502647102000001</v>
      </c>
      <c r="O8" s="53">
        <f t="shared" si="7"/>
        <v>10.167832399140002</v>
      </c>
      <c r="P8" s="53">
        <f t="shared" si="8"/>
        <v>10.167832399140002</v>
      </c>
      <c r="Q8" s="53">
        <f t="shared" si="9"/>
        <v>10.167832399140002</v>
      </c>
      <c r="R8" s="53">
        <f t="shared" si="10"/>
        <v>10.167832399140002</v>
      </c>
      <c r="S8" s="53">
        <f t="shared" si="11"/>
        <v>10.879580667079802</v>
      </c>
      <c r="T8" s="53">
        <f t="shared" si="12"/>
        <v>10.879580667079802</v>
      </c>
      <c r="U8" s="53">
        <f t="shared" si="13"/>
        <v>10.879580667079802</v>
      </c>
      <c r="V8" s="53">
        <f t="shared" si="14"/>
        <v>10.879580667079802</v>
      </c>
    </row>
    <row r="9" spans="1:22" x14ac:dyDescent="0.35">
      <c r="A9" s="298">
        <f t="shared" si="15"/>
        <v>31.799999999999997</v>
      </c>
      <c r="B9" t="s">
        <v>386</v>
      </c>
      <c r="C9" s="302">
        <v>7.9499999999999993</v>
      </c>
      <c r="D9" s="298">
        <v>7.9499999999999993</v>
      </c>
      <c r="E9" s="298">
        <v>7.9499999999999993</v>
      </c>
      <c r="F9" s="298">
        <v>7.9499999999999993</v>
      </c>
      <c r="G9" s="53">
        <f t="shared" si="16"/>
        <v>8.5064999999999991</v>
      </c>
      <c r="H9" s="53">
        <f t="shared" si="0"/>
        <v>8.5064999999999991</v>
      </c>
      <c r="I9" s="53">
        <f t="shared" si="1"/>
        <v>8.5064999999999991</v>
      </c>
      <c r="J9" s="53">
        <f t="shared" si="2"/>
        <v>8.5064999999999991</v>
      </c>
      <c r="K9" s="53">
        <f t="shared" si="3"/>
        <v>9.1019550000000002</v>
      </c>
      <c r="L9" s="53">
        <f t="shared" si="4"/>
        <v>9.1019550000000002</v>
      </c>
      <c r="M9" s="53">
        <f t="shared" si="5"/>
        <v>9.1019550000000002</v>
      </c>
      <c r="N9" s="53">
        <f t="shared" si="6"/>
        <v>9.1019550000000002</v>
      </c>
      <c r="O9" s="53">
        <f t="shared" si="7"/>
        <v>9.7390918500000012</v>
      </c>
      <c r="P9" s="53">
        <f t="shared" si="8"/>
        <v>9.7390918500000012</v>
      </c>
      <c r="Q9" s="53">
        <f t="shared" si="9"/>
        <v>9.7390918500000012</v>
      </c>
      <c r="R9" s="53">
        <f t="shared" si="10"/>
        <v>9.7390918500000012</v>
      </c>
      <c r="S9" s="53">
        <f t="shared" si="11"/>
        <v>10.420828279500002</v>
      </c>
      <c r="T9" s="53">
        <f t="shared" si="12"/>
        <v>10.420828279500002</v>
      </c>
      <c r="U9" s="53">
        <f t="shared" si="13"/>
        <v>10.420828279500002</v>
      </c>
      <c r="V9" s="53">
        <f t="shared" si="14"/>
        <v>10.420828279500002</v>
      </c>
    </row>
    <row r="10" spans="1:22" x14ac:dyDescent="0.35">
      <c r="A10" s="298">
        <f t="shared" si="15"/>
        <v>7.5970800000000001</v>
      </c>
      <c r="B10" t="s">
        <v>117</v>
      </c>
      <c r="C10" s="302">
        <v>1.89927</v>
      </c>
      <c r="D10" s="298">
        <v>1.89927</v>
      </c>
      <c r="E10" s="298">
        <v>1.89927</v>
      </c>
      <c r="F10" s="298">
        <v>1.89927</v>
      </c>
      <c r="G10" s="53">
        <f t="shared" si="16"/>
        <v>2.0322189000000002</v>
      </c>
      <c r="H10" s="53">
        <f t="shared" si="0"/>
        <v>2.0322189000000002</v>
      </c>
      <c r="I10" s="53">
        <f t="shared" si="1"/>
        <v>2.0322189000000002</v>
      </c>
      <c r="J10" s="53">
        <f t="shared" si="2"/>
        <v>2.0322189000000002</v>
      </c>
      <c r="K10" s="53">
        <f t="shared" si="3"/>
        <v>2.1744742230000003</v>
      </c>
      <c r="L10" s="53">
        <f t="shared" si="4"/>
        <v>2.1744742230000003</v>
      </c>
      <c r="M10" s="53">
        <f t="shared" si="5"/>
        <v>2.1744742230000003</v>
      </c>
      <c r="N10" s="53">
        <f t="shared" si="6"/>
        <v>2.1744742230000003</v>
      </c>
      <c r="O10" s="53">
        <f t="shared" si="7"/>
        <v>2.3266874186100006</v>
      </c>
      <c r="P10" s="53">
        <f t="shared" si="8"/>
        <v>2.3266874186100006</v>
      </c>
      <c r="Q10" s="53">
        <f t="shared" si="9"/>
        <v>2.3266874186100006</v>
      </c>
      <c r="R10" s="53">
        <f t="shared" si="10"/>
        <v>2.3266874186100006</v>
      </c>
      <c r="S10" s="53">
        <f t="shared" si="11"/>
        <v>2.4895555379127008</v>
      </c>
      <c r="T10" s="53">
        <f t="shared" si="12"/>
        <v>2.4895555379127008</v>
      </c>
      <c r="U10" s="53">
        <f t="shared" si="13"/>
        <v>2.4895555379127008</v>
      </c>
      <c r="V10" s="53">
        <f t="shared" si="14"/>
        <v>2.4895555379127008</v>
      </c>
    </row>
    <row r="11" spans="1:22" x14ac:dyDescent="0.35">
      <c r="A11" s="298">
        <f t="shared" si="15"/>
        <v>14.532119999999999</v>
      </c>
      <c r="B11" t="s">
        <v>387</v>
      </c>
      <c r="C11" s="302">
        <v>3.6330299999999998</v>
      </c>
      <c r="D11" s="298">
        <v>3.6330299999999998</v>
      </c>
      <c r="E11" s="298">
        <v>3.6330299999999998</v>
      </c>
      <c r="F11" s="298">
        <v>3.6330299999999998</v>
      </c>
      <c r="G11" s="53">
        <f t="shared" si="16"/>
        <v>3.8873421000000001</v>
      </c>
      <c r="H11" s="53">
        <f t="shared" si="0"/>
        <v>3.8873421000000001</v>
      </c>
      <c r="I11" s="53">
        <f t="shared" si="1"/>
        <v>3.8873421000000001</v>
      </c>
      <c r="J11" s="53">
        <f t="shared" si="2"/>
        <v>3.8873421000000001</v>
      </c>
      <c r="K11" s="53">
        <f t="shared" si="3"/>
        <v>4.1594560470000008</v>
      </c>
      <c r="L11" s="53">
        <f t="shared" si="4"/>
        <v>4.1594560470000008</v>
      </c>
      <c r="M11" s="53">
        <f t="shared" si="5"/>
        <v>4.1594560470000008</v>
      </c>
      <c r="N11" s="53">
        <f t="shared" si="6"/>
        <v>4.1594560470000008</v>
      </c>
      <c r="O11" s="53">
        <f t="shared" si="7"/>
        <v>4.4506179702900015</v>
      </c>
      <c r="P11" s="53">
        <f t="shared" si="8"/>
        <v>4.4506179702900015</v>
      </c>
      <c r="Q11" s="53">
        <f t="shared" si="9"/>
        <v>4.4506179702900015</v>
      </c>
      <c r="R11" s="53">
        <f t="shared" si="10"/>
        <v>4.4506179702900015</v>
      </c>
      <c r="S11" s="53">
        <f t="shared" si="11"/>
        <v>4.7621612282103021</v>
      </c>
      <c r="T11" s="53">
        <f t="shared" si="12"/>
        <v>4.7621612282103021</v>
      </c>
      <c r="U11" s="53">
        <f t="shared" si="13"/>
        <v>4.7621612282103021</v>
      </c>
      <c r="V11" s="53">
        <f t="shared" si="14"/>
        <v>4.7621612282103021</v>
      </c>
    </row>
    <row r="12" spans="1:22" x14ac:dyDescent="0.35">
      <c r="A12" s="298">
        <f t="shared" si="15"/>
        <v>17.103763200000031</v>
      </c>
      <c r="B12" t="s">
        <v>388</v>
      </c>
      <c r="C12" s="302">
        <v>4.2759408000000079</v>
      </c>
      <c r="D12" s="298">
        <v>4.2759408000000079</v>
      </c>
      <c r="E12" s="298">
        <v>4.2759408000000079</v>
      </c>
      <c r="F12" s="298">
        <v>4.2759408000000079</v>
      </c>
      <c r="G12" s="53">
        <f t="shared" si="16"/>
        <v>4.5752566560000085</v>
      </c>
      <c r="H12" s="53">
        <f t="shared" si="0"/>
        <v>4.5752566560000085</v>
      </c>
      <c r="I12" s="53">
        <f t="shared" si="1"/>
        <v>4.5752566560000085</v>
      </c>
      <c r="J12" s="53">
        <f t="shared" si="2"/>
        <v>4.5752566560000085</v>
      </c>
      <c r="K12" s="53">
        <f t="shared" si="3"/>
        <v>4.8955246219200097</v>
      </c>
      <c r="L12" s="53">
        <f t="shared" si="4"/>
        <v>4.8955246219200097</v>
      </c>
      <c r="M12" s="53">
        <f t="shared" si="5"/>
        <v>4.8955246219200097</v>
      </c>
      <c r="N12" s="53">
        <f t="shared" si="6"/>
        <v>4.8955246219200097</v>
      </c>
      <c r="O12" s="53">
        <f t="shared" si="7"/>
        <v>5.2382113454544106</v>
      </c>
      <c r="P12" s="53">
        <f t="shared" si="8"/>
        <v>5.2382113454544106</v>
      </c>
      <c r="Q12" s="53">
        <f t="shared" si="9"/>
        <v>5.2382113454544106</v>
      </c>
      <c r="R12" s="53">
        <f t="shared" si="10"/>
        <v>5.2382113454544106</v>
      </c>
      <c r="S12" s="53">
        <f t="shared" si="11"/>
        <v>5.6048861396362195</v>
      </c>
      <c r="T12" s="53">
        <f t="shared" si="12"/>
        <v>5.6048861396362195</v>
      </c>
      <c r="U12" s="53">
        <f t="shared" si="13"/>
        <v>5.6048861396362195</v>
      </c>
      <c r="V12" s="53">
        <f t="shared" si="14"/>
        <v>5.6048861396362195</v>
      </c>
    </row>
    <row r="13" spans="1:22" x14ac:dyDescent="0.35">
      <c r="A13" s="298">
        <f t="shared" si="15"/>
        <v>0</v>
      </c>
      <c r="B13" t="s">
        <v>392</v>
      </c>
      <c r="C13" s="302"/>
      <c r="D13" s="298"/>
      <c r="E13" s="298"/>
      <c r="F13" s="298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x14ac:dyDescent="0.35">
      <c r="A14" s="298">
        <f t="shared" si="15"/>
        <v>40</v>
      </c>
      <c r="B14" t="s">
        <v>389</v>
      </c>
      <c r="C14" s="302">
        <v>10</v>
      </c>
      <c r="D14" s="298">
        <v>10</v>
      </c>
      <c r="E14" s="298">
        <v>10</v>
      </c>
      <c r="F14" s="298">
        <v>10</v>
      </c>
      <c r="G14" s="30">
        <f t="shared" si="16"/>
        <v>10.700000000000001</v>
      </c>
      <c r="H14" s="30">
        <f t="shared" si="0"/>
        <v>10.700000000000001</v>
      </c>
      <c r="I14" s="30">
        <f t="shared" si="1"/>
        <v>10.700000000000001</v>
      </c>
      <c r="J14" s="30">
        <f t="shared" si="2"/>
        <v>10.700000000000001</v>
      </c>
      <c r="K14" s="53">
        <f t="shared" si="3"/>
        <v>11.449000000000002</v>
      </c>
      <c r="L14" s="53">
        <f t="shared" si="4"/>
        <v>11.449000000000002</v>
      </c>
      <c r="M14" s="53">
        <f t="shared" si="5"/>
        <v>11.449000000000002</v>
      </c>
      <c r="N14" s="53">
        <f t="shared" si="6"/>
        <v>11.449000000000002</v>
      </c>
      <c r="O14" s="53">
        <f t="shared" si="7"/>
        <v>12.250430000000003</v>
      </c>
      <c r="P14" s="53">
        <f t="shared" si="8"/>
        <v>12.250430000000003</v>
      </c>
      <c r="Q14" s="53">
        <f t="shared" si="9"/>
        <v>12.250430000000003</v>
      </c>
      <c r="R14" s="53">
        <f t="shared" si="10"/>
        <v>12.250430000000003</v>
      </c>
      <c r="S14" s="53">
        <f t="shared" si="11"/>
        <v>13.107960100000005</v>
      </c>
      <c r="T14" s="53">
        <f t="shared" si="12"/>
        <v>13.107960100000005</v>
      </c>
      <c r="U14" s="53">
        <f t="shared" si="13"/>
        <v>13.107960100000005</v>
      </c>
      <c r="V14" s="53">
        <f t="shared" si="14"/>
        <v>13.107960100000005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A-2 F</vt:lpstr>
      <vt:lpstr>P&amp;L_New Nilgiris</vt:lpstr>
      <vt:lpstr>Balance sheet</vt:lpstr>
      <vt:lpstr>Cash flow</vt:lpstr>
      <vt:lpstr>GM Buildup</vt:lpstr>
      <vt:lpstr>Sales Buildup</vt:lpstr>
      <vt:lpstr>Bottomup Sales</vt:lpstr>
      <vt:lpstr>City Wise working</vt:lpstr>
      <vt:lpstr>Admin Expenses</vt:lpstr>
      <vt:lpstr>Backup working &gt;&gt;&gt;</vt:lpstr>
      <vt:lpstr>P&amp;L</vt:lpstr>
      <vt:lpstr>Franchise store Details</vt:lpstr>
      <vt:lpstr>Other operating cost - No 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 Kumar</dc:creator>
  <cp:lastModifiedBy>Pankaj Kumar</cp:lastModifiedBy>
  <cp:lastPrinted>2022-12-01T13:22:25Z</cp:lastPrinted>
  <dcterms:created xsi:type="dcterms:W3CDTF">2022-11-25T04:45:26Z</dcterms:created>
  <dcterms:modified xsi:type="dcterms:W3CDTF">2023-01-06T10:12:51Z</dcterms:modified>
</cp:coreProperties>
</file>