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3"/>
  </bookViews>
  <sheets>
    <sheet name="Sheet1" sheetId="1" r:id="rId1"/>
    <sheet name="Sheet2" sheetId="2" r:id="rId2"/>
    <sheet name="Sheet3" sheetId="3" r:id="rId3"/>
    <sheet name="Sheet4" sheetId="4" r:id="rId4"/>
  </sheets>
  <externalReferences>
    <externalReference r:id="rId5"/>
  </externalReferences>
  <calcPr calcId="152511"/>
</workbook>
</file>

<file path=xl/calcChain.xml><?xml version="1.0" encoding="utf-8"?>
<calcChain xmlns="http://schemas.openxmlformats.org/spreadsheetml/2006/main">
  <c r="J18" i="3" l="1"/>
  <c r="L18" i="3"/>
  <c r="L17" i="3"/>
  <c r="L16" i="3"/>
  <c r="L15" i="3"/>
  <c r="L14" i="3"/>
  <c r="L13" i="3" l="1"/>
  <c r="N19" i="2"/>
  <c r="K10" i="3"/>
  <c r="K9" i="3"/>
  <c r="L9" i="3" s="1"/>
  <c r="K8" i="3"/>
  <c r="L8" i="3" s="1"/>
  <c r="K7" i="3"/>
  <c r="K5" i="3"/>
  <c r="J10" i="3"/>
  <c r="J9" i="3"/>
  <c r="J8" i="3"/>
  <c r="J7" i="3"/>
  <c r="J6" i="3"/>
  <c r="K6" i="3" s="1"/>
  <c r="J5" i="3"/>
  <c r="J4" i="3"/>
  <c r="K4" i="3" s="1"/>
  <c r="H10" i="3"/>
  <c r="H9" i="3"/>
  <c r="H8" i="3"/>
  <c r="H7" i="3"/>
  <c r="H6" i="3"/>
  <c r="H5" i="3"/>
  <c r="H4" i="3"/>
  <c r="L7" i="3" l="1"/>
  <c r="L5" i="3"/>
  <c r="L6" i="3"/>
  <c r="L4" i="3"/>
  <c r="K11" i="3"/>
  <c r="J11" i="3"/>
  <c r="L10" i="3"/>
  <c r="K15" i="1"/>
  <c r="Q28" i="4"/>
  <c r="Q29" i="4" s="1"/>
  <c r="Q30" i="4" s="1"/>
  <c r="Q23" i="4"/>
  <c r="Q24" i="4" s="1"/>
  <c r="R24" i="4" s="1"/>
  <c r="R23" i="4"/>
  <c r="L11" i="3" l="1"/>
  <c r="K16" i="1"/>
  <c r="K17" i="1" s="1"/>
  <c r="Q22" i="4"/>
  <c r="N22" i="4"/>
  <c r="O22" i="4" s="1"/>
  <c r="P22" i="4" s="1"/>
  <c r="R22" i="4" s="1"/>
  <c r="Q16" i="4"/>
  <c r="Q5" i="4"/>
  <c r="O16" i="4"/>
  <c r="M16" i="4"/>
  <c r="N16" i="4" s="1"/>
  <c r="P5" i="4"/>
  <c r="N5" i="4"/>
  <c r="M5" i="4"/>
  <c r="O5" i="4"/>
  <c r="P16" i="4" l="1"/>
  <c r="Q8" i="2"/>
  <c r="O7" i="2"/>
  <c r="Q7" i="2"/>
  <c r="O11" i="2"/>
  <c r="E11" i="3" l="1"/>
  <c r="E10" i="3"/>
  <c r="E9" i="3"/>
  <c r="E8" i="3"/>
  <c r="E7" i="3"/>
  <c r="E6" i="3"/>
  <c r="E5" i="3"/>
  <c r="E4" i="3"/>
  <c r="D11" i="3"/>
  <c r="L11" i="1"/>
  <c r="J14" i="1"/>
  <c r="I14" i="1"/>
  <c r="I22" i="1"/>
  <c r="I20" i="1"/>
  <c r="H20" i="1"/>
  <c r="G20" i="1"/>
  <c r="F20" i="1"/>
  <c r="F12" i="1"/>
  <c r="I12" i="1" l="1"/>
  <c r="H12" i="1"/>
  <c r="G12" i="1"/>
  <c r="F11" i="1"/>
  <c r="H11" i="1"/>
  <c r="G11" i="1"/>
</calcChain>
</file>

<file path=xl/sharedStrings.xml><?xml version="1.0" encoding="utf-8"?>
<sst xmlns="http://schemas.openxmlformats.org/spreadsheetml/2006/main" count="103" uniqueCount="69">
  <si>
    <t>Shri Subodh Kumar Datta</t>
  </si>
  <si>
    <t>Ayursundra Health Care Pvt. Ltd.</t>
  </si>
  <si>
    <t>Kathas</t>
  </si>
  <si>
    <t>Dag No.</t>
  </si>
  <si>
    <t>K.P. Patta No.</t>
  </si>
  <si>
    <t>Vil-Betkuchi, Mouza-Beltola, Dis-Kamrup</t>
  </si>
  <si>
    <t>Hospital Usage</t>
  </si>
  <si>
    <t>Deed 1</t>
  </si>
  <si>
    <t>Deed 2</t>
  </si>
  <si>
    <t>Md. Anowar Hussain &amp; Shri Dandi Ram Das</t>
  </si>
  <si>
    <t>Lechas</t>
  </si>
  <si>
    <t>Deed 3</t>
  </si>
  <si>
    <t>Deed 4</t>
  </si>
  <si>
    <t>Deed 5</t>
  </si>
  <si>
    <t>Deed 6</t>
  </si>
  <si>
    <t>Smt. Sabita Devi</t>
  </si>
  <si>
    <t>Shio Dayal Chauhan</t>
  </si>
  <si>
    <t>Kusum Das</t>
  </si>
  <si>
    <t>Ram Krishna Sarma</t>
  </si>
  <si>
    <t>Deed 7</t>
  </si>
  <si>
    <t>Deed 8</t>
  </si>
  <si>
    <t>Birendra Kumar Pathak</t>
  </si>
  <si>
    <t>Madan Ch. Nath</t>
  </si>
  <si>
    <t>Bigha</t>
  </si>
  <si>
    <t>Ground</t>
  </si>
  <si>
    <t>first</t>
  </si>
  <si>
    <t>second</t>
  </si>
  <si>
    <t>Service</t>
  </si>
  <si>
    <t>third</t>
  </si>
  <si>
    <t>Basement</t>
  </si>
  <si>
    <t>Stilt Floor</t>
  </si>
  <si>
    <t>Sqm</t>
  </si>
  <si>
    <t>Floor</t>
  </si>
  <si>
    <t>S. No.</t>
  </si>
  <si>
    <t>Area</t>
  </si>
  <si>
    <t>FAR</t>
  </si>
  <si>
    <t>Ground Coverage</t>
  </si>
  <si>
    <t>Permissable</t>
  </si>
  <si>
    <t>Achieved</t>
  </si>
  <si>
    <t>Katha</t>
  </si>
  <si>
    <t>Amount</t>
  </si>
  <si>
    <t>sqft</t>
  </si>
  <si>
    <t>sqm</t>
  </si>
  <si>
    <t>Rate/sqm</t>
  </si>
  <si>
    <t>https://www.magicbricks.com/propertyDetails/12-Kottah-Commercial-Land-FOR-Sale-Pamohi-in-Guwahati&amp;id=4d423730313638363437&amp;dynamicListing=N&amp;budget=0&amp;area=0&amp;seats=0&amp;isCoworkingSearch=Y</t>
  </si>
  <si>
    <t>per katha</t>
  </si>
  <si>
    <t>acre</t>
  </si>
  <si>
    <t>katha</t>
  </si>
  <si>
    <t>https://medium.com/@indicompany74/hospital-land-for-sale-in-lokhra-guwahati-5-acres-4ed23ce90cfe</t>
  </si>
  <si>
    <t>Base Rate</t>
  </si>
  <si>
    <t>Per Katha</t>
  </si>
  <si>
    <t>Asking Discount</t>
  </si>
  <si>
    <t>Location Disocunt</t>
  </si>
  <si>
    <t>Or Say</t>
  </si>
  <si>
    <t>Description</t>
  </si>
  <si>
    <t>Asking Rate</t>
  </si>
  <si>
    <t>UOM</t>
  </si>
  <si>
    <t>per sqm</t>
  </si>
  <si>
    <t>persqft</t>
  </si>
  <si>
    <t>CoC</t>
  </si>
  <si>
    <t>GCRC</t>
  </si>
  <si>
    <t>Dep.</t>
  </si>
  <si>
    <t>DRC</t>
  </si>
  <si>
    <t>Boundary</t>
  </si>
  <si>
    <t>Land</t>
  </si>
  <si>
    <t>BUA</t>
  </si>
  <si>
    <t>sq.ft.</t>
  </si>
  <si>
    <t>P&amp;M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</si>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</sst>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_ ;_ * \-#,##0_ ;_ * &quot;-&quot;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43" fontId="0" fillId="0" borderId="0" xfId="1" applyFont="1"/>
    <xf numFmtId="43" fontId="0" fillId="0" borderId="0" xfId="0" applyNumberFormat="1"/>
    <xf numFmtId="164" fontId="0" fillId="0" borderId="0" xfId="0" applyNumberFormat="1"/>
    <xf numFmtId="43" fontId="0" fillId="0" borderId="0" xfId="1" applyNumberFormat="1" applyFont="1"/>
    <xf numFmtId="0" fontId="0" fillId="0" borderId="0" xfId="0" applyAlignment="1">
      <alignment horizontal="center" vertical="center"/>
    </xf>
    <xf numFmtId="9" fontId="0" fillId="0" borderId="0" xfId="2" applyFont="1"/>
    <xf numFmtId="0" fontId="2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164" fontId="3" fillId="2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64" fontId="2" fillId="0" borderId="0" xfId="1" applyNumberFormat="1" applyFont="1"/>
    <xf numFmtId="10" fontId="2" fillId="0" borderId="0" xfId="2" applyNumberFormat="1" applyFont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239106</xdr:colOff>
      <xdr:row>22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848" t="12935" r="12819" b="4986"/>
        <a:stretch/>
      </xdr:blipFill>
      <xdr:spPr>
        <a:xfrm>
          <a:off x="0" y="0"/>
          <a:ext cx="6944706" cy="4200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542925</xdr:colOff>
      <xdr:row>13</xdr:row>
      <xdr:rowOff>142875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57" t="22342" r="31796" b="27354"/>
        <a:stretch/>
      </xdr:blipFill>
      <xdr:spPr>
        <a:xfrm>
          <a:off x="0" y="0"/>
          <a:ext cx="541972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123825</xdr:rowOff>
    </xdr:from>
    <xdr:to>
      <xdr:col>9</xdr:col>
      <xdr:colOff>80005</xdr:colOff>
      <xdr:row>20</xdr:row>
      <xdr:rowOff>104775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466" t="43509" r="27107" b="29444"/>
        <a:stretch/>
      </xdr:blipFill>
      <xdr:spPr>
        <a:xfrm>
          <a:off x="0" y="2600325"/>
          <a:ext cx="5566405" cy="1314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%20Progress%20Files\Abhinav%20Chaturvedi\VIS(2023-24)-PL496-411-628_Guwahati%20Hospital\Report\F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M"/>
      <sheetName val="Cat-4"/>
      <sheetName val="Sheet1"/>
    </sheetNames>
    <sheetDataSet>
      <sheetData sheetId="0">
        <row r="8">
          <cell r="X8">
            <v>71110826.260786965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2"/>
  <sheetViews>
    <sheetView workbookViewId="0">
      <selection activeCell="F17" sqref="F17"/>
    </sheetView>
  </sheetViews>
  <sheetFormatPr defaultRowHeight="15" x14ac:dyDescent="0.25"/>
  <cols>
    <col min="1" max="1" width="7.140625" bestFit="1" customWidth="1"/>
    <col min="2" max="2" width="6" bestFit="1" customWidth="1"/>
    <col min="3" max="3" width="10.42578125" bestFit="1" customWidth="1"/>
    <col min="4" max="4" width="39.140625" bestFit="1" customWidth="1"/>
    <col min="5" max="5" width="30.140625" bestFit="1" customWidth="1"/>
    <col min="6" max="6" width="5.85546875" bestFit="1" customWidth="1"/>
    <col min="7" max="8" width="6.85546875" bestFit="1" customWidth="1"/>
    <col min="9" max="9" width="7.85546875" bestFit="1" customWidth="1"/>
    <col min="10" max="10" width="13.140625" customWidth="1"/>
    <col min="11" max="11" width="38" customWidth="1"/>
    <col min="12" max="12" width="10" style="2" bestFit="1" customWidth="1"/>
    <col min="13" max="13" width="14.140625" bestFit="1" customWidth="1"/>
  </cols>
  <sheetData>
    <row r="2" spans="1:13" x14ac:dyDescent="0.25">
      <c r="F2" t="s">
        <v>23</v>
      </c>
      <c r="G2" t="s">
        <v>2</v>
      </c>
      <c r="H2" t="s">
        <v>10</v>
      </c>
      <c r="I2" t="s">
        <v>3</v>
      </c>
      <c r="J2" t="s">
        <v>4</v>
      </c>
    </row>
    <row r="3" spans="1:13" x14ac:dyDescent="0.25">
      <c r="A3" t="s">
        <v>7</v>
      </c>
      <c r="B3">
        <v>10643</v>
      </c>
      <c r="C3" s="1">
        <v>40063</v>
      </c>
      <c r="D3" t="s">
        <v>0</v>
      </c>
      <c r="E3" t="s">
        <v>1</v>
      </c>
      <c r="F3">
        <v>0</v>
      </c>
      <c r="G3">
        <v>3</v>
      </c>
      <c r="H3">
        <v>0</v>
      </c>
      <c r="I3">
        <v>139</v>
      </c>
      <c r="J3">
        <v>180</v>
      </c>
      <c r="K3" t="s">
        <v>5</v>
      </c>
      <c r="L3" s="2">
        <v>390000</v>
      </c>
      <c r="M3" t="s">
        <v>6</v>
      </c>
    </row>
    <row r="4" spans="1:13" x14ac:dyDescent="0.25">
      <c r="A4" t="s">
        <v>8</v>
      </c>
      <c r="B4">
        <v>10689</v>
      </c>
      <c r="C4" s="1">
        <v>40063</v>
      </c>
      <c r="D4" t="s">
        <v>9</v>
      </c>
      <c r="E4" t="s">
        <v>1</v>
      </c>
      <c r="F4">
        <v>0</v>
      </c>
      <c r="G4">
        <v>3</v>
      </c>
      <c r="H4">
        <v>13</v>
      </c>
      <c r="I4">
        <v>140</v>
      </c>
      <c r="J4">
        <v>180</v>
      </c>
      <c r="K4" t="s">
        <v>5</v>
      </c>
      <c r="L4" s="2">
        <v>474500</v>
      </c>
      <c r="M4" t="s">
        <v>6</v>
      </c>
    </row>
    <row r="5" spans="1:13" x14ac:dyDescent="0.25">
      <c r="A5" t="s">
        <v>11</v>
      </c>
      <c r="B5">
        <v>10642</v>
      </c>
      <c r="C5" s="1">
        <v>40063</v>
      </c>
      <c r="D5" t="s">
        <v>15</v>
      </c>
      <c r="E5" t="s">
        <v>1</v>
      </c>
      <c r="F5">
        <v>0</v>
      </c>
      <c r="G5">
        <v>1</v>
      </c>
      <c r="H5">
        <v>10</v>
      </c>
      <c r="I5">
        <v>139</v>
      </c>
      <c r="J5">
        <v>180</v>
      </c>
      <c r="K5" t="s">
        <v>5</v>
      </c>
      <c r="L5" s="2">
        <v>195000</v>
      </c>
      <c r="M5" t="s">
        <v>6</v>
      </c>
    </row>
    <row r="6" spans="1:13" x14ac:dyDescent="0.25">
      <c r="A6" t="s">
        <v>12</v>
      </c>
      <c r="B6">
        <v>10649</v>
      </c>
      <c r="C6" s="1">
        <v>40063</v>
      </c>
      <c r="D6" t="s">
        <v>16</v>
      </c>
      <c r="E6" t="s">
        <v>1</v>
      </c>
      <c r="F6">
        <v>0</v>
      </c>
      <c r="G6">
        <v>3</v>
      </c>
      <c r="H6">
        <v>0</v>
      </c>
      <c r="I6">
        <v>141</v>
      </c>
      <c r="J6">
        <v>180</v>
      </c>
      <c r="K6" t="s">
        <v>5</v>
      </c>
      <c r="L6" s="2">
        <v>390000</v>
      </c>
      <c r="M6" t="s">
        <v>6</v>
      </c>
    </row>
    <row r="7" spans="1:13" x14ac:dyDescent="0.25">
      <c r="A7" t="s">
        <v>13</v>
      </c>
      <c r="B7">
        <v>10646</v>
      </c>
      <c r="C7" s="1">
        <v>40063</v>
      </c>
      <c r="D7" t="s">
        <v>17</v>
      </c>
      <c r="E7" t="s">
        <v>1</v>
      </c>
      <c r="F7">
        <v>0</v>
      </c>
      <c r="G7">
        <v>1</v>
      </c>
      <c r="H7">
        <v>10</v>
      </c>
      <c r="I7">
        <v>141</v>
      </c>
      <c r="J7">
        <v>180</v>
      </c>
      <c r="K7" t="s">
        <v>5</v>
      </c>
      <c r="L7" s="2">
        <v>195000</v>
      </c>
      <c r="M7" t="s">
        <v>6</v>
      </c>
    </row>
    <row r="8" spans="1:13" x14ac:dyDescent="0.25">
      <c r="A8" t="s">
        <v>14</v>
      </c>
      <c r="B8">
        <v>10644</v>
      </c>
      <c r="C8" s="1">
        <v>40063</v>
      </c>
      <c r="D8" t="s">
        <v>18</v>
      </c>
      <c r="E8" t="s">
        <v>1</v>
      </c>
      <c r="F8">
        <v>0</v>
      </c>
      <c r="G8">
        <v>1</v>
      </c>
      <c r="H8">
        <v>10</v>
      </c>
      <c r="I8">
        <v>139</v>
      </c>
      <c r="J8">
        <v>180</v>
      </c>
      <c r="K8" t="s">
        <v>5</v>
      </c>
      <c r="L8" s="2">
        <v>195000</v>
      </c>
      <c r="M8" t="s">
        <v>6</v>
      </c>
    </row>
    <row r="9" spans="1:13" x14ac:dyDescent="0.25">
      <c r="A9" t="s">
        <v>19</v>
      </c>
      <c r="B9">
        <v>10648</v>
      </c>
      <c r="C9" s="1">
        <v>40063</v>
      </c>
      <c r="D9" t="s">
        <v>21</v>
      </c>
      <c r="E9" t="s">
        <v>1</v>
      </c>
      <c r="F9">
        <v>2</v>
      </c>
      <c r="G9">
        <v>0</v>
      </c>
      <c r="H9">
        <v>0</v>
      </c>
      <c r="I9">
        <v>139</v>
      </c>
      <c r="J9">
        <v>180</v>
      </c>
      <c r="K9" t="s">
        <v>5</v>
      </c>
      <c r="L9" s="2">
        <v>1300000</v>
      </c>
      <c r="M9" t="s">
        <v>6</v>
      </c>
    </row>
    <row r="10" spans="1:13" x14ac:dyDescent="0.25">
      <c r="A10" t="s">
        <v>20</v>
      </c>
      <c r="B10">
        <v>10647</v>
      </c>
      <c r="C10" s="1">
        <v>40063</v>
      </c>
      <c r="D10" t="s">
        <v>22</v>
      </c>
      <c r="E10" t="s">
        <v>1</v>
      </c>
      <c r="F10">
        <v>0</v>
      </c>
      <c r="G10">
        <v>2</v>
      </c>
      <c r="H10">
        <v>10</v>
      </c>
      <c r="I10">
        <v>139</v>
      </c>
      <c r="J10">
        <v>180</v>
      </c>
      <c r="K10" t="s">
        <v>5</v>
      </c>
      <c r="L10" s="2">
        <v>325000</v>
      </c>
      <c r="M10" t="s">
        <v>6</v>
      </c>
    </row>
    <row r="11" spans="1:13" x14ac:dyDescent="0.25">
      <c r="F11">
        <f>SUM(F3:F10)</f>
        <v>2</v>
      </c>
      <c r="G11">
        <f>SUM(G3:G10)</f>
        <v>14</v>
      </c>
      <c r="H11">
        <f>SUM(H3:H10)</f>
        <v>53</v>
      </c>
      <c r="L11" s="2">
        <f>SUM(L3:L10)</f>
        <v>3464500</v>
      </c>
    </row>
    <row r="12" spans="1:13" x14ac:dyDescent="0.25">
      <c r="F12">
        <f>F11*5</f>
        <v>10</v>
      </c>
      <c r="G12">
        <f>G11</f>
        <v>14</v>
      </c>
      <c r="H12">
        <f>H11/20</f>
        <v>2.65</v>
      </c>
      <c r="I12">
        <f>SUM(F12:H12)</f>
        <v>26.65</v>
      </c>
    </row>
    <row r="13" spans="1:13" x14ac:dyDescent="0.25">
      <c r="I13" s="2">
        <v>2880</v>
      </c>
    </row>
    <row r="14" spans="1:13" x14ac:dyDescent="0.25">
      <c r="H14" s="2"/>
      <c r="I14" s="2">
        <f>I13*I12</f>
        <v>76752</v>
      </c>
      <c r="J14" s="2">
        <f>I14/10.764</f>
        <v>7130.434782608696</v>
      </c>
    </row>
    <row r="15" spans="1:13" x14ac:dyDescent="0.25">
      <c r="H15" s="6"/>
      <c r="I15" s="2"/>
      <c r="K15" s="2">
        <f>Sheet4!Q31</f>
        <v>5800000</v>
      </c>
    </row>
    <row r="16" spans="1:13" x14ac:dyDescent="0.25">
      <c r="E16" s="3"/>
      <c r="H16" s="2"/>
      <c r="I16" s="2"/>
      <c r="K16" s="5">
        <f>K15*I12</f>
        <v>154570000</v>
      </c>
    </row>
    <row r="17" spans="5:11" x14ac:dyDescent="0.25">
      <c r="E17" s="4"/>
      <c r="I17" s="5"/>
      <c r="K17" s="2">
        <f>K16/I14</f>
        <v>2013.8888888888889</v>
      </c>
    </row>
    <row r="18" spans="5:11" x14ac:dyDescent="0.25">
      <c r="I18" s="2"/>
    </row>
    <row r="19" spans="5:11" x14ac:dyDescent="0.25">
      <c r="F19">
        <v>2</v>
      </c>
      <c r="G19">
        <v>14</v>
      </c>
      <c r="H19">
        <v>53</v>
      </c>
    </row>
    <row r="20" spans="5:11" x14ac:dyDescent="0.25">
      <c r="F20">
        <f>F19*20</f>
        <v>40</v>
      </c>
      <c r="G20">
        <f>G19</f>
        <v>14</v>
      </c>
      <c r="H20">
        <f>H19/20</f>
        <v>2.65</v>
      </c>
      <c r="I20">
        <f>SUM(F20:H20)</f>
        <v>56.65</v>
      </c>
    </row>
    <row r="21" spans="5:11" x14ac:dyDescent="0.25">
      <c r="I21">
        <v>126.44</v>
      </c>
    </row>
    <row r="22" spans="5:11" x14ac:dyDescent="0.25">
      <c r="I22" s="2">
        <f>I21*I20</f>
        <v>7162.826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2:Q19"/>
  <sheetViews>
    <sheetView workbookViewId="0">
      <selection activeCell="N19" sqref="N19"/>
    </sheetView>
  </sheetViews>
  <sheetFormatPr defaultRowHeight="15" x14ac:dyDescent="0.25"/>
  <cols>
    <col min="14" max="14" width="16.42578125" bestFit="1" customWidth="1"/>
    <col min="15" max="15" width="10" style="2" bestFit="1" customWidth="1"/>
    <col min="16" max="16" width="17.42578125" style="2" bestFit="1" customWidth="1"/>
    <col min="17" max="17" width="10" style="2" bestFit="1" customWidth="1"/>
  </cols>
  <sheetData>
    <row r="2" spans="14:17" x14ac:dyDescent="0.25">
      <c r="N2" s="16" t="s">
        <v>37</v>
      </c>
      <c r="O2" s="16"/>
      <c r="P2" s="17" t="s">
        <v>38</v>
      </c>
      <c r="Q2" s="17"/>
    </row>
    <row r="3" spans="14:17" x14ac:dyDescent="0.25">
      <c r="N3" t="s">
        <v>34</v>
      </c>
      <c r="O3" s="2">
        <v>7123.9</v>
      </c>
    </row>
    <row r="4" spans="14:17" x14ac:dyDescent="0.25">
      <c r="N4" t="s">
        <v>35</v>
      </c>
      <c r="O4" s="2">
        <v>10685.85</v>
      </c>
      <c r="P4" s="2" t="s">
        <v>35</v>
      </c>
      <c r="Q4" s="2">
        <v>10667.93</v>
      </c>
    </row>
    <row r="5" spans="14:17" x14ac:dyDescent="0.25">
      <c r="N5" t="s">
        <v>36</v>
      </c>
      <c r="O5" s="2">
        <v>2833.6</v>
      </c>
      <c r="P5" s="2" t="s">
        <v>36</v>
      </c>
      <c r="Q5" s="2">
        <v>2819.67</v>
      </c>
    </row>
    <row r="7" spans="14:17" x14ac:dyDescent="0.25">
      <c r="O7" s="8">
        <f>O5/O3</f>
        <v>0.3977596541220399</v>
      </c>
      <c r="Q7" s="3">
        <f>Q4/O3</f>
        <v>1.4974845239265011</v>
      </c>
    </row>
    <row r="8" spans="14:17" x14ac:dyDescent="0.25">
      <c r="Q8" s="8">
        <f>Q5/O3</f>
        <v>0.39580426451803086</v>
      </c>
    </row>
    <row r="11" spans="14:17" x14ac:dyDescent="0.25">
      <c r="O11" s="3">
        <f>O4/O3</f>
        <v>1.5000000000000002</v>
      </c>
    </row>
    <row r="18" spans="14:14" x14ac:dyDescent="0.25">
      <c r="N18">
        <v>400</v>
      </c>
    </row>
    <row r="19" spans="14:14" x14ac:dyDescent="0.25">
      <c r="N19" s="2">
        <f>N18*4000</f>
        <v>1600000</v>
      </c>
    </row>
  </sheetData>
  <mergeCells count="2">
    <mergeCell ref="N2:O2"/>
    <mergeCell ref="P2:Q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8"/>
  <sheetViews>
    <sheetView workbookViewId="0">
      <selection activeCell="F19" sqref="F19"/>
    </sheetView>
  </sheetViews>
  <sheetFormatPr defaultRowHeight="15" x14ac:dyDescent="0.25"/>
  <cols>
    <col min="2" max="2" width="9.28515625" style="7" customWidth="1"/>
    <col min="3" max="3" width="14.28515625" customWidth="1"/>
    <col min="4" max="4" width="10.7109375" style="2" customWidth="1"/>
    <col min="5" max="5" width="15.28515625" style="2" bestFit="1" customWidth="1"/>
    <col min="7" max="7" width="11" style="2" bestFit="1" customWidth="1"/>
    <col min="8" max="8" width="10" style="2" bestFit="1" customWidth="1"/>
    <col min="9" max="9" width="10" bestFit="1" customWidth="1"/>
    <col min="10" max="11" width="14.28515625" style="2" bestFit="1" customWidth="1"/>
    <col min="12" max="12" width="15.28515625" style="2" bestFit="1" customWidth="1"/>
  </cols>
  <sheetData>
    <row r="2" spans="2:12 16384:16384" x14ac:dyDescent="0.25">
      <c r="D2" s="19" t="s">
        <v>65</v>
      </c>
      <c r="E2" s="19"/>
      <c r="K2" s="2">
        <v>2023</v>
      </c>
    </row>
    <row r="3" spans="2:12 16384:16384" x14ac:dyDescent="0.25">
      <c r="B3" s="12" t="s">
        <v>33</v>
      </c>
      <c r="C3" s="14" t="s">
        <v>32</v>
      </c>
      <c r="D3" s="12" t="s">
        <v>31</v>
      </c>
      <c r="E3" s="12" t="s">
        <v>66</v>
      </c>
      <c r="F3" s="14"/>
      <c r="G3" s="13" t="s">
        <v>57</v>
      </c>
      <c r="H3" s="13" t="s">
        <v>58</v>
      </c>
      <c r="I3" s="14" t="s">
        <v>59</v>
      </c>
      <c r="J3" s="15" t="s">
        <v>60</v>
      </c>
      <c r="K3" s="15" t="s">
        <v>61</v>
      </c>
      <c r="L3" s="15" t="s">
        <v>62</v>
      </c>
    </row>
    <row r="4" spans="2:12 16384:16384" x14ac:dyDescent="0.25">
      <c r="B4" s="7">
        <v>1</v>
      </c>
      <c r="C4" t="s">
        <v>30</v>
      </c>
      <c r="D4" s="2">
        <v>2880.53</v>
      </c>
      <c r="E4" s="2">
        <f>D4*10.764</f>
        <v>31006.02492</v>
      </c>
      <c r="F4">
        <v>2016</v>
      </c>
      <c r="G4" s="2">
        <v>32370</v>
      </c>
      <c r="H4" s="2">
        <f>G4/10.764</f>
        <v>3007.2463768115945</v>
      </c>
      <c r="I4" s="2">
        <v>1600</v>
      </c>
      <c r="J4" s="2">
        <f>I4*E4</f>
        <v>49609639.872000001</v>
      </c>
      <c r="K4" s="2">
        <f>J4*($K$2-F4)*1.58%</f>
        <v>5486826.1698432006</v>
      </c>
      <c r="L4" s="2">
        <f>J4-K4</f>
        <v>44122813.702156797</v>
      </c>
    </row>
    <row r="5" spans="2:12 16384:16384" x14ac:dyDescent="0.25">
      <c r="B5" s="7">
        <v>2</v>
      </c>
      <c r="C5" t="s">
        <v>24</v>
      </c>
      <c r="D5" s="2">
        <v>2819.67</v>
      </c>
      <c r="E5" s="2">
        <f t="shared" ref="E5:E10" si="0">D5*10.764</f>
        <v>30350.927879999999</v>
      </c>
      <c r="F5">
        <v>2016</v>
      </c>
      <c r="G5" s="2">
        <v>32370</v>
      </c>
      <c r="H5" s="2">
        <f t="shared" ref="H5:H10" si="1">G5/10.764</f>
        <v>3007.2463768115945</v>
      </c>
      <c r="I5" s="2">
        <v>2200</v>
      </c>
      <c r="J5" s="2">
        <f t="shared" ref="J5:J10" si="2">I5*E5</f>
        <v>66772041.335999995</v>
      </c>
      <c r="K5" s="2">
        <f t="shared" ref="K5:K10" si="3">J5*($K$2-F5)*1.58%</f>
        <v>7384987.7717616009</v>
      </c>
      <c r="L5" s="2">
        <f t="shared" ref="L5:L10" si="4">J5-K5</f>
        <v>59387053.564238392</v>
      </c>
    </row>
    <row r="6" spans="2:12 16384:16384" x14ac:dyDescent="0.25">
      <c r="B6" s="7">
        <v>3</v>
      </c>
      <c r="C6" t="s">
        <v>25</v>
      </c>
      <c r="D6" s="2">
        <v>2767.57</v>
      </c>
      <c r="E6" s="2">
        <f t="shared" si="0"/>
        <v>29790.123479999998</v>
      </c>
      <c r="F6">
        <v>2016</v>
      </c>
      <c r="G6" s="2">
        <v>32370</v>
      </c>
      <c r="H6" s="2">
        <f t="shared" si="1"/>
        <v>3007.2463768115945</v>
      </c>
      <c r="I6" s="2">
        <v>2200</v>
      </c>
      <c r="J6" s="2">
        <f t="shared" si="2"/>
        <v>65538271.655999996</v>
      </c>
      <c r="K6" s="2">
        <f t="shared" si="3"/>
        <v>7248532.8451536</v>
      </c>
      <c r="L6" s="2">
        <f t="shared" si="4"/>
        <v>58289738.810846396</v>
      </c>
    </row>
    <row r="7" spans="2:12 16384:16384" x14ac:dyDescent="0.25">
      <c r="B7" s="7">
        <v>4</v>
      </c>
      <c r="C7" t="s">
        <v>26</v>
      </c>
      <c r="D7" s="2">
        <v>2461.7600000000002</v>
      </c>
      <c r="E7" s="2">
        <f t="shared" si="0"/>
        <v>26498.38464</v>
      </c>
      <c r="F7">
        <v>2016</v>
      </c>
      <c r="G7" s="2">
        <v>32370</v>
      </c>
      <c r="H7" s="2">
        <f t="shared" si="1"/>
        <v>3007.2463768115945</v>
      </c>
      <c r="I7" s="2">
        <v>2200</v>
      </c>
      <c r="J7" s="2">
        <f t="shared" si="2"/>
        <v>58296446.207999997</v>
      </c>
      <c r="K7" s="2">
        <f t="shared" si="3"/>
        <v>6447586.9506048001</v>
      </c>
      <c r="L7" s="2">
        <f t="shared" si="4"/>
        <v>51848859.257395193</v>
      </c>
    </row>
    <row r="8" spans="2:12 16384:16384" x14ac:dyDescent="0.25">
      <c r="B8" s="7">
        <v>5</v>
      </c>
      <c r="C8" t="s">
        <v>27</v>
      </c>
      <c r="D8" s="2">
        <v>2524.5100000000002</v>
      </c>
      <c r="E8" s="2">
        <f t="shared" si="0"/>
        <v>27173.825639999999</v>
      </c>
      <c r="F8">
        <v>2016</v>
      </c>
      <c r="G8" s="2">
        <v>32370</v>
      </c>
      <c r="H8" s="2">
        <f t="shared" si="1"/>
        <v>3007.2463768115945</v>
      </c>
      <c r="I8" s="2">
        <v>1600</v>
      </c>
      <c r="J8" s="2">
        <f t="shared" si="2"/>
        <v>43478121.023999996</v>
      </c>
      <c r="K8" s="2">
        <f t="shared" si="3"/>
        <v>4808680.1852544006</v>
      </c>
      <c r="L8" s="2">
        <f t="shared" si="4"/>
        <v>38669440.838745594</v>
      </c>
    </row>
    <row r="9" spans="2:12 16384:16384" x14ac:dyDescent="0.25">
      <c r="B9" s="7">
        <v>6</v>
      </c>
      <c r="C9" t="s">
        <v>28</v>
      </c>
      <c r="D9" s="2">
        <v>2461.7600000000002</v>
      </c>
      <c r="E9" s="2">
        <f t="shared" si="0"/>
        <v>26498.38464</v>
      </c>
      <c r="F9">
        <v>2016</v>
      </c>
      <c r="G9" s="2">
        <v>32370</v>
      </c>
      <c r="H9" s="2">
        <f t="shared" si="1"/>
        <v>3007.2463768115945</v>
      </c>
      <c r="I9" s="2">
        <v>2300</v>
      </c>
      <c r="J9" s="2">
        <f t="shared" si="2"/>
        <v>60946284.671999998</v>
      </c>
      <c r="K9" s="2">
        <f t="shared" si="3"/>
        <v>6740659.0847232006</v>
      </c>
      <c r="L9" s="2">
        <f t="shared" si="4"/>
        <v>54205625.587276801</v>
      </c>
    </row>
    <row r="10" spans="2:12 16384:16384" x14ac:dyDescent="0.25">
      <c r="B10" s="7">
        <v>7</v>
      </c>
      <c r="C10" t="s">
        <v>29</v>
      </c>
      <c r="D10" s="2">
        <v>3436.79</v>
      </c>
      <c r="E10" s="2">
        <f t="shared" si="0"/>
        <v>36993.607559999997</v>
      </c>
      <c r="F10">
        <v>2016</v>
      </c>
      <c r="G10" s="2">
        <v>32370</v>
      </c>
      <c r="H10" s="2">
        <f t="shared" si="1"/>
        <v>3007.2463768115945</v>
      </c>
      <c r="I10" s="2">
        <v>1800</v>
      </c>
      <c r="J10" s="2">
        <f t="shared" si="2"/>
        <v>66588493.607999995</v>
      </c>
      <c r="K10" s="2">
        <f t="shared" si="3"/>
        <v>7364687.3930448005</v>
      </c>
      <c r="L10" s="2">
        <f t="shared" si="4"/>
        <v>59223806.214955196</v>
      </c>
    </row>
    <row r="11" spans="2:12 16384:16384" x14ac:dyDescent="0.25">
      <c r="B11" s="18"/>
      <c r="C11" s="18"/>
      <c r="D11" s="2">
        <f>SUM(D4:D10)</f>
        <v>19352.59</v>
      </c>
      <c r="E11" s="2">
        <f>SUM(E4:E10)</f>
        <v>208311.27876000002</v>
      </c>
      <c r="J11" s="2">
        <f>SUM(J4:J10)</f>
        <v>411229298.37599999</v>
      </c>
      <c r="K11" s="2">
        <f>SUM(K4:K10)</f>
        <v>45481960.400385603</v>
      </c>
      <c r="L11" s="2">
        <f>SUM(L4:L10)</f>
        <v>365747337.97561437</v>
      </c>
      <c r="XFD11" s="2"/>
    </row>
    <row r="12" spans="2:12 16384:16384" x14ac:dyDescent="0.25">
      <c r="E12" s="6"/>
      <c r="K12" s="2" t="s">
        <v>63</v>
      </c>
      <c r="L12" s="2">
        <v>1500000</v>
      </c>
    </row>
    <row r="13" spans="2:12 16384:16384" x14ac:dyDescent="0.25">
      <c r="I13" s="2"/>
      <c r="K13" s="3" t="s">
        <v>64</v>
      </c>
      <c r="L13" s="2">
        <f>Sheet1!K16</f>
        <v>154570000</v>
      </c>
    </row>
    <row r="14" spans="2:12 16384:16384" x14ac:dyDescent="0.25">
      <c r="I14" s="4"/>
      <c r="K14" s="2" t="s">
        <v>67</v>
      </c>
      <c r="L14" s="2">
        <f>[1]P.M!$X$8</f>
        <v>71110826.260786965</v>
      </c>
    </row>
    <row r="15" spans="2:12 16384:16384" x14ac:dyDescent="0.25">
      <c r="K15" s="21" t="s">
        <v>68</v>
      </c>
      <c r="L15" s="20">
        <f>L14+L13+L12+L11</f>
        <v>592928164.23640132</v>
      </c>
    </row>
    <row r="16" spans="2:12 16384:16384" x14ac:dyDescent="0.25">
      <c r="L16" s="2">
        <f>60*10^7</f>
        <v>600000000</v>
      </c>
    </row>
    <row r="17" spans="10:12" x14ac:dyDescent="0.25">
      <c r="L17" s="2">
        <f>L16*0.85</f>
        <v>510000000</v>
      </c>
    </row>
    <row r="18" spans="10:12" x14ac:dyDescent="0.25">
      <c r="J18" s="2">
        <f>J11*0.8</f>
        <v>328983438.7008</v>
      </c>
      <c r="L18" s="2">
        <f>L16*0.75</f>
        <v>450000000</v>
      </c>
    </row>
  </sheetData>
  <mergeCells count="2">
    <mergeCell ref="B11:C11"/>
    <mergeCell ref="D2:E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34"/>
  <sheetViews>
    <sheetView tabSelected="1" workbookViewId="0">
      <selection activeCell="I24" sqref="I24"/>
    </sheetView>
  </sheetViews>
  <sheetFormatPr defaultRowHeight="15" x14ac:dyDescent="0.25"/>
  <cols>
    <col min="12" max="12" width="6.85546875" style="2" bestFit="1" customWidth="1"/>
    <col min="13" max="14" width="7.42578125" style="2" bestFit="1" customWidth="1"/>
    <col min="15" max="15" width="11.5703125" style="2" bestFit="1" customWidth="1"/>
    <col min="16" max="16" width="10.42578125" bestFit="1" customWidth="1"/>
    <col min="17" max="18" width="12.5703125" bestFit="1" customWidth="1"/>
    <col min="19" max="19" width="10" bestFit="1" customWidth="1"/>
  </cols>
  <sheetData>
    <row r="4" spans="12:20" x14ac:dyDescent="0.25">
      <c r="L4" s="2" t="s">
        <v>39</v>
      </c>
      <c r="M4" s="2" t="s">
        <v>41</v>
      </c>
      <c r="N4" s="2" t="s">
        <v>42</v>
      </c>
      <c r="O4" s="2" t="s">
        <v>40</v>
      </c>
      <c r="P4" s="2" t="s">
        <v>43</v>
      </c>
      <c r="Q4" s="2" t="s">
        <v>45</v>
      </c>
      <c r="T4" t="s">
        <v>44</v>
      </c>
    </row>
    <row r="5" spans="12:20" x14ac:dyDescent="0.25">
      <c r="L5" s="2">
        <v>12</v>
      </c>
      <c r="M5" s="2">
        <f>L5*2880</f>
        <v>34560</v>
      </c>
      <c r="N5" s="2">
        <f>M5/10.764</f>
        <v>3210.7023411371238</v>
      </c>
      <c r="O5" s="2">
        <f>2.6*10^7</f>
        <v>26000000</v>
      </c>
      <c r="P5" s="2">
        <f>O5/N5</f>
        <v>8097.916666666667</v>
      </c>
      <c r="Q5" s="2">
        <f>O5/L5</f>
        <v>2166666.6666666665</v>
      </c>
    </row>
    <row r="15" spans="12:20" x14ac:dyDescent="0.25">
      <c r="L15" s="2" t="s">
        <v>39</v>
      </c>
      <c r="M15" s="2" t="s">
        <v>41</v>
      </c>
      <c r="N15" s="2" t="s">
        <v>42</v>
      </c>
      <c r="O15" s="2" t="s">
        <v>40</v>
      </c>
      <c r="P15" s="2" t="s">
        <v>43</v>
      </c>
      <c r="Q15" s="2" t="s">
        <v>45</v>
      </c>
    </row>
    <row r="16" spans="12:20" x14ac:dyDescent="0.25">
      <c r="L16" s="2">
        <v>2</v>
      </c>
      <c r="M16" s="2">
        <f>L16*2880</f>
        <v>5760</v>
      </c>
      <c r="N16" s="2">
        <f>M16/10.764</f>
        <v>535.11705685618733</v>
      </c>
      <c r="O16" s="2">
        <f>1.1*10^7</f>
        <v>11000000</v>
      </c>
      <c r="P16" s="2">
        <f>O16/N16</f>
        <v>20556.25</v>
      </c>
      <c r="Q16" s="2">
        <f>O16/L16</f>
        <v>5500000</v>
      </c>
    </row>
    <row r="21" spans="2:20" x14ac:dyDescent="0.25">
      <c r="M21" s="2" t="s">
        <v>46</v>
      </c>
      <c r="N21" s="2" t="s">
        <v>42</v>
      </c>
      <c r="O21" s="2" t="s">
        <v>41</v>
      </c>
      <c r="P21" s="2" t="s">
        <v>47</v>
      </c>
    </row>
    <row r="22" spans="2:20" x14ac:dyDescent="0.25">
      <c r="M22" s="2">
        <v>5</v>
      </c>
      <c r="N22" s="2">
        <f>M22*4046.84</f>
        <v>20234.2</v>
      </c>
      <c r="O22" s="2">
        <f>N22*10.764</f>
        <v>217800.92879999999</v>
      </c>
      <c r="P22" s="4">
        <f>O22/2880</f>
        <v>75.625322499999996</v>
      </c>
      <c r="Q22" s="2">
        <f>65*10^7</f>
        <v>650000000</v>
      </c>
      <c r="R22" s="5">
        <f>Q22/P22</f>
        <v>8595004.6692362875</v>
      </c>
      <c r="T22" t="s">
        <v>48</v>
      </c>
    </row>
    <row r="23" spans="2:20" x14ac:dyDescent="0.25">
      <c r="B23" s="9"/>
      <c r="Q23" s="2">
        <f>Q22*0.8</f>
        <v>520000000</v>
      </c>
      <c r="R23" s="2">
        <f>Q23/P22</f>
        <v>6876003.7353890296</v>
      </c>
    </row>
    <row r="24" spans="2:20" x14ac:dyDescent="0.25">
      <c r="Q24" s="2">
        <f>Q23*0.8</f>
        <v>416000000</v>
      </c>
      <c r="R24" s="2">
        <f>Q24/P22</f>
        <v>5500802.9883112237</v>
      </c>
    </row>
    <row r="27" spans="2:20" x14ac:dyDescent="0.25">
      <c r="P27" t="s">
        <v>54</v>
      </c>
      <c r="Q27" s="11" t="s">
        <v>55</v>
      </c>
      <c r="R27" t="s">
        <v>56</v>
      </c>
    </row>
    <row r="28" spans="2:20" x14ac:dyDescent="0.25">
      <c r="P28" s="2" t="s">
        <v>49</v>
      </c>
      <c r="Q28" s="5">
        <f>R22</f>
        <v>8595004.6692362875</v>
      </c>
      <c r="R28" t="s">
        <v>50</v>
      </c>
    </row>
    <row r="29" spans="2:20" x14ac:dyDescent="0.25">
      <c r="P29" t="s">
        <v>51</v>
      </c>
      <c r="Q29" s="2">
        <f>Q28*0.85</f>
        <v>7305753.9688508445</v>
      </c>
      <c r="R29" t="s">
        <v>50</v>
      </c>
    </row>
    <row r="30" spans="2:20" x14ac:dyDescent="0.25">
      <c r="P30" t="s">
        <v>52</v>
      </c>
      <c r="Q30" s="10">
        <f>Q29*0.8</f>
        <v>5844603.1750806756</v>
      </c>
      <c r="R30" t="s">
        <v>50</v>
      </c>
    </row>
    <row r="31" spans="2:20" x14ac:dyDescent="0.25">
      <c r="P31" t="s">
        <v>53</v>
      </c>
      <c r="Q31" s="2">
        <v>5800000</v>
      </c>
      <c r="R31" t="s">
        <v>50</v>
      </c>
    </row>
    <row r="33" spans="17:19" x14ac:dyDescent="0.25">
      <c r="Q33" s="4"/>
      <c r="R33" s="4"/>
      <c r="S33" s="2"/>
    </row>
    <row r="34" spans="17:19" x14ac:dyDescent="0.25">
      <c r="Q34" s="4"/>
      <c r="R34" s="4"/>
      <c r="S34" s="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2023-12-20T12:41:40Z</dcterms:modified>
</cp:coreProperties>
</file>