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3-24)-PL502-418-638, Ms Neeupure Pharma Pvt Ltd\"/>
    </mc:Choice>
  </mc:AlternateContent>
  <xr:revisionPtr revIDLastSave="0" documentId="13_ncr:1_{9B359FF3-585F-459F-88A0-9BD6058811A5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Sheet1" sheetId="4" r:id="rId2"/>
  </sheets>
  <definedNames>
    <definedName name="_xlnm.Print_Area" localSheetId="0">'Building Valuation'!$B$1:$S$12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S28" i="1"/>
  <c r="O27" i="1"/>
  <c r="E38" i="1"/>
  <c r="D8" i="4"/>
  <c r="C8" i="4"/>
  <c r="X23" i="1"/>
  <c r="E22" i="1"/>
  <c r="J8" i="1"/>
  <c r="J7" i="1"/>
  <c r="J6" i="1"/>
  <c r="J5" i="1"/>
  <c r="J4" i="1"/>
  <c r="J3" i="1"/>
  <c r="O8" i="1"/>
  <c r="M8" i="1"/>
  <c r="O7" i="1"/>
  <c r="M7" i="1"/>
  <c r="O6" i="1"/>
  <c r="M6" i="1"/>
  <c r="O5" i="1"/>
  <c r="M5" i="1"/>
  <c r="O4" i="1"/>
  <c r="M4" i="1"/>
  <c r="F8" i="1"/>
  <c r="V8" i="1" s="1"/>
  <c r="F7" i="1"/>
  <c r="V7" i="1" s="1"/>
  <c r="F6" i="1"/>
  <c r="V6" i="1" s="1"/>
  <c r="F5" i="1"/>
  <c r="V5" i="1" s="1"/>
  <c r="F4" i="1"/>
  <c r="V4" i="1" s="1"/>
  <c r="F3" i="1"/>
  <c r="G9" i="1"/>
  <c r="P7" i="1" l="1"/>
  <c r="Q7" i="1" s="1"/>
  <c r="S7" i="1" s="1"/>
  <c r="P4" i="1"/>
  <c r="Q4" i="1" s="1"/>
  <c r="S4" i="1" s="1"/>
  <c r="P6" i="1"/>
  <c r="Q6" i="1" s="1"/>
  <c r="S6" i="1" s="1"/>
  <c r="P8" i="1"/>
  <c r="Q8" i="1" s="1"/>
  <c r="S8" i="1" s="1"/>
  <c r="P5" i="1"/>
  <c r="Q5" i="1" s="1"/>
  <c r="S5" i="1" s="1"/>
  <c r="L22" i="1"/>
  <c r="S19" i="1" l="1"/>
  <c r="S18" i="1"/>
  <c r="V3" i="1"/>
  <c r="F9" i="1" l="1"/>
  <c r="V9" i="1"/>
  <c r="E27" i="1" s="1"/>
  <c r="E28" i="1" s="1"/>
  <c r="O3" i="1" l="1"/>
  <c r="W8" i="1" l="1"/>
  <c r="M3" i="1" l="1"/>
  <c r="P3" i="1" l="1"/>
  <c r="Q3" i="1" l="1"/>
  <c r="S3" i="1" s="1"/>
  <c r="Y3" i="1" l="1"/>
  <c r="W3" i="1" l="1"/>
  <c r="O9" i="1"/>
  <c r="O15" i="1" s="1"/>
  <c r="Q9" i="1" l="1"/>
  <c r="S9" i="1" l="1"/>
  <c r="S16" i="1" s="1"/>
</calcChain>
</file>

<file path=xl/sharedStrings.xml><?xml version="1.0" encoding="utf-8"?>
<sst xmlns="http://schemas.openxmlformats.org/spreadsheetml/2006/main" count="54" uniqueCount="47">
  <si>
    <t>Floor</t>
  </si>
  <si>
    <t>Year of Construction</t>
  </si>
  <si>
    <t>Type of Structure</t>
  </si>
  <si>
    <t>Salvage value</t>
  </si>
  <si>
    <t>TOTAL</t>
  </si>
  <si>
    <t>Depreciation Rate</t>
  </si>
  <si>
    <t>Remarks:</t>
  </si>
  <si>
    <t>Sr. No.</t>
  </si>
  <si>
    <t>Gross Replacement Value</t>
  </si>
  <si>
    <t>Depreciation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</si>
  <si>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</si>
  <si>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</si>
  <si>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</si>
  <si>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</si>
  <si>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</si>
  <si>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</si>
  <si>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</si>
  <si>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</si>
  <si>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Particulars</t>
  </si>
  <si>
    <t>at 4000 per running mtr.</t>
  </si>
  <si>
    <t>per sq.mtr.</t>
  </si>
  <si>
    <t>sq.mtr.</t>
  </si>
  <si>
    <t>Guideline Rate
(in Rs. per sq.mtr.)</t>
  </si>
  <si>
    <t>Age Factor</t>
  </si>
  <si>
    <t>Land Value</t>
  </si>
  <si>
    <t>Guideline Value</t>
  </si>
  <si>
    <t>Building</t>
  </si>
  <si>
    <t>Guideline Land Value</t>
  </si>
  <si>
    <t>Guideline Rate</t>
  </si>
  <si>
    <t>Rate Adopted</t>
  </si>
  <si>
    <t>Land Area</t>
  </si>
  <si>
    <t>Insurance</t>
  </si>
  <si>
    <t>Premium for Renovation</t>
  </si>
  <si>
    <t>2. The valuation is done by considering the Depreciated Replacement Cost Approach.</t>
  </si>
  <si>
    <t>Depreciated Replacement Value</t>
  </si>
  <si>
    <t>Ground</t>
  </si>
  <si>
    <t>Meter Room</t>
  </si>
  <si>
    <t>Main Building</t>
  </si>
  <si>
    <t>First</t>
  </si>
  <si>
    <t>Second</t>
  </si>
  <si>
    <t>Security Guard Room</t>
  </si>
  <si>
    <t>Tin Shed</t>
  </si>
  <si>
    <t xml:space="preserve"> RCC structure with  brick wall</t>
  </si>
  <si>
    <t>RCC structure with  brick wall</t>
  </si>
  <si>
    <t>1. All the details pertaining to the building area statement such as area, floor, etc. has been taken as per the measurement during the site survey.</t>
  </si>
  <si>
    <t>running mtr.</t>
  </si>
  <si>
    <t>3. The building is situated at Plot No. 222, Sector-7, IIE SIDCUL, Haridwar, Uttarakhand.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</si>
</sst>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"/>
    <numFmt numFmtId="170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6" fontId="0" fillId="0" borderId="0" xfId="1" applyNumberFormat="1" applyFont="1"/>
    <xf numFmtId="168" fontId="0" fillId="0" borderId="0" xfId="0" applyNumberFormat="1"/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70" fontId="5" fillId="2" borderId="1" xfId="3" applyNumberFormat="1" applyFont="1" applyFill="1" applyBorder="1" applyAlignment="1">
      <alignment horizontal="center" vertical="center" wrapText="1"/>
    </xf>
    <xf numFmtId="170" fontId="0" fillId="0" borderId="1" xfId="3" applyNumberFormat="1" applyFont="1" applyBorder="1" applyAlignment="1">
      <alignment horizontal="center" vertical="center"/>
    </xf>
    <xf numFmtId="170" fontId="2" fillId="0" borderId="1" xfId="3" applyNumberFormat="1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70" fontId="0" fillId="0" borderId="0" xfId="3" applyNumberFormat="1" applyFont="1" applyAlignment="1">
      <alignment wrapText="1"/>
    </xf>
    <xf numFmtId="170" fontId="0" fillId="0" borderId="0" xfId="3" applyNumberFormat="1" applyFont="1" applyAlignment="1">
      <alignment horizontal="center" vertical="center"/>
    </xf>
    <xf numFmtId="170" fontId="0" fillId="0" borderId="0" xfId="3" applyNumberFormat="1" applyFont="1"/>
    <xf numFmtId="164" fontId="0" fillId="0" borderId="0" xfId="3" applyNumberFormat="1" applyFont="1" applyAlignment="1">
      <alignment wrapText="1"/>
    </xf>
    <xf numFmtId="43" fontId="0" fillId="0" borderId="0" xfId="0" applyNumberFormat="1" applyAlignment="1">
      <alignment horizontal="center"/>
    </xf>
    <xf numFmtId="43" fontId="5" fillId="2" borderId="1" xfId="3" applyFont="1" applyFill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43" fontId="0" fillId="0" borderId="0" xfId="3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38"/>
  <sheetViews>
    <sheetView tabSelected="1" zoomScale="85" zoomScaleNormal="85" zoomScaleSheetLayoutView="85" workbookViewId="0">
      <selection activeCell="S9" sqref="S9"/>
    </sheetView>
  </sheetViews>
  <sheetFormatPr defaultRowHeight="15" x14ac:dyDescent="0.25"/>
  <cols>
    <col min="1" max="1" width="5.140625" customWidth="1"/>
    <col min="2" max="2" width="6.5703125" customWidth="1"/>
    <col min="3" max="3" width="9" style="11" customWidth="1"/>
    <col min="4" max="4" width="10.5703125" style="11" customWidth="1"/>
    <col min="5" max="5" width="14.42578125" style="11" bestFit="1" customWidth="1"/>
    <col min="6" max="6" width="9.42578125" style="51" bestFit="1" customWidth="1"/>
    <col min="7" max="7" width="8.85546875" style="13" customWidth="1"/>
    <col min="8" max="8" width="8" customWidth="1"/>
    <col min="9" max="9" width="11.140625" bestFit="1" customWidth="1"/>
    <col min="10" max="10" width="10.42578125" bestFit="1" customWidth="1"/>
    <col min="11" max="11" width="11.140625" customWidth="1"/>
    <col min="12" max="12" width="7.7109375" hidden="1" customWidth="1"/>
    <col min="13" max="13" width="16.28515625" hidden="1" customWidth="1"/>
    <col min="14" max="14" width="10.5703125" customWidth="1"/>
    <col min="15" max="15" width="13.85546875" customWidth="1"/>
    <col min="16" max="16" width="12.85546875" hidden="1" customWidth="1"/>
    <col min="17" max="17" width="13.42578125" hidden="1" customWidth="1"/>
    <col min="18" max="18" width="11.42578125" hidden="1" customWidth="1"/>
    <col min="19" max="19" width="13" style="12" customWidth="1"/>
    <col min="20" max="20" width="9.85546875" style="12" customWidth="1"/>
    <col min="21" max="21" width="6.42578125" style="59" bestFit="1" customWidth="1"/>
    <col min="22" max="22" width="13.42578125" style="12" bestFit="1" customWidth="1"/>
    <col min="23" max="23" width="17" bestFit="1" customWidth="1"/>
    <col min="24" max="24" width="16.42578125" bestFit="1" customWidth="1"/>
    <col min="25" max="26" width="15.42578125" bestFit="1" customWidth="1"/>
  </cols>
  <sheetData>
    <row r="2" spans="2:26" s="9" customFormat="1" ht="60" x14ac:dyDescent="0.25">
      <c r="B2" s="39" t="s">
        <v>7</v>
      </c>
      <c r="C2" s="40" t="s">
        <v>0</v>
      </c>
      <c r="D2" s="40" t="s">
        <v>18</v>
      </c>
      <c r="E2" s="40" t="s">
        <v>2</v>
      </c>
      <c r="F2" s="46" t="s">
        <v>11</v>
      </c>
      <c r="G2" s="41" t="s">
        <v>12</v>
      </c>
      <c r="H2" s="40" t="s">
        <v>13</v>
      </c>
      <c r="I2" s="40" t="s">
        <v>1</v>
      </c>
      <c r="J2" s="40" t="s">
        <v>14</v>
      </c>
      <c r="K2" s="40" t="s">
        <v>15</v>
      </c>
      <c r="L2" s="43" t="s">
        <v>3</v>
      </c>
      <c r="M2" s="43" t="s">
        <v>5</v>
      </c>
      <c r="N2" s="40" t="s">
        <v>16</v>
      </c>
      <c r="O2" s="40" t="s">
        <v>8</v>
      </c>
      <c r="P2" s="43" t="s">
        <v>9</v>
      </c>
      <c r="Q2" s="43" t="s">
        <v>34</v>
      </c>
      <c r="R2" s="43" t="s">
        <v>32</v>
      </c>
      <c r="S2" s="40" t="s">
        <v>10</v>
      </c>
      <c r="T2" s="40" t="s">
        <v>22</v>
      </c>
      <c r="U2" s="56" t="s">
        <v>23</v>
      </c>
      <c r="V2" s="40" t="s">
        <v>25</v>
      </c>
    </row>
    <row r="3" spans="2:26" ht="45" customHeight="1" x14ac:dyDescent="0.25">
      <c r="B3" s="2">
        <v>1</v>
      </c>
      <c r="C3" s="10" t="s">
        <v>35</v>
      </c>
      <c r="D3" s="63" t="s">
        <v>37</v>
      </c>
      <c r="E3" s="63" t="s">
        <v>42</v>
      </c>
      <c r="F3" s="47">
        <f>G3/10.7639</f>
        <v>409.7028028874293</v>
      </c>
      <c r="G3" s="49">
        <v>4410</v>
      </c>
      <c r="H3" s="7">
        <v>15</v>
      </c>
      <c r="I3" s="2">
        <v>2018</v>
      </c>
      <c r="J3" s="2">
        <f>2023-I3</f>
        <v>5</v>
      </c>
      <c r="K3" s="2">
        <v>60</v>
      </c>
      <c r="L3" s="3">
        <v>0.1</v>
      </c>
      <c r="M3" s="4">
        <f>(1-L3)/K3</f>
        <v>1.5000000000000001E-2</v>
      </c>
      <c r="N3" s="25">
        <v>1600</v>
      </c>
      <c r="O3" s="25">
        <f t="shared" ref="O3:O8" si="0">N3*G3</f>
        <v>7056000</v>
      </c>
      <c r="P3" s="25">
        <f t="shared" ref="P3" si="1">O3*M3*J3</f>
        <v>529200.00000000012</v>
      </c>
      <c r="Q3" s="25">
        <f t="shared" ref="Q3" si="2">MAX(O3-P3,0)</f>
        <v>6526800</v>
      </c>
      <c r="R3" s="26">
        <v>0</v>
      </c>
      <c r="S3" s="25">
        <f>IF(Q3&gt;L3*O3,Q3*(1+R3),O3*L3)</f>
        <v>6526800</v>
      </c>
      <c r="T3" s="25">
        <v>14000</v>
      </c>
      <c r="U3" s="57">
        <v>0.95</v>
      </c>
      <c r="V3" s="25">
        <f t="shared" ref="V3:V8" si="3">T3*F3*U3</f>
        <v>5449047.2784028091</v>
      </c>
      <c r="W3" s="8">
        <f>S3/G3</f>
        <v>1480</v>
      </c>
      <c r="X3" s="1"/>
      <c r="Y3" s="38">
        <f>S3/O3</f>
        <v>0.92500000000000004</v>
      </c>
    </row>
    <row r="4" spans="2:26" x14ac:dyDescent="0.25">
      <c r="B4" s="2">
        <v>2</v>
      </c>
      <c r="C4" s="10" t="s">
        <v>38</v>
      </c>
      <c r="D4" s="64"/>
      <c r="E4" s="64"/>
      <c r="F4" s="47">
        <f t="shared" ref="F4:F8" si="4">G4/10.7639</f>
        <v>409.7028028874293</v>
      </c>
      <c r="G4" s="49">
        <v>4410</v>
      </c>
      <c r="H4" s="7">
        <v>12</v>
      </c>
      <c r="I4" s="2">
        <v>2018</v>
      </c>
      <c r="J4" s="2">
        <f t="shared" ref="J4:J8" si="5">2023-I4</f>
        <v>5</v>
      </c>
      <c r="K4" s="2">
        <v>60</v>
      </c>
      <c r="L4" s="3">
        <v>0.1</v>
      </c>
      <c r="M4" s="4">
        <f t="shared" ref="M4:M8" si="6">(1-L4)/K4</f>
        <v>1.5000000000000001E-2</v>
      </c>
      <c r="N4" s="25">
        <v>1500</v>
      </c>
      <c r="O4" s="25">
        <f t="shared" si="0"/>
        <v>6615000</v>
      </c>
      <c r="P4" s="25">
        <f t="shared" ref="P4:P8" si="7">O4*M4*J4</f>
        <v>496125.00000000006</v>
      </c>
      <c r="Q4" s="25">
        <f t="shared" ref="Q4:Q8" si="8">MAX(O4-P4,0)</f>
        <v>6118875</v>
      </c>
      <c r="R4" s="26">
        <v>0</v>
      </c>
      <c r="S4" s="25">
        <f t="shared" ref="S4:S8" si="9">IF(Q4&gt;L4*O4,Q4*(1+R4),O4*L4)</f>
        <v>6118875</v>
      </c>
      <c r="T4" s="25">
        <v>14000</v>
      </c>
      <c r="U4" s="57">
        <v>0.95</v>
      </c>
      <c r="V4" s="25">
        <f t="shared" si="3"/>
        <v>5449047.2784028091</v>
      </c>
      <c r="W4" s="8"/>
      <c r="X4" s="1"/>
      <c r="Y4" s="38"/>
    </row>
    <row r="5" spans="2:26" x14ac:dyDescent="0.25">
      <c r="B5" s="2">
        <v>3</v>
      </c>
      <c r="C5" s="10" t="s">
        <v>39</v>
      </c>
      <c r="D5" s="64"/>
      <c r="E5" s="65"/>
      <c r="F5" s="47">
        <f t="shared" si="4"/>
        <v>124.86180659426417</v>
      </c>
      <c r="G5" s="49">
        <v>1344</v>
      </c>
      <c r="H5" s="7">
        <v>12</v>
      </c>
      <c r="I5" s="2">
        <v>2018</v>
      </c>
      <c r="J5" s="2">
        <f t="shared" si="5"/>
        <v>5</v>
      </c>
      <c r="K5" s="2">
        <v>60</v>
      </c>
      <c r="L5" s="3">
        <v>0.1</v>
      </c>
      <c r="M5" s="4">
        <f t="shared" si="6"/>
        <v>1.5000000000000001E-2</v>
      </c>
      <c r="N5" s="25">
        <v>1500</v>
      </c>
      <c r="O5" s="25">
        <f t="shared" si="0"/>
        <v>2016000</v>
      </c>
      <c r="P5" s="25">
        <f t="shared" si="7"/>
        <v>151200.00000000003</v>
      </c>
      <c r="Q5" s="25">
        <f t="shared" si="8"/>
        <v>1864800</v>
      </c>
      <c r="R5" s="26">
        <v>0</v>
      </c>
      <c r="S5" s="25">
        <f t="shared" si="9"/>
        <v>1864800</v>
      </c>
      <c r="T5" s="25">
        <v>14000</v>
      </c>
      <c r="U5" s="57">
        <v>0.95</v>
      </c>
      <c r="V5" s="25">
        <f t="shared" si="3"/>
        <v>1660662.0277037132</v>
      </c>
      <c r="W5" s="8"/>
      <c r="X5" s="1"/>
      <c r="Y5" s="38"/>
    </row>
    <row r="6" spans="2:26" x14ac:dyDescent="0.25">
      <c r="B6" s="2">
        <v>4</v>
      </c>
      <c r="C6" s="10" t="s">
        <v>39</v>
      </c>
      <c r="D6" s="65"/>
      <c r="E6" s="10" t="s">
        <v>41</v>
      </c>
      <c r="F6" s="47">
        <f t="shared" si="4"/>
        <v>284.84099629316512</v>
      </c>
      <c r="G6" s="49">
        <v>3066</v>
      </c>
      <c r="H6" s="7">
        <v>10</v>
      </c>
      <c r="I6" s="2">
        <v>2018</v>
      </c>
      <c r="J6" s="2">
        <f t="shared" si="5"/>
        <v>5</v>
      </c>
      <c r="K6" s="2">
        <v>40</v>
      </c>
      <c r="L6" s="3">
        <v>0.05</v>
      </c>
      <c r="M6" s="4">
        <f t="shared" si="6"/>
        <v>2.375E-2</v>
      </c>
      <c r="N6" s="25">
        <v>1200</v>
      </c>
      <c r="O6" s="25">
        <f t="shared" si="0"/>
        <v>3679200</v>
      </c>
      <c r="P6" s="25">
        <f t="shared" si="7"/>
        <v>436905</v>
      </c>
      <c r="Q6" s="25">
        <f t="shared" si="8"/>
        <v>3242295</v>
      </c>
      <c r="R6" s="26">
        <v>0</v>
      </c>
      <c r="S6" s="25">
        <f t="shared" si="9"/>
        <v>3242295</v>
      </c>
      <c r="T6" s="25">
        <v>12000</v>
      </c>
      <c r="U6" s="57">
        <v>0.95</v>
      </c>
      <c r="V6" s="25">
        <f t="shared" si="3"/>
        <v>3247187.3577420819</v>
      </c>
      <c r="W6" s="8"/>
      <c r="X6" s="1"/>
      <c r="Y6" s="38"/>
    </row>
    <row r="7" spans="2:26" ht="45" x14ac:dyDescent="0.25">
      <c r="B7" s="2">
        <v>5</v>
      </c>
      <c r="C7" s="10" t="s">
        <v>35</v>
      </c>
      <c r="D7" s="10" t="s">
        <v>36</v>
      </c>
      <c r="E7" s="10" t="s">
        <v>43</v>
      </c>
      <c r="F7" s="47">
        <f t="shared" si="4"/>
        <v>9.2903129906446544</v>
      </c>
      <c r="G7" s="49">
        <v>100</v>
      </c>
      <c r="H7" s="7">
        <v>10</v>
      </c>
      <c r="I7" s="2">
        <v>2018</v>
      </c>
      <c r="J7" s="2">
        <f t="shared" si="5"/>
        <v>5</v>
      </c>
      <c r="K7" s="2">
        <v>60</v>
      </c>
      <c r="L7" s="3">
        <v>0.1</v>
      </c>
      <c r="M7" s="4">
        <f t="shared" si="6"/>
        <v>1.5000000000000001E-2</v>
      </c>
      <c r="N7" s="25">
        <v>1400</v>
      </c>
      <c r="O7" s="25">
        <f t="shared" si="0"/>
        <v>140000</v>
      </c>
      <c r="P7" s="25">
        <f t="shared" si="7"/>
        <v>10500</v>
      </c>
      <c r="Q7" s="25">
        <f t="shared" si="8"/>
        <v>129500</v>
      </c>
      <c r="R7" s="26">
        <v>0</v>
      </c>
      <c r="S7" s="25">
        <f t="shared" si="9"/>
        <v>129500</v>
      </c>
      <c r="T7" s="25">
        <v>14000</v>
      </c>
      <c r="U7" s="57">
        <v>0.95</v>
      </c>
      <c r="V7" s="25">
        <f t="shared" si="3"/>
        <v>123561.1627755739</v>
      </c>
      <c r="W7" s="8"/>
      <c r="X7" s="1"/>
      <c r="Y7" s="38"/>
    </row>
    <row r="8" spans="2:26" ht="44.25" customHeight="1" x14ac:dyDescent="0.25">
      <c r="B8" s="2">
        <v>6</v>
      </c>
      <c r="C8" s="10" t="s">
        <v>35</v>
      </c>
      <c r="D8" s="10" t="s">
        <v>40</v>
      </c>
      <c r="E8" s="10" t="s">
        <v>41</v>
      </c>
      <c r="F8" s="47">
        <f t="shared" si="4"/>
        <v>12.263213147650944</v>
      </c>
      <c r="G8" s="49">
        <v>132</v>
      </c>
      <c r="H8" s="7">
        <v>8</v>
      </c>
      <c r="I8" s="2">
        <v>2018</v>
      </c>
      <c r="J8" s="2">
        <f t="shared" si="5"/>
        <v>5</v>
      </c>
      <c r="K8" s="2">
        <v>25</v>
      </c>
      <c r="L8" s="3">
        <v>0.05</v>
      </c>
      <c r="M8" s="4">
        <f t="shared" si="6"/>
        <v>3.7999999999999999E-2</v>
      </c>
      <c r="N8" s="25">
        <v>800</v>
      </c>
      <c r="O8" s="25">
        <f t="shared" si="0"/>
        <v>105600</v>
      </c>
      <c r="P8" s="25">
        <f t="shared" si="7"/>
        <v>20064</v>
      </c>
      <c r="Q8" s="25">
        <f t="shared" si="8"/>
        <v>85536</v>
      </c>
      <c r="R8" s="26">
        <v>0</v>
      </c>
      <c r="S8" s="25">
        <f t="shared" si="9"/>
        <v>85536</v>
      </c>
      <c r="T8" s="25">
        <v>12000</v>
      </c>
      <c r="U8" s="57">
        <v>0.95</v>
      </c>
      <c r="V8" s="25">
        <f t="shared" si="3"/>
        <v>139800.62988322074</v>
      </c>
      <c r="W8" s="8">
        <f>S8/G8</f>
        <v>648</v>
      </c>
      <c r="X8" s="1"/>
      <c r="Y8" s="1"/>
    </row>
    <row r="9" spans="2:26" x14ac:dyDescent="0.25">
      <c r="B9" s="66" t="s">
        <v>4</v>
      </c>
      <c r="C9" s="66"/>
      <c r="D9" s="66"/>
      <c r="E9" s="66"/>
      <c r="F9" s="48">
        <f>SUM(F3:F8)</f>
        <v>1250.6619348005836</v>
      </c>
      <c r="G9" s="50">
        <f>SUM(G3:G8)</f>
        <v>13462</v>
      </c>
      <c r="H9" s="6"/>
      <c r="I9" s="42"/>
      <c r="J9" s="42"/>
      <c r="K9" s="42"/>
      <c r="L9" s="42"/>
      <c r="M9" s="42"/>
      <c r="N9" s="42"/>
      <c r="O9" s="5">
        <f>SUM(O3:O8)</f>
        <v>19611800</v>
      </c>
      <c r="P9" s="5"/>
      <c r="Q9" s="5">
        <f>SUM(Q3:Q8)</f>
        <v>17967806</v>
      </c>
      <c r="R9" s="5"/>
      <c r="S9" s="5">
        <f>SUM(S3:S8)</f>
        <v>17967806</v>
      </c>
      <c r="T9" s="5"/>
      <c r="U9" s="58"/>
      <c r="V9" s="5">
        <f>SUM(V3:V8)</f>
        <v>16069305.734910209</v>
      </c>
      <c r="W9" s="8"/>
    </row>
    <row r="10" spans="2:26" x14ac:dyDescent="0.25">
      <c r="B10" s="60" t="s">
        <v>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8"/>
    </row>
    <row r="11" spans="2:26" ht="15" customHeight="1" x14ac:dyDescent="0.25">
      <c r="B11" s="67" t="s">
        <v>44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8"/>
    </row>
    <row r="12" spans="2:26" x14ac:dyDescent="0.25"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2"/>
      <c r="W12" s="8"/>
      <c r="X12" s="18"/>
      <c r="Z12" s="22"/>
    </row>
    <row r="13" spans="2:26" x14ac:dyDescent="0.25">
      <c r="B13" s="60" t="s">
        <v>46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8"/>
      <c r="X13" s="45"/>
      <c r="Z13" s="1"/>
    </row>
    <row r="14" spans="2:26" x14ac:dyDescent="0.25">
      <c r="S14" s="20"/>
      <c r="T14" s="20"/>
      <c r="V14" s="20"/>
      <c r="W14" s="8"/>
      <c r="Z14" s="22"/>
    </row>
    <row r="15" spans="2:26" x14ac:dyDescent="0.25">
      <c r="N15" t="s">
        <v>31</v>
      </c>
      <c r="O15" s="22">
        <f>O9*0.8</f>
        <v>15689440</v>
      </c>
      <c r="S15" s="21"/>
      <c r="W15" s="8"/>
      <c r="Z15" s="14"/>
    </row>
    <row r="16" spans="2:26" x14ac:dyDescent="0.25">
      <c r="C16" s="15"/>
      <c r="D16" s="15"/>
      <c r="E16" s="17"/>
      <c r="H16" s="30"/>
      <c r="I16" s="38"/>
      <c r="O16" s="35" t="s">
        <v>4</v>
      </c>
      <c r="P16" s="35"/>
      <c r="Q16" s="35"/>
      <c r="R16" s="35"/>
      <c r="S16" s="36">
        <f>S9+E22+X23</f>
        <v>26483806</v>
      </c>
      <c r="T16" s="21"/>
      <c r="V16" s="21"/>
    </row>
    <row r="17" spans="3:26" x14ac:dyDescent="0.25">
      <c r="C17" s="15"/>
      <c r="D17" s="15"/>
      <c r="E17" s="17"/>
      <c r="G17" s="30"/>
      <c r="H17" s="31"/>
      <c r="I17" s="38"/>
      <c r="S17" s="21">
        <v>26500000</v>
      </c>
      <c r="T17" s="21"/>
      <c r="V17" s="21"/>
      <c r="Y17" s="22"/>
    </row>
    <row r="18" spans="3:26" ht="15" customHeight="1" x14ac:dyDescent="0.25">
      <c r="C18" s="16"/>
      <c r="D18" s="15" t="s">
        <v>30</v>
      </c>
      <c r="E18" s="32">
        <v>900</v>
      </c>
      <c r="F18" s="52" t="s">
        <v>21</v>
      </c>
      <c r="G18" s="30"/>
      <c r="H18" s="31"/>
      <c r="I18" s="38"/>
      <c r="S18" s="21">
        <f>S17*0.85</f>
        <v>22525000</v>
      </c>
      <c r="Y18" s="22"/>
    </row>
    <row r="19" spans="3:26" x14ac:dyDescent="0.25">
      <c r="E19" s="32"/>
      <c r="F19" s="52"/>
      <c r="G19" s="30"/>
      <c r="H19" s="31"/>
      <c r="I19" s="38"/>
      <c r="S19" s="19">
        <f>S17*0.75</f>
        <v>19875000</v>
      </c>
      <c r="T19" s="19"/>
      <c r="V19" s="19"/>
      <c r="Y19" s="22"/>
      <c r="Z19" s="22"/>
    </row>
    <row r="20" spans="3:26" x14ac:dyDescent="0.25">
      <c r="E20" s="17"/>
      <c r="F20" s="52"/>
      <c r="G20" s="30"/>
      <c r="H20" s="31"/>
      <c r="I20" s="38"/>
      <c r="K20" s="14"/>
      <c r="S20" s="19"/>
      <c r="T20" s="19"/>
      <c r="V20" s="19"/>
      <c r="Y20" s="22"/>
      <c r="Z20" s="24"/>
    </row>
    <row r="21" spans="3:26" ht="30" x14ac:dyDescent="0.25">
      <c r="D21" s="11" t="s">
        <v>29</v>
      </c>
      <c r="E21" s="33">
        <v>9000</v>
      </c>
      <c r="F21" s="53" t="s">
        <v>20</v>
      </c>
      <c r="G21" s="30"/>
      <c r="H21" s="31"/>
      <c r="I21" s="38"/>
      <c r="S21" s="23"/>
      <c r="T21" s="23"/>
      <c r="U21" s="38"/>
      <c r="V21" s="23"/>
      <c r="Y21" s="14"/>
      <c r="Z21" s="14"/>
    </row>
    <row r="22" spans="3:26" ht="30" x14ac:dyDescent="0.25">
      <c r="D22" s="11" t="s">
        <v>24</v>
      </c>
      <c r="E22" s="34">
        <f>E21*E18</f>
        <v>8100000</v>
      </c>
      <c r="G22" s="30"/>
      <c r="H22" s="31"/>
      <c r="I22" s="38"/>
      <c r="L22">
        <f>900*1.41</f>
        <v>1269</v>
      </c>
      <c r="X22">
        <v>130</v>
      </c>
      <c r="Y22" t="s">
        <v>45</v>
      </c>
    </row>
    <row r="23" spans="3:26" x14ac:dyDescent="0.25">
      <c r="G23" s="30"/>
      <c r="H23" s="31"/>
      <c r="N23" s="22"/>
      <c r="S23" s="19"/>
      <c r="W23" t="s">
        <v>17</v>
      </c>
      <c r="X23" s="23">
        <f>X22*4000*0.8</f>
        <v>416000</v>
      </c>
      <c r="Y23" t="s">
        <v>19</v>
      </c>
    </row>
    <row r="24" spans="3:26" ht="30" x14ac:dyDescent="0.25">
      <c r="D24" s="11" t="s">
        <v>28</v>
      </c>
      <c r="E24" s="11">
        <v>9000</v>
      </c>
      <c r="F24" s="51" t="s">
        <v>20</v>
      </c>
      <c r="G24" s="30"/>
      <c r="H24" s="31"/>
      <c r="N24" s="22"/>
      <c r="S24" s="28"/>
      <c r="T24" s="29"/>
      <c r="W24" s="11"/>
      <c r="X24" s="23"/>
    </row>
    <row r="25" spans="3:26" ht="45" x14ac:dyDescent="0.25">
      <c r="D25" s="11" t="s">
        <v>27</v>
      </c>
      <c r="E25" s="37">
        <f>E24*E18</f>
        <v>8100000</v>
      </c>
      <c r="I25" s="44"/>
      <c r="N25" s="27"/>
      <c r="S25" s="13"/>
    </row>
    <row r="26" spans="3:26" x14ac:dyDescent="0.25">
      <c r="E26" s="33"/>
      <c r="I26" s="44"/>
      <c r="O26">
        <v>13000</v>
      </c>
      <c r="S26" s="13">
        <v>15700000</v>
      </c>
    </row>
    <row r="27" spans="3:26" x14ac:dyDescent="0.25">
      <c r="D27" s="11" t="s">
        <v>26</v>
      </c>
      <c r="E27" s="33">
        <f>V9</f>
        <v>16069305.734910209</v>
      </c>
      <c r="I27" s="44"/>
      <c r="O27">
        <f>O26/10.7639</f>
        <v>1207.7406887838051</v>
      </c>
      <c r="S27" s="12">
        <v>2100</v>
      </c>
    </row>
    <row r="28" spans="3:26" ht="30" x14ac:dyDescent="0.25">
      <c r="D28" s="11" t="s">
        <v>25</v>
      </c>
      <c r="E28" s="37">
        <f>SUM(E25:E27)</f>
        <v>24169305.734910209</v>
      </c>
      <c r="I28" s="44"/>
      <c r="S28" s="55">
        <f>S26/S27</f>
        <v>7476.1904761904761</v>
      </c>
    </row>
    <row r="31" spans="3:26" x14ac:dyDescent="0.25">
      <c r="E31" s="33"/>
    </row>
    <row r="34" spans="5:5" x14ac:dyDescent="0.25">
      <c r="E34" s="54">
        <v>8100000</v>
      </c>
    </row>
    <row r="35" spans="5:5" x14ac:dyDescent="0.25">
      <c r="E35" s="54">
        <v>405000</v>
      </c>
    </row>
    <row r="36" spans="5:5" x14ac:dyDescent="0.25">
      <c r="E36" s="54">
        <v>16000000</v>
      </c>
    </row>
    <row r="37" spans="5:5" x14ac:dyDescent="0.25">
      <c r="E37" s="54">
        <v>800000</v>
      </c>
    </row>
    <row r="38" spans="5:5" x14ac:dyDescent="0.25">
      <c r="E38" s="54">
        <f>SUM(E34:E37)</f>
        <v>25305000</v>
      </c>
    </row>
  </sheetData>
  <mergeCells count="7">
    <mergeCell ref="B12:V12"/>
    <mergeCell ref="B13:V13"/>
    <mergeCell ref="E3:E5"/>
    <mergeCell ref="D3:D6"/>
    <mergeCell ref="B9:E9"/>
    <mergeCell ref="B10:V10"/>
    <mergeCell ref="B11:V11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B689-34E2-4B26-BF38-D19AD2CE00BB}">
  <dimension ref="C3:D8"/>
  <sheetViews>
    <sheetView workbookViewId="0">
      <selection activeCell="D8" sqref="D8"/>
    </sheetView>
  </sheetViews>
  <sheetFormatPr defaultRowHeight="15" x14ac:dyDescent="0.25"/>
  <cols>
    <col min="4" max="4" width="10" bestFit="1" customWidth="1"/>
  </cols>
  <sheetData>
    <row r="3" spans="3:4" x14ac:dyDescent="0.25">
      <c r="C3">
        <v>369.76</v>
      </c>
    </row>
    <row r="4" spans="3:4" x14ac:dyDescent="0.25">
      <c r="C4">
        <v>167.61</v>
      </c>
    </row>
    <row r="5" spans="3:4" x14ac:dyDescent="0.25">
      <c r="C5">
        <v>353.61</v>
      </c>
    </row>
    <row r="6" spans="3:4" x14ac:dyDescent="0.25">
      <c r="C6">
        <v>353.61</v>
      </c>
    </row>
    <row r="7" spans="3:4" x14ac:dyDescent="0.25">
      <c r="C7">
        <v>34.24</v>
      </c>
    </row>
    <row r="8" spans="3:4" x14ac:dyDescent="0.25">
      <c r="C8">
        <f>SUM(C3:C7)</f>
        <v>1278.8300000000002</v>
      </c>
      <c r="D8" s="22">
        <f>C8*10.7639</f>
        <v>13765.198237000001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2023-10-31T13:35:22Z</dcterms:modified>
</cp:coreProperties>
</file>