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bhinav Chaturvedi\VIS(2023-24)-PL546-463-702_Vindhya\document\"/>
    </mc:Choice>
  </mc:AlternateContent>
  <bookViews>
    <workbookView xWindow="0" yWindow="0" windowWidth="24000" windowHeight="9735" activeTab="4"/>
  </bookViews>
  <sheets>
    <sheet name="Basics Information" sheetId="3" r:id="rId1"/>
    <sheet name="Market Value" sheetId="1" r:id="rId2"/>
    <sheet name="final valuation" sheetId="5" r:id="rId3"/>
    <sheet name="Land Guideline Value" sheetId="2" r:id="rId4"/>
    <sheet name="Structure Guideline Value" sheetId="4" r:id="rId5"/>
  </sheets>
  <externalReferences>
    <externalReference r:id="rId6"/>
  </externalReferences>
  <definedNames>
    <definedName name="_xlnm._FilterDatabase" localSheetId="2" hidden="1">'final valuation'!$B$3:$W$55</definedName>
    <definedName name="_xlnm._FilterDatabase" localSheetId="1" hidden="1">'Market Value'!$B$3:$X$50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G18" i="2"/>
  <c r="J15" i="2"/>
  <c r="J14" i="2"/>
  <c r="J9" i="2"/>
  <c r="H19" i="2"/>
  <c r="H18" i="2"/>
  <c r="H16" i="2"/>
  <c r="H15" i="2"/>
  <c r="H14" i="2"/>
  <c r="H13" i="2"/>
  <c r="D13" i="2"/>
  <c r="E13" i="2"/>
  <c r="F10" i="2" l="1"/>
  <c r="H7" i="2"/>
  <c r="F7" i="2"/>
  <c r="E7" i="2"/>
  <c r="D7" i="2"/>
  <c r="H9" i="2"/>
  <c r="H10" i="2" s="1"/>
  <c r="H11" i="2" s="1"/>
  <c r="P71" i="5" l="1"/>
  <c r="P72" i="5" s="1"/>
  <c r="H51" i="5" l="1"/>
  <c r="R50" i="5" l="1"/>
  <c r="S50" i="5" s="1"/>
  <c r="P50" i="5"/>
  <c r="M50" i="5"/>
  <c r="I50" i="5"/>
  <c r="T50" i="5" l="1"/>
  <c r="U50" i="5" s="1"/>
  <c r="W50" i="5" s="1"/>
  <c r="R49" i="5"/>
  <c r="S49" i="5" s="1"/>
  <c r="P49" i="5"/>
  <c r="M49" i="5"/>
  <c r="I49" i="5"/>
  <c r="R48" i="5"/>
  <c r="S48" i="5" s="1"/>
  <c r="P48" i="5"/>
  <c r="M48" i="5"/>
  <c r="I48" i="5"/>
  <c r="R47" i="5"/>
  <c r="S47" i="5" s="1"/>
  <c r="P47" i="5"/>
  <c r="M47" i="5"/>
  <c r="I47" i="5"/>
  <c r="R46" i="5"/>
  <c r="S46" i="5" s="1"/>
  <c r="P46" i="5"/>
  <c r="M46" i="5"/>
  <c r="I46" i="5"/>
  <c r="R45" i="5"/>
  <c r="S45" i="5" s="1"/>
  <c r="P45" i="5"/>
  <c r="M45" i="5"/>
  <c r="I45" i="5"/>
  <c r="R44" i="5"/>
  <c r="S44" i="5" s="1"/>
  <c r="P44" i="5"/>
  <c r="M44" i="5"/>
  <c r="I44" i="5"/>
  <c r="R43" i="5"/>
  <c r="S43" i="5" s="1"/>
  <c r="P43" i="5"/>
  <c r="M43" i="5"/>
  <c r="I43" i="5"/>
  <c r="R42" i="5"/>
  <c r="S42" i="5" s="1"/>
  <c r="P42" i="5"/>
  <c r="M42" i="5"/>
  <c r="I42" i="5"/>
  <c r="R41" i="5"/>
  <c r="S41" i="5" s="1"/>
  <c r="P41" i="5"/>
  <c r="M41" i="5"/>
  <c r="I41" i="5"/>
  <c r="R40" i="5"/>
  <c r="S40" i="5" s="1"/>
  <c r="P40" i="5"/>
  <c r="M40" i="5"/>
  <c r="I40" i="5"/>
  <c r="R39" i="5"/>
  <c r="S39" i="5" s="1"/>
  <c r="P39" i="5"/>
  <c r="M39" i="5"/>
  <c r="I39" i="5"/>
  <c r="R38" i="5"/>
  <c r="S38" i="5" s="1"/>
  <c r="P38" i="5"/>
  <c r="M38" i="5"/>
  <c r="I38" i="5"/>
  <c r="R37" i="5"/>
  <c r="S37" i="5" s="1"/>
  <c r="P37" i="5"/>
  <c r="M37" i="5"/>
  <c r="I37" i="5"/>
  <c r="R36" i="5"/>
  <c r="S36" i="5" s="1"/>
  <c r="P36" i="5"/>
  <c r="M36" i="5"/>
  <c r="I36" i="5"/>
  <c r="R35" i="5"/>
  <c r="S35" i="5" s="1"/>
  <c r="P35" i="5"/>
  <c r="M35" i="5"/>
  <c r="I35" i="5"/>
  <c r="R34" i="5"/>
  <c r="S34" i="5" s="1"/>
  <c r="P34" i="5"/>
  <c r="M34" i="5"/>
  <c r="I34" i="5"/>
  <c r="R33" i="5"/>
  <c r="S33" i="5" s="1"/>
  <c r="P33" i="5"/>
  <c r="M33" i="5"/>
  <c r="I33" i="5"/>
  <c r="R32" i="5"/>
  <c r="S32" i="5" s="1"/>
  <c r="P32" i="5"/>
  <c r="M32" i="5"/>
  <c r="I32" i="5"/>
  <c r="R31" i="5"/>
  <c r="S31" i="5" s="1"/>
  <c r="P31" i="5"/>
  <c r="M31" i="5"/>
  <c r="I31" i="5"/>
  <c r="R30" i="5"/>
  <c r="S30" i="5" s="1"/>
  <c r="P30" i="5"/>
  <c r="M30" i="5"/>
  <c r="I30" i="5"/>
  <c r="R29" i="5"/>
  <c r="S29" i="5" s="1"/>
  <c r="P29" i="5"/>
  <c r="M29" i="5"/>
  <c r="I29" i="5"/>
  <c r="R28" i="5"/>
  <c r="S28" i="5" s="1"/>
  <c r="P28" i="5"/>
  <c r="M28" i="5"/>
  <c r="I28" i="5"/>
  <c r="R27" i="5"/>
  <c r="S27" i="5" s="1"/>
  <c r="P27" i="5"/>
  <c r="M27" i="5"/>
  <c r="I27" i="5"/>
  <c r="R26" i="5"/>
  <c r="S26" i="5" s="1"/>
  <c r="P26" i="5"/>
  <c r="M26" i="5"/>
  <c r="I26" i="5"/>
  <c r="E26" i="5"/>
  <c r="R25" i="5"/>
  <c r="S25" i="5" s="1"/>
  <c r="P25" i="5"/>
  <c r="M25" i="5"/>
  <c r="I25" i="5"/>
  <c r="R24" i="5"/>
  <c r="S24" i="5" s="1"/>
  <c r="P24" i="5"/>
  <c r="M24" i="5"/>
  <c r="I24" i="5"/>
  <c r="R23" i="5"/>
  <c r="S23" i="5" s="1"/>
  <c r="P23" i="5"/>
  <c r="M23" i="5"/>
  <c r="I23" i="5"/>
  <c r="R22" i="5"/>
  <c r="S22" i="5" s="1"/>
  <c r="P22" i="5"/>
  <c r="M22" i="5"/>
  <c r="I22" i="5"/>
  <c r="R21" i="5"/>
  <c r="S21" i="5" s="1"/>
  <c r="P21" i="5"/>
  <c r="M21" i="5"/>
  <c r="I21" i="5"/>
  <c r="R20" i="5"/>
  <c r="S20" i="5" s="1"/>
  <c r="P20" i="5"/>
  <c r="M20" i="5"/>
  <c r="I20" i="5"/>
  <c r="R19" i="5"/>
  <c r="S19" i="5" s="1"/>
  <c r="P19" i="5"/>
  <c r="M19" i="5"/>
  <c r="I19" i="5"/>
  <c r="R18" i="5"/>
  <c r="S18" i="5" s="1"/>
  <c r="P18" i="5"/>
  <c r="M18" i="5"/>
  <c r="I18" i="5"/>
  <c r="R17" i="5"/>
  <c r="S17" i="5" s="1"/>
  <c r="P17" i="5"/>
  <c r="M17" i="5"/>
  <c r="I17" i="5"/>
  <c r="R16" i="5"/>
  <c r="S16" i="5" s="1"/>
  <c r="P16" i="5"/>
  <c r="M16" i="5"/>
  <c r="I16" i="5"/>
  <c r="R15" i="5"/>
  <c r="S15" i="5" s="1"/>
  <c r="P15" i="5"/>
  <c r="M15" i="5"/>
  <c r="I15" i="5"/>
  <c r="R14" i="5"/>
  <c r="S14" i="5" s="1"/>
  <c r="P14" i="5"/>
  <c r="M14" i="5"/>
  <c r="I14" i="5"/>
  <c r="R13" i="5"/>
  <c r="S13" i="5" s="1"/>
  <c r="P13" i="5"/>
  <c r="M13" i="5"/>
  <c r="I13" i="5"/>
  <c r="R12" i="5"/>
  <c r="S12" i="5" s="1"/>
  <c r="P12" i="5"/>
  <c r="M12" i="5"/>
  <c r="I12" i="5"/>
  <c r="R11" i="5"/>
  <c r="S11" i="5" s="1"/>
  <c r="P11" i="5"/>
  <c r="M11" i="5"/>
  <c r="I11" i="5"/>
  <c r="R10" i="5"/>
  <c r="S10" i="5" s="1"/>
  <c r="P10" i="5"/>
  <c r="M10" i="5"/>
  <c r="I10" i="5"/>
  <c r="R9" i="5"/>
  <c r="S9" i="5" s="1"/>
  <c r="P9" i="5"/>
  <c r="M9" i="5"/>
  <c r="I9" i="5"/>
  <c r="R8" i="5"/>
  <c r="S8" i="5" s="1"/>
  <c r="P8" i="5"/>
  <c r="M8" i="5"/>
  <c r="I8" i="5"/>
  <c r="R7" i="5"/>
  <c r="S7" i="5" s="1"/>
  <c r="P7" i="5"/>
  <c r="M7" i="5"/>
  <c r="I7" i="5"/>
  <c r="R6" i="5"/>
  <c r="S6" i="5" s="1"/>
  <c r="P6" i="5"/>
  <c r="M6" i="5"/>
  <c r="I6" i="5"/>
  <c r="R5" i="5"/>
  <c r="S5" i="5" s="1"/>
  <c r="P5" i="5"/>
  <c r="M5" i="5"/>
  <c r="I5" i="5"/>
  <c r="R4" i="5"/>
  <c r="S4" i="5" s="1"/>
  <c r="S51" i="5" s="1"/>
  <c r="P4" i="5"/>
  <c r="M4" i="5"/>
  <c r="I4" i="5"/>
  <c r="T5" i="5" l="1"/>
  <c r="U5" i="5" s="1"/>
  <c r="W5" i="5" s="1"/>
  <c r="X5" i="5" s="1"/>
  <c r="I51" i="5"/>
  <c r="T25" i="5"/>
  <c r="U25" i="5" s="1"/>
  <c r="W25" i="5" s="1"/>
  <c r="X25" i="5" s="1"/>
  <c r="T13" i="5"/>
  <c r="U13" i="5" s="1"/>
  <c r="W13" i="5" s="1"/>
  <c r="X13" i="5" s="1"/>
  <c r="T48" i="5"/>
  <c r="U48" i="5" s="1"/>
  <c r="W48" i="5" s="1"/>
  <c r="X48" i="5" s="1"/>
  <c r="T17" i="5"/>
  <c r="U17" i="5" s="1"/>
  <c r="W17" i="5" s="1"/>
  <c r="X17" i="5" s="1"/>
  <c r="X50" i="5"/>
  <c r="T15" i="5"/>
  <c r="U15" i="5" s="1"/>
  <c r="W15" i="5" s="1"/>
  <c r="X15" i="5" s="1"/>
  <c r="T7" i="5"/>
  <c r="U7" i="5" s="1"/>
  <c r="W7" i="5" s="1"/>
  <c r="X7" i="5" s="1"/>
  <c r="T11" i="5"/>
  <c r="U11" i="5" s="1"/>
  <c r="W11" i="5" s="1"/>
  <c r="X11" i="5" s="1"/>
  <c r="T19" i="5"/>
  <c r="U19" i="5" s="1"/>
  <c r="W19" i="5" s="1"/>
  <c r="X19" i="5" s="1"/>
  <c r="T22" i="5"/>
  <c r="U22" i="5" s="1"/>
  <c r="W22" i="5" s="1"/>
  <c r="X22" i="5" s="1"/>
  <c r="T35" i="5"/>
  <c r="U35" i="5" s="1"/>
  <c r="W35" i="5" s="1"/>
  <c r="X35" i="5" s="1"/>
  <c r="T36" i="5"/>
  <c r="U36" i="5" s="1"/>
  <c r="W36" i="5" s="1"/>
  <c r="X36" i="5" s="1"/>
  <c r="T37" i="5"/>
  <c r="U37" i="5" s="1"/>
  <c r="W37" i="5" s="1"/>
  <c r="X37" i="5" s="1"/>
  <c r="T49" i="5"/>
  <c r="U49" i="5" s="1"/>
  <c r="W49" i="5" s="1"/>
  <c r="X49" i="5" s="1"/>
  <c r="T4" i="5"/>
  <c r="U4" i="5" s="1"/>
  <c r="T10" i="5"/>
  <c r="U10" i="5" s="1"/>
  <c r="W10" i="5" s="1"/>
  <c r="X10" i="5" s="1"/>
  <c r="T12" i="5"/>
  <c r="U12" i="5" s="1"/>
  <c r="W12" i="5" s="1"/>
  <c r="X12" i="5" s="1"/>
  <c r="T20" i="5"/>
  <c r="U20" i="5" s="1"/>
  <c r="W20" i="5" s="1"/>
  <c r="X20" i="5" s="1"/>
  <c r="T23" i="5"/>
  <c r="U23" i="5" s="1"/>
  <c r="W23" i="5" s="1"/>
  <c r="X23" i="5" s="1"/>
  <c r="T39" i="5"/>
  <c r="U39" i="5" s="1"/>
  <c r="W39" i="5" s="1"/>
  <c r="X39" i="5" s="1"/>
  <c r="T40" i="5"/>
  <c r="U40" i="5" s="1"/>
  <c r="W40" i="5" s="1"/>
  <c r="X40" i="5" s="1"/>
  <c r="T41" i="5"/>
  <c r="U41" i="5" s="1"/>
  <c r="W41" i="5" s="1"/>
  <c r="X41" i="5" s="1"/>
  <c r="T9" i="5"/>
  <c r="U9" i="5" s="1"/>
  <c r="W9" i="5" s="1"/>
  <c r="X9" i="5" s="1"/>
  <c r="T24" i="5"/>
  <c r="U24" i="5" s="1"/>
  <c r="W24" i="5" s="1"/>
  <c r="X24" i="5" s="1"/>
  <c r="T27" i="5"/>
  <c r="U27" i="5" s="1"/>
  <c r="W27" i="5" s="1"/>
  <c r="X27" i="5" s="1"/>
  <c r="T28" i="5"/>
  <c r="U28" i="5" s="1"/>
  <c r="W28" i="5" s="1"/>
  <c r="X28" i="5" s="1"/>
  <c r="T29" i="5"/>
  <c r="U29" i="5" s="1"/>
  <c r="W29" i="5" s="1"/>
  <c r="X29" i="5" s="1"/>
  <c r="T43" i="5"/>
  <c r="U43" i="5" s="1"/>
  <c r="W43" i="5" s="1"/>
  <c r="X43" i="5" s="1"/>
  <c r="T44" i="5"/>
  <c r="U44" i="5" s="1"/>
  <c r="W44" i="5" s="1"/>
  <c r="X44" i="5" s="1"/>
  <c r="T45" i="5"/>
  <c r="U45" i="5" s="1"/>
  <c r="W45" i="5" s="1"/>
  <c r="X45" i="5" s="1"/>
  <c r="T6" i="5"/>
  <c r="U6" i="5" s="1"/>
  <c r="W6" i="5" s="1"/>
  <c r="X6" i="5" s="1"/>
  <c r="T8" i="5"/>
  <c r="U8" i="5" s="1"/>
  <c r="W8" i="5" s="1"/>
  <c r="X8" i="5" s="1"/>
  <c r="T14" i="5"/>
  <c r="U14" i="5" s="1"/>
  <c r="W14" i="5" s="1"/>
  <c r="X14" i="5" s="1"/>
  <c r="T16" i="5"/>
  <c r="U16" i="5" s="1"/>
  <c r="W16" i="5" s="1"/>
  <c r="X16" i="5" s="1"/>
  <c r="T18" i="5"/>
  <c r="U18" i="5" s="1"/>
  <c r="W18" i="5" s="1"/>
  <c r="X18" i="5" s="1"/>
  <c r="T21" i="5"/>
  <c r="U21" i="5" s="1"/>
  <c r="W21" i="5" s="1"/>
  <c r="X21" i="5" s="1"/>
  <c r="T31" i="5"/>
  <c r="U31" i="5" s="1"/>
  <c r="W31" i="5" s="1"/>
  <c r="X31" i="5" s="1"/>
  <c r="T32" i="5"/>
  <c r="U32" i="5" s="1"/>
  <c r="W32" i="5" s="1"/>
  <c r="X32" i="5" s="1"/>
  <c r="T33" i="5"/>
  <c r="U33" i="5" s="1"/>
  <c r="W33" i="5" s="1"/>
  <c r="X33" i="5" s="1"/>
  <c r="T47" i="5"/>
  <c r="U47" i="5" s="1"/>
  <c r="W47" i="5" s="1"/>
  <c r="X47" i="5" s="1"/>
  <c r="T26" i="5"/>
  <c r="U26" i="5" s="1"/>
  <c r="W26" i="5" s="1"/>
  <c r="X26" i="5" s="1"/>
  <c r="T30" i="5"/>
  <c r="U30" i="5" s="1"/>
  <c r="W30" i="5" s="1"/>
  <c r="X30" i="5" s="1"/>
  <c r="T34" i="5"/>
  <c r="U34" i="5" s="1"/>
  <c r="W34" i="5" s="1"/>
  <c r="X34" i="5" s="1"/>
  <c r="T38" i="5"/>
  <c r="U38" i="5" s="1"/>
  <c r="W38" i="5" s="1"/>
  <c r="X38" i="5" s="1"/>
  <c r="T42" i="5"/>
  <c r="U42" i="5" s="1"/>
  <c r="W42" i="5" s="1"/>
  <c r="X42" i="5" s="1"/>
  <c r="T46" i="5"/>
  <c r="U46" i="5" s="1"/>
  <c r="W46" i="5" s="1"/>
  <c r="X46" i="5" s="1"/>
  <c r="F5" i="2"/>
  <c r="H5" i="2" s="1"/>
  <c r="F6" i="2"/>
  <c r="H6" i="2" s="1"/>
  <c r="F4" i="2"/>
  <c r="H4" i="2" s="1"/>
  <c r="D6" i="2"/>
  <c r="D5" i="2"/>
  <c r="D4" i="2"/>
  <c r="W45" i="1"/>
  <c r="W42" i="1"/>
  <c r="W40" i="1"/>
  <c r="W38" i="1"/>
  <c r="W39" i="1"/>
  <c r="W32" i="1"/>
  <c r="W29" i="1"/>
  <c r="W28" i="1"/>
  <c r="W27" i="1"/>
  <c r="W26" i="1"/>
  <c r="W25" i="1"/>
  <c r="I5" i="1"/>
  <c r="I50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  <c r="H50" i="1"/>
  <c r="E26" i="1"/>
  <c r="E9" i="2"/>
  <c r="E10" i="2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4" i="1"/>
  <c r="S4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P4" i="1"/>
  <c r="U51" i="5" l="1"/>
  <c r="W4" i="5"/>
  <c r="W51" i="5" s="1"/>
  <c r="F9" i="2"/>
  <c r="D10" i="2"/>
  <c r="T36" i="1"/>
  <c r="T20" i="1"/>
  <c r="U20" i="1" s="1"/>
  <c r="W20" i="1" s="1"/>
  <c r="X20" i="1" s="1"/>
  <c r="T32" i="1"/>
  <c r="U32" i="1" s="1"/>
  <c r="X32" i="1" s="1"/>
  <c r="T28" i="1"/>
  <c r="U28" i="1" s="1"/>
  <c r="X28" i="1" s="1"/>
  <c r="T12" i="1"/>
  <c r="U12" i="1" s="1"/>
  <c r="W12" i="1" s="1"/>
  <c r="X12" i="1" s="1"/>
  <c r="T47" i="1"/>
  <c r="U47" i="1" s="1"/>
  <c r="W47" i="1" s="1"/>
  <c r="X47" i="1" s="1"/>
  <c r="T39" i="1"/>
  <c r="U39" i="1" s="1"/>
  <c r="X39" i="1" s="1"/>
  <c r="T31" i="1"/>
  <c r="U31" i="1" s="1"/>
  <c r="W31" i="1" s="1"/>
  <c r="X31" i="1" s="1"/>
  <c r="T23" i="1"/>
  <c r="U23" i="1" s="1"/>
  <c r="T15" i="1"/>
  <c r="U15" i="1" s="1"/>
  <c r="W15" i="1" s="1"/>
  <c r="X15" i="1" s="1"/>
  <c r="T7" i="1"/>
  <c r="U7" i="1" s="1"/>
  <c r="W7" i="1" s="1"/>
  <c r="X7" i="1" s="1"/>
  <c r="T46" i="1"/>
  <c r="U46" i="1" s="1"/>
  <c r="W46" i="1" s="1"/>
  <c r="X46" i="1" s="1"/>
  <c r="T42" i="1"/>
  <c r="U42" i="1" s="1"/>
  <c r="X42" i="1" s="1"/>
  <c r="T38" i="1"/>
  <c r="U38" i="1" s="1"/>
  <c r="X38" i="1" s="1"/>
  <c r="T34" i="1"/>
  <c r="U34" i="1" s="1"/>
  <c r="W34" i="1" s="1"/>
  <c r="X34" i="1" s="1"/>
  <c r="T30" i="1"/>
  <c r="U30" i="1" s="1"/>
  <c r="W30" i="1" s="1"/>
  <c r="X30" i="1" s="1"/>
  <c r="T26" i="1"/>
  <c r="U26" i="1" s="1"/>
  <c r="X26" i="1" s="1"/>
  <c r="T22" i="1"/>
  <c r="U22" i="1" s="1"/>
  <c r="W22" i="1" s="1"/>
  <c r="X22" i="1" s="1"/>
  <c r="T18" i="1"/>
  <c r="U18" i="1" s="1"/>
  <c r="W18" i="1" s="1"/>
  <c r="X18" i="1" s="1"/>
  <c r="T14" i="1"/>
  <c r="U14" i="1" s="1"/>
  <c r="W14" i="1" s="1"/>
  <c r="X14" i="1" s="1"/>
  <c r="T10" i="1"/>
  <c r="U10" i="1" s="1"/>
  <c r="W10" i="1" s="1"/>
  <c r="X10" i="1" s="1"/>
  <c r="T6" i="1"/>
  <c r="U6" i="1" s="1"/>
  <c r="W6" i="1" s="1"/>
  <c r="X6" i="1" s="1"/>
  <c r="T43" i="1"/>
  <c r="U43" i="1" s="1"/>
  <c r="W43" i="1" s="1"/>
  <c r="X43" i="1" s="1"/>
  <c r="T35" i="1"/>
  <c r="U35" i="1" s="1"/>
  <c r="W35" i="1" s="1"/>
  <c r="X35" i="1" s="1"/>
  <c r="T27" i="1"/>
  <c r="U27" i="1" s="1"/>
  <c r="X27" i="1" s="1"/>
  <c r="T19" i="1"/>
  <c r="U19" i="1" s="1"/>
  <c r="W19" i="1" s="1"/>
  <c r="X19" i="1" s="1"/>
  <c r="T11" i="1"/>
  <c r="U11" i="1" s="1"/>
  <c r="W11" i="1" s="1"/>
  <c r="X11" i="1" s="1"/>
  <c r="T49" i="1"/>
  <c r="U49" i="1" s="1"/>
  <c r="W49" i="1" s="1"/>
  <c r="X49" i="1" s="1"/>
  <c r="T45" i="1"/>
  <c r="U45" i="1" s="1"/>
  <c r="X45" i="1" s="1"/>
  <c r="T41" i="1"/>
  <c r="U41" i="1" s="1"/>
  <c r="W41" i="1" s="1"/>
  <c r="X41" i="1" s="1"/>
  <c r="T37" i="1"/>
  <c r="U37" i="1" s="1"/>
  <c r="W37" i="1" s="1"/>
  <c r="X37" i="1" s="1"/>
  <c r="T33" i="1"/>
  <c r="U33" i="1" s="1"/>
  <c r="W33" i="1" s="1"/>
  <c r="X33" i="1" s="1"/>
  <c r="T29" i="1"/>
  <c r="U29" i="1" s="1"/>
  <c r="X29" i="1" s="1"/>
  <c r="T25" i="1"/>
  <c r="U25" i="1" s="1"/>
  <c r="X25" i="1" s="1"/>
  <c r="T21" i="1"/>
  <c r="U21" i="1" s="1"/>
  <c r="W21" i="1" s="1"/>
  <c r="X21" i="1" s="1"/>
  <c r="T17" i="1"/>
  <c r="U17" i="1" s="1"/>
  <c r="W17" i="1" s="1"/>
  <c r="X17" i="1" s="1"/>
  <c r="T13" i="1"/>
  <c r="U13" i="1" s="1"/>
  <c r="T9" i="1"/>
  <c r="U9" i="1" s="1"/>
  <c r="T5" i="1"/>
  <c r="U5" i="1" s="1"/>
  <c r="W5" i="1" s="1"/>
  <c r="X5" i="1" s="1"/>
  <c r="T48" i="1"/>
  <c r="U48" i="1" s="1"/>
  <c r="W48" i="1" s="1"/>
  <c r="X48" i="1" s="1"/>
  <c r="U36" i="1"/>
  <c r="W36" i="1" s="1"/>
  <c r="X36" i="1" s="1"/>
  <c r="T24" i="1"/>
  <c r="U24" i="1" s="1"/>
  <c r="T16" i="1"/>
  <c r="U16" i="1" s="1"/>
  <c r="W16" i="1" s="1"/>
  <c r="X16" i="1" s="1"/>
  <c r="T8" i="1"/>
  <c r="U8" i="1" s="1"/>
  <c r="T44" i="1"/>
  <c r="U44" i="1" s="1"/>
  <c r="W44" i="1" s="1"/>
  <c r="X44" i="1" s="1"/>
  <c r="T40" i="1"/>
  <c r="U40" i="1" s="1"/>
  <c r="X40" i="1" s="1"/>
  <c r="X4" i="5" l="1"/>
  <c r="W9" i="1"/>
  <c r="X9" i="1" s="1"/>
  <c r="W8" i="1"/>
  <c r="X8" i="1" s="1"/>
  <c r="W24" i="1"/>
  <c r="X24" i="1" s="1"/>
  <c r="W23" i="1"/>
  <c r="X23" i="1" s="1"/>
  <c r="W13" i="1"/>
  <c r="X13" i="1" s="1"/>
  <c r="M4" i="1" l="1"/>
  <c r="T4" i="1" l="1"/>
  <c r="S50" i="1" l="1"/>
  <c r="U4" i="1" l="1"/>
  <c r="U50" i="1" l="1"/>
  <c r="W4" i="1"/>
  <c r="W50" i="1" l="1"/>
  <c r="X4" i="1"/>
  <c r="H8" i="3" l="1"/>
  <c r="H12" i="3"/>
  <c r="H16" i="3"/>
  <c r="H20" i="3"/>
  <c r="H24" i="3"/>
  <c r="H28" i="3"/>
  <c r="H32" i="3"/>
  <c r="H36" i="3"/>
  <c r="H40" i="3"/>
  <c r="H44" i="3"/>
  <c r="H48" i="3"/>
  <c r="H47" i="3"/>
  <c r="H43" i="3"/>
  <c r="H39" i="3"/>
  <c r="H35" i="3"/>
  <c r="H31" i="3"/>
  <c r="H27" i="3"/>
  <c r="H23" i="3"/>
  <c r="H19" i="3"/>
  <c r="H15" i="3"/>
  <c r="H11" i="3"/>
  <c r="H7" i="3"/>
  <c r="H5" i="3"/>
  <c r="H9" i="3"/>
  <c r="H13" i="3"/>
  <c r="H17" i="3"/>
  <c r="H21" i="3"/>
  <c r="H25" i="3"/>
  <c r="H29" i="3"/>
  <c r="H33" i="3"/>
  <c r="H37" i="3"/>
  <c r="H41" i="3"/>
  <c r="H45" i="3"/>
  <c r="H49" i="3"/>
  <c r="H50" i="3"/>
  <c r="H46" i="3"/>
  <c r="H42" i="3"/>
  <c r="H38" i="3"/>
  <c r="H34" i="3"/>
  <c r="H30" i="3"/>
  <c r="H26" i="3"/>
  <c r="H22" i="3"/>
  <c r="H18" i="3"/>
  <c r="H14" i="3"/>
  <c r="H10" i="3"/>
  <c r="H6" i="3"/>
</calcChain>
</file>

<file path=xl/sharedStrings.xml><?xml version="1.0" encoding="utf-8"?>
<sst xmlns="http://schemas.openxmlformats.org/spreadsheetml/2006/main" count="728" uniqueCount="116">
  <si>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</si>
  <si>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</si>
  <si>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</si>
  <si>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</si>
  <si>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</si>
  <si>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</si>
  <si>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</si>
  <si>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</si>
  <si>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</si>
  <si>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</si>
  <si>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</si>
  <si>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</si>
  <si>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</si>
  <si>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</si>
  <si>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</si>
  <si>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</si>
  <si>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</si>
  <si>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</si>
  <si>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</si>
  <si>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</si>
  <si>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</si>
  <si>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</si>
  <si>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t>Type of Land</t>
  </si>
  <si>
    <t>Sr. No.</t>
  </si>
  <si>
    <t>LAND GUIDELINE VALUE</t>
  </si>
  <si>
    <t>MARKET VALUE OF STRUCTURES</t>
  </si>
  <si>
    <t>Condition of Structure</t>
  </si>
  <si>
    <t xml:space="preserve">Deterioration Factor
(INR) </t>
  </si>
  <si>
    <t>Ordinary</t>
  </si>
  <si>
    <t>proflex roofing system on rcc wall structure</t>
  </si>
  <si>
    <t>RCC Structure</t>
  </si>
  <si>
    <t>RCC Load bearing Structure</t>
  </si>
  <si>
    <t>GI Shed Roof on rcc wall structure</t>
  </si>
  <si>
    <t>proflex roofing system on rcc wall structure and RCC building</t>
  </si>
  <si>
    <t>Main Plant Building No. 1</t>
  </si>
  <si>
    <t>DG Set Building</t>
  </si>
  <si>
    <t>LT Control Room</t>
  </si>
  <si>
    <t>Pump House</t>
  </si>
  <si>
    <t>Store Building</t>
  </si>
  <si>
    <t>MD Bungalow</t>
  </si>
  <si>
    <t>A Block No.1</t>
  </si>
  <si>
    <t>A Block No.2</t>
  </si>
  <si>
    <t>C Block No. 1</t>
  </si>
  <si>
    <t>Dormitory No. 1</t>
  </si>
  <si>
    <t>MMU Building</t>
  </si>
  <si>
    <t>OFC/ CCU Building</t>
  </si>
  <si>
    <t>Main Plant (Factory Bldg) Extn. No. 2</t>
  </si>
  <si>
    <t>B &amp; C Type Flats Bldg.</t>
  </si>
  <si>
    <t>Darban Quarters No.1</t>
  </si>
  <si>
    <t>Darban Quarters No.2</t>
  </si>
  <si>
    <t>Darban Quarters No.3</t>
  </si>
  <si>
    <t>Garage &amp; Servant Quarter</t>
  </si>
  <si>
    <t>Club &amp; Badminton Court Building</t>
  </si>
  <si>
    <t>Dormitory Building No. 2</t>
  </si>
  <si>
    <t>Overhead Water Tank</t>
  </si>
  <si>
    <t>C Block No. 2</t>
  </si>
  <si>
    <t>DG Set Building Extn</t>
  </si>
  <si>
    <t>Water softener Plant</t>
  </si>
  <si>
    <t>Elevated Water Tank No. 1</t>
  </si>
  <si>
    <t>Elevated Water Tank No. 2</t>
  </si>
  <si>
    <t>B Block Building</t>
  </si>
  <si>
    <t>Canteen Building</t>
  </si>
  <si>
    <t>Sealing &amp; Packing Bldg.</t>
  </si>
  <si>
    <t>A Block Building No. 3</t>
  </si>
  <si>
    <t>C Block Building No. 3</t>
  </si>
  <si>
    <t>Time Office Building</t>
  </si>
  <si>
    <t>Weigh Bridge</t>
  </si>
  <si>
    <t>Underground HSD Storage Tank</t>
  </si>
  <si>
    <t>Elevated Water Tank No. 2 Extention</t>
  </si>
  <si>
    <t>Pump House Building Extention</t>
  </si>
  <si>
    <t>Dispensary Bldg.</t>
  </si>
  <si>
    <t>LT Room Extention</t>
  </si>
  <si>
    <t>OFC Plant, LT Room, BSR.</t>
  </si>
  <si>
    <t>OFC Plant Extension</t>
  </si>
  <si>
    <t>DG Room Extension 3</t>
  </si>
  <si>
    <t>Side Building of OFC</t>
  </si>
  <si>
    <t>Solar Cable Plant and  Shed</t>
  </si>
  <si>
    <t>E-Beam Plant</t>
  </si>
  <si>
    <t>OFC Expansion &amp; B Flat</t>
  </si>
  <si>
    <t>Class C</t>
  </si>
  <si>
    <t>Average</t>
  </si>
  <si>
    <t>Ground floor</t>
  </si>
  <si>
    <t>Ground +1 floors</t>
  </si>
  <si>
    <t>Ground +2 floors</t>
  </si>
  <si>
    <t>Ground+1 floors</t>
  </si>
  <si>
    <t>Ground+1 Floors</t>
  </si>
  <si>
    <t>Ground +1 Floors</t>
  </si>
  <si>
    <t>Tank</t>
  </si>
  <si>
    <t>Ground+2 Floors</t>
  </si>
  <si>
    <t>Class C Construction (Average)</t>
  </si>
  <si>
    <t>Industrial Land</t>
  </si>
  <si>
    <r>
      <t xml:space="preserve">Land Area 
</t>
    </r>
    <r>
      <rPr>
        <i/>
        <sz val="10"/>
        <rFont val="Calibri"/>
        <family val="2"/>
        <scheme val="minor"/>
      </rPr>
      <t>(in hectares)</t>
    </r>
  </si>
  <si>
    <r>
      <t xml:space="preserve">Area 
</t>
    </r>
    <r>
      <rPr>
        <i/>
        <sz val="10"/>
        <rFont val="Calibri"/>
        <family val="2"/>
        <scheme val="minor"/>
      </rPr>
      <t>(in acres)</t>
    </r>
  </si>
  <si>
    <t>Discounting/Appreciation Factor</t>
  </si>
  <si>
    <r>
      <t xml:space="preserve">Govt. Guideline Rates Adopted
</t>
    </r>
    <r>
      <rPr>
        <i/>
        <sz val="10"/>
        <rFont val="Calibri"/>
        <family val="2"/>
        <scheme val="minor"/>
      </rPr>
      <t>(In per Hectare)</t>
    </r>
  </si>
  <si>
    <t>Khairi</t>
  </si>
  <si>
    <t>Khaira</t>
  </si>
  <si>
    <t>Khobhar</t>
  </si>
  <si>
    <r>
      <t xml:space="preserve">Govt. Guideline Rates Adopted
</t>
    </r>
    <r>
      <rPr>
        <i/>
        <sz val="10"/>
        <rFont val="Calibri"/>
        <family val="2"/>
        <scheme val="minor"/>
      </rPr>
      <t>(In per sq.mtr.)</t>
    </r>
  </si>
  <si>
    <t>Area(in sq.mtr.)</t>
  </si>
  <si>
    <r>
      <t xml:space="preserve">Area 
</t>
    </r>
    <r>
      <rPr>
        <b/>
        <i/>
        <sz val="10"/>
        <rFont val="Calibri"/>
        <family val="2"/>
        <scheme val="minor"/>
      </rPr>
      <t>(in sq ft)</t>
    </r>
  </si>
  <si>
    <t>Remarks:-</t>
  </si>
  <si>
    <t xml:space="preserve">1. All the structures mentioned above belong to M/s Vindhya Telelinks Ltd. and is situated on the Plot No. 01, Industrial Land, Udhyog Vihar, Rewa </t>
  </si>
  <si>
    <t>2. The area for the structures is adopted as per the building sheet provided by the Company Official and is cross verified through sample measurement during the site visit</t>
  </si>
  <si>
    <t>3. the valuation of the structure is done on the basis of "Depriciated Replacement cost Approach"</t>
  </si>
  <si>
    <t>S. No.</t>
  </si>
  <si>
    <r>
      <t xml:space="preserve">Adopted Plinth Area  Rate 
</t>
    </r>
    <r>
      <rPr>
        <b/>
        <i/>
        <sz val="10"/>
        <rFont val="Calibri"/>
        <family val="2"/>
        <scheme val="minor"/>
      </rPr>
      <t>(In per sq ft)</t>
    </r>
  </si>
  <si>
    <t>E-Beam II/Solar/FTTH Plant/Ofc Ext.</t>
  </si>
  <si>
    <t>Good</t>
  </si>
  <si>
    <t>Sub-Total-A</t>
  </si>
  <si>
    <t>Sub-Total-B</t>
  </si>
  <si>
    <t>Grand Total (A+C)</t>
  </si>
  <si>
    <t>Lease</t>
  </si>
  <si>
    <t>Free</t>
  </si>
  <si>
    <t>Building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</si>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</sst>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7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43" fontId="4" fillId="2" borderId="1" xfId="3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3" fontId="0" fillId="0" borderId="0" xfId="3" applyFont="1"/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0" fillId="0" borderId="0" xfId="3" applyNumberFormat="1" applyFont="1"/>
    <xf numFmtId="0" fontId="0" fillId="0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0" fillId="5" borderId="1" xfId="3" applyNumberFormat="1" applyFont="1" applyFill="1" applyBorder="1" applyAlignment="1">
      <alignment horizontal="center" vertical="center"/>
    </xf>
    <xf numFmtId="164" fontId="0" fillId="0" borderId="1" xfId="3" applyNumberFormat="1" applyFont="1" applyBorder="1"/>
    <xf numFmtId="0" fontId="2" fillId="0" borderId="1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43" fontId="4" fillId="5" borderId="1" xfId="3" applyFont="1" applyFill="1" applyBorder="1" applyAlignment="1">
      <alignment horizontal="center" vertical="center" wrapText="1"/>
    </xf>
    <xf numFmtId="164" fontId="4" fillId="5" borderId="1" xfId="3" applyNumberFormat="1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164" fontId="2" fillId="0" borderId="0" xfId="3" applyNumberFormat="1" applyFont="1"/>
    <xf numFmtId="0" fontId="0" fillId="0" borderId="1" xfId="0" applyFill="1" applyBorder="1" applyAlignment="1">
      <alignment vertical="center"/>
    </xf>
    <xf numFmtId="43" fontId="0" fillId="0" borderId="3" xfId="3" applyFont="1" applyFill="1" applyBorder="1" applyAlignment="1">
      <alignment vertical="center"/>
    </xf>
    <xf numFmtId="164" fontId="0" fillId="0" borderId="3" xfId="3" applyNumberFormat="1" applyFont="1" applyFill="1" applyBorder="1" applyAlignment="1">
      <alignment vertical="center"/>
    </xf>
    <xf numFmtId="164" fontId="0" fillId="0" borderId="4" xfId="3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3" fontId="0" fillId="0" borderId="0" xfId="0" applyNumberFormat="1"/>
    <xf numFmtId="43" fontId="0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11</xdr:col>
      <xdr:colOff>553085</xdr:colOff>
      <xdr:row>22</xdr:row>
      <xdr:rowOff>59055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75"/>
          <a:ext cx="7258685" cy="35356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552450</xdr:colOff>
      <xdr:row>16</xdr:row>
      <xdr:rowOff>95250</xdr:rowOff>
    </xdr:from>
    <xdr:to>
      <xdr:col>24</xdr:col>
      <xdr:colOff>488315</xdr:colOff>
      <xdr:row>24</xdr:row>
      <xdr:rowOff>105410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3143250"/>
          <a:ext cx="7251065" cy="1534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104774</xdr:rowOff>
    </xdr:from>
    <xdr:to>
      <xdr:col>9</xdr:col>
      <xdr:colOff>190500</xdr:colOff>
      <xdr:row>69</xdr:row>
      <xdr:rowOff>185022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2068" t="7337" r="32161"/>
        <a:stretch/>
      </xdr:blipFill>
      <xdr:spPr>
        <a:xfrm>
          <a:off x="0" y="5057774"/>
          <a:ext cx="5676900" cy="8271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95249</xdr:rowOff>
    </xdr:from>
    <xdr:to>
      <xdr:col>9</xdr:col>
      <xdr:colOff>363757</xdr:colOff>
      <xdr:row>82</xdr:row>
      <xdr:rowOff>114300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4131" t="27047" r="12819" b="35794"/>
        <a:stretch/>
      </xdr:blipFill>
      <xdr:spPr>
        <a:xfrm>
          <a:off x="0" y="13430249"/>
          <a:ext cx="5850157" cy="2305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Abhinav%20Chaturvedi/VIS(2023-24)-PL546-463-702_Vindhya/Report/VALUATION_OF_Free_Hold_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ehold Land"/>
      <sheetName val="Sheet1"/>
    </sheetNames>
    <sheetDataSet>
      <sheetData sheetId="0">
        <row r="63">
          <cell r="R63">
            <v>672841500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8"/>
  <sheetViews>
    <sheetView topLeftCell="B36" workbookViewId="0">
      <selection activeCell="E37" sqref="E37"/>
    </sheetView>
  </sheetViews>
  <sheetFormatPr defaultRowHeight="15" x14ac:dyDescent="0.25"/>
  <cols>
    <col min="2" max="2" width="6.85546875" customWidth="1"/>
    <col min="3" max="3" width="15.28515625" bestFit="1" customWidth="1"/>
    <col min="4" max="4" width="34" bestFit="1" customWidth="1"/>
    <col min="5" max="5" width="40.140625" bestFit="1" customWidth="1"/>
    <col min="6" max="6" width="28.42578125" bestFit="1" customWidth="1"/>
    <col min="7" max="7" width="12.28515625" bestFit="1" customWidth="1"/>
    <col min="8" max="8" width="8.5703125" bestFit="1" customWidth="1"/>
    <col min="9" max="9" width="6.85546875" customWidth="1"/>
    <col min="10" max="10" width="12.28515625" customWidth="1"/>
    <col min="11" max="11" width="10.28515625" customWidth="1"/>
  </cols>
  <sheetData>
    <row r="4" spans="2:12" ht="30" x14ac:dyDescent="0.25">
      <c r="B4" s="13" t="s">
        <v>23</v>
      </c>
      <c r="C4" s="13" t="s">
        <v>1</v>
      </c>
      <c r="D4" s="13" t="s">
        <v>11</v>
      </c>
      <c r="E4" s="13" t="s">
        <v>5</v>
      </c>
      <c r="F4" s="14" t="s">
        <v>20</v>
      </c>
      <c r="G4" s="14" t="s">
        <v>13</v>
      </c>
      <c r="H4" s="14" t="s">
        <v>14</v>
      </c>
      <c r="I4" s="14" t="s">
        <v>15</v>
      </c>
      <c r="J4" s="14" t="s">
        <v>3</v>
      </c>
      <c r="K4" s="14" t="s">
        <v>4</v>
      </c>
    </row>
    <row r="5" spans="2:12" x14ac:dyDescent="0.25">
      <c r="B5" s="12">
        <v>1</v>
      </c>
      <c r="C5" s="2" t="s">
        <v>2</v>
      </c>
      <c r="D5" s="2" t="s">
        <v>34</v>
      </c>
      <c r="E5" s="2" t="s">
        <v>29</v>
      </c>
      <c r="F5" s="2" t="s">
        <v>89</v>
      </c>
      <c r="G5" s="6">
        <v>7027</v>
      </c>
      <c r="H5" s="6">
        <f>G5*10.7639</f>
        <v>75637.925300000003</v>
      </c>
      <c r="I5" s="2">
        <v>31</v>
      </c>
      <c r="J5" s="2">
        <v>1984</v>
      </c>
      <c r="K5" s="2">
        <v>2022</v>
      </c>
      <c r="L5" s="20"/>
    </row>
    <row r="6" spans="2:12" x14ac:dyDescent="0.25">
      <c r="B6" s="12">
        <v>2</v>
      </c>
      <c r="C6" s="2" t="s">
        <v>2</v>
      </c>
      <c r="D6" s="2" t="s">
        <v>35</v>
      </c>
      <c r="E6" s="2" t="s">
        <v>30</v>
      </c>
      <c r="F6" s="2" t="s">
        <v>89</v>
      </c>
      <c r="G6" s="6">
        <v>196</v>
      </c>
      <c r="H6" s="6">
        <f t="shared" ref="H6:H50" si="0">G6*10.7639</f>
        <v>2109.7244000000001</v>
      </c>
      <c r="I6" s="2">
        <v>25</v>
      </c>
      <c r="J6" s="2">
        <v>1985</v>
      </c>
      <c r="K6" s="2">
        <v>2022</v>
      </c>
    </row>
    <row r="7" spans="2:12" x14ac:dyDescent="0.25">
      <c r="B7" s="12">
        <v>3</v>
      </c>
      <c r="C7" s="2" t="s">
        <v>2</v>
      </c>
      <c r="D7" s="2" t="s">
        <v>36</v>
      </c>
      <c r="E7" s="2" t="s">
        <v>30</v>
      </c>
      <c r="F7" s="2" t="s">
        <v>89</v>
      </c>
      <c r="G7" s="6">
        <v>126</v>
      </c>
      <c r="H7" s="6">
        <f t="shared" si="0"/>
        <v>1356.2513999999999</v>
      </c>
      <c r="I7" s="2">
        <v>25</v>
      </c>
      <c r="J7" s="2">
        <v>1985</v>
      </c>
      <c r="K7" s="2">
        <v>2022</v>
      </c>
    </row>
    <row r="8" spans="2:12" x14ac:dyDescent="0.25">
      <c r="B8" s="12">
        <v>4</v>
      </c>
      <c r="C8" s="2" t="s">
        <v>2</v>
      </c>
      <c r="D8" s="2" t="s">
        <v>37</v>
      </c>
      <c r="E8" s="2" t="s">
        <v>30</v>
      </c>
      <c r="F8" s="2" t="s">
        <v>89</v>
      </c>
      <c r="G8" s="6">
        <v>126</v>
      </c>
      <c r="H8" s="6">
        <f t="shared" si="0"/>
        <v>1356.2513999999999</v>
      </c>
      <c r="I8" s="2">
        <v>20</v>
      </c>
      <c r="J8" s="2">
        <v>1985</v>
      </c>
      <c r="K8" s="2">
        <v>2022</v>
      </c>
    </row>
    <row r="9" spans="2:12" x14ac:dyDescent="0.25">
      <c r="B9" s="12">
        <v>5</v>
      </c>
      <c r="C9" s="2" t="s">
        <v>2</v>
      </c>
      <c r="D9" s="2" t="s">
        <v>38</v>
      </c>
      <c r="E9" s="2" t="s">
        <v>30</v>
      </c>
      <c r="F9" s="2" t="s">
        <v>89</v>
      </c>
      <c r="G9" s="6">
        <v>2240</v>
      </c>
      <c r="H9" s="6">
        <f t="shared" si="0"/>
        <v>24111.135999999999</v>
      </c>
      <c r="I9" s="2">
        <v>25</v>
      </c>
      <c r="J9" s="2">
        <v>1984</v>
      </c>
      <c r="K9" s="2">
        <v>2022</v>
      </c>
    </row>
    <row r="10" spans="2:12" x14ac:dyDescent="0.25">
      <c r="B10" s="12">
        <v>6</v>
      </c>
      <c r="C10" s="2" t="s">
        <v>82</v>
      </c>
      <c r="D10" s="2" t="s">
        <v>39</v>
      </c>
      <c r="E10" s="2" t="s">
        <v>30</v>
      </c>
      <c r="F10" s="2" t="s">
        <v>89</v>
      </c>
      <c r="G10" s="6">
        <v>405.8</v>
      </c>
      <c r="H10" s="6">
        <f t="shared" si="0"/>
        <v>4367.9906199999996</v>
      </c>
      <c r="I10" s="2">
        <v>12</v>
      </c>
      <c r="J10" s="2">
        <v>1986</v>
      </c>
      <c r="K10" s="2">
        <v>2022</v>
      </c>
    </row>
    <row r="11" spans="2:12" x14ac:dyDescent="0.25">
      <c r="B11" s="12">
        <v>7</v>
      </c>
      <c r="C11" s="2" t="s">
        <v>82</v>
      </c>
      <c r="D11" s="2" t="s">
        <v>40</v>
      </c>
      <c r="E11" s="2" t="s">
        <v>30</v>
      </c>
      <c r="F11" s="2" t="s">
        <v>89</v>
      </c>
      <c r="G11" s="6">
        <v>844.94</v>
      </c>
      <c r="H11" s="6">
        <f t="shared" si="0"/>
        <v>9094.8496660000001</v>
      </c>
      <c r="I11" s="2">
        <v>10</v>
      </c>
      <c r="J11" s="2">
        <v>1985</v>
      </c>
      <c r="K11" s="2">
        <v>2022</v>
      </c>
    </row>
    <row r="12" spans="2:12" x14ac:dyDescent="0.25">
      <c r="B12" s="12">
        <v>8</v>
      </c>
      <c r="C12" s="2" t="s">
        <v>82</v>
      </c>
      <c r="D12" s="2" t="s">
        <v>41</v>
      </c>
      <c r="E12" s="2" t="s">
        <v>30</v>
      </c>
      <c r="F12" s="2" t="s">
        <v>89</v>
      </c>
      <c r="G12" s="6">
        <v>844.94</v>
      </c>
      <c r="H12" s="6">
        <f t="shared" si="0"/>
        <v>9094.8496660000001</v>
      </c>
      <c r="I12" s="2">
        <v>10</v>
      </c>
      <c r="J12" s="2">
        <v>1985</v>
      </c>
      <c r="K12" s="2">
        <v>2022</v>
      </c>
    </row>
    <row r="13" spans="2:12" x14ac:dyDescent="0.25">
      <c r="B13" s="12">
        <v>9</v>
      </c>
      <c r="C13" s="2" t="s">
        <v>83</v>
      </c>
      <c r="D13" s="2" t="s">
        <v>42</v>
      </c>
      <c r="E13" s="2" t="s">
        <v>30</v>
      </c>
      <c r="F13" s="2" t="s">
        <v>89</v>
      </c>
      <c r="G13" s="6">
        <v>1103.19</v>
      </c>
      <c r="H13" s="6">
        <f t="shared" si="0"/>
        <v>11874.626840999999</v>
      </c>
      <c r="I13" s="2">
        <v>10</v>
      </c>
      <c r="J13" s="2">
        <v>1986</v>
      </c>
      <c r="K13" s="2">
        <v>2022</v>
      </c>
    </row>
    <row r="14" spans="2:12" x14ac:dyDescent="0.25">
      <c r="B14" s="12">
        <v>10</v>
      </c>
      <c r="C14" s="2" t="s">
        <v>82</v>
      </c>
      <c r="D14" s="2" t="s">
        <v>43</v>
      </c>
      <c r="E14" s="2" t="s">
        <v>30</v>
      </c>
      <c r="F14" s="2" t="s">
        <v>89</v>
      </c>
      <c r="G14" s="6">
        <v>1049.3800000000001</v>
      </c>
      <c r="H14" s="6">
        <f t="shared" si="0"/>
        <v>11295.421382</v>
      </c>
      <c r="I14" s="2">
        <v>10</v>
      </c>
      <c r="J14" s="2">
        <v>1985</v>
      </c>
      <c r="K14" s="2">
        <v>2022</v>
      </c>
    </row>
    <row r="15" spans="2:12" x14ac:dyDescent="0.25">
      <c r="B15" s="12">
        <v>11</v>
      </c>
      <c r="C15" s="2" t="s">
        <v>2</v>
      </c>
      <c r="D15" s="2" t="s">
        <v>44</v>
      </c>
      <c r="E15" s="2" t="s">
        <v>29</v>
      </c>
      <c r="F15" s="2" t="s">
        <v>89</v>
      </c>
      <c r="G15" s="6">
        <v>480</v>
      </c>
      <c r="H15" s="6">
        <f t="shared" si="0"/>
        <v>5166.6719999999996</v>
      </c>
      <c r="I15" s="2">
        <v>31</v>
      </c>
      <c r="J15" s="2">
        <v>1992</v>
      </c>
      <c r="K15" s="2">
        <v>2022</v>
      </c>
    </row>
    <row r="16" spans="2:12" x14ac:dyDescent="0.25">
      <c r="B16" s="12">
        <v>12</v>
      </c>
      <c r="C16" s="2" t="s">
        <v>2</v>
      </c>
      <c r="D16" s="2" t="s">
        <v>45</v>
      </c>
      <c r="E16" s="2" t="s">
        <v>29</v>
      </c>
      <c r="F16" s="2" t="s">
        <v>89</v>
      </c>
      <c r="G16" s="6">
        <v>2240.4699999999998</v>
      </c>
      <c r="H16" s="6">
        <f t="shared" si="0"/>
        <v>24116.195032999996</v>
      </c>
      <c r="I16" s="2">
        <v>31</v>
      </c>
      <c r="J16" s="2">
        <v>1992</v>
      </c>
      <c r="K16" s="2">
        <v>2022</v>
      </c>
    </row>
    <row r="17" spans="2:11" x14ac:dyDescent="0.25">
      <c r="B17" s="12">
        <v>13</v>
      </c>
      <c r="C17" s="2" t="s">
        <v>2</v>
      </c>
      <c r="D17" s="2" t="s">
        <v>46</v>
      </c>
      <c r="E17" s="2" t="s">
        <v>29</v>
      </c>
      <c r="F17" s="2" t="s">
        <v>89</v>
      </c>
      <c r="G17" s="6">
        <v>7861</v>
      </c>
      <c r="H17" s="6">
        <f t="shared" si="0"/>
        <v>84615.017899999992</v>
      </c>
      <c r="I17" s="2">
        <v>31</v>
      </c>
      <c r="J17" s="2">
        <v>1993</v>
      </c>
      <c r="K17" s="2">
        <v>2022</v>
      </c>
    </row>
    <row r="18" spans="2:11" x14ac:dyDescent="0.25">
      <c r="B18" s="12">
        <v>14</v>
      </c>
      <c r="C18" s="2" t="s">
        <v>84</v>
      </c>
      <c r="D18" s="2" t="s">
        <v>47</v>
      </c>
      <c r="E18" s="22" t="s">
        <v>30</v>
      </c>
      <c r="F18" s="2" t="s">
        <v>89</v>
      </c>
      <c r="G18" s="6">
        <v>844.94</v>
      </c>
      <c r="H18" s="6">
        <f t="shared" si="0"/>
        <v>9094.8496660000001</v>
      </c>
      <c r="I18" s="22">
        <v>10</v>
      </c>
      <c r="J18" s="2">
        <v>1993</v>
      </c>
      <c r="K18" s="2">
        <v>2022</v>
      </c>
    </row>
    <row r="19" spans="2:11" x14ac:dyDescent="0.25">
      <c r="B19" s="12">
        <v>15</v>
      </c>
      <c r="C19" s="2" t="s">
        <v>2</v>
      </c>
      <c r="D19" s="2" t="s">
        <v>48</v>
      </c>
      <c r="E19" s="22" t="s">
        <v>31</v>
      </c>
      <c r="F19" s="2" t="s">
        <v>89</v>
      </c>
      <c r="G19" s="6">
        <v>113.88</v>
      </c>
      <c r="H19" s="6">
        <f t="shared" si="0"/>
        <v>1225.7929319999998</v>
      </c>
      <c r="I19" s="22">
        <v>10</v>
      </c>
      <c r="J19" s="2">
        <v>1993</v>
      </c>
      <c r="K19" s="2">
        <v>2022</v>
      </c>
    </row>
    <row r="20" spans="2:11" x14ac:dyDescent="0.25">
      <c r="B20" s="12">
        <v>16</v>
      </c>
      <c r="C20" s="2" t="s">
        <v>2</v>
      </c>
      <c r="D20" s="2" t="s">
        <v>49</v>
      </c>
      <c r="E20" s="22" t="s">
        <v>31</v>
      </c>
      <c r="F20" s="2" t="s">
        <v>89</v>
      </c>
      <c r="G20" s="6">
        <v>165.18</v>
      </c>
      <c r="H20" s="6">
        <f t="shared" si="0"/>
        <v>1777.981002</v>
      </c>
      <c r="I20" s="22">
        <v>10</v>
      </c>
      <c r="J20" s="2">
        <v>1993</v>
      </c>
      <c r="K20" s="2">
        <v>2022</v>
      </c>
    </row>
    <row r="21" spans="2:11" x14ac:dyDescent="0.25">
      <c r="B21" s="12">
        <v>17</v>
      </c>
      <c r="C21" s="2" t="s">
        <v>2</v>
      </c>
      <c r="D21" s="2" t="s">
        <v>50</v>
      </c>
      <c r="E21" s="22" t="s">
        <v>31</v>
      </c>
      <c r="F21" s="2" t="s">
        <v>89</v>
      </c>
      <c r="G21" s="6">
        <v>165.18</v>
      </c>
      <c r="H21" s="6">
        <f t="shared" si="0"/>
        <v>1777.981002</v>
      </c>
      <c r="I21" s="22">
        <v>10</v>
      </c>
      <c r="J21" s="2">
        <v>1993</v>
      </c>
      <c r="K21" s="2">
        <v>2022</v>
      </c>
    </row>
    <row r="22" spans="2:11" x14ac:dyDescent="0.25">
      <c r="B22" s="12">
        <v>18</v>
      </c>
      <c r="C22" s="2" t="s">
        <v>85</v>
      </c>
      <c r="D22" s="2" t="s">
        <v>51</v>
      </c>
      <c r="E22" s="22" t="s">
        <v>31</v>
      </c>
      <c r="F22" s="2" t="s">
        <v>89</v>
      </c>
      <c r="G22" s="6">
        <v>372.08</v>
      </c>
      <c r="H22" s="6">
        <f t="shared" si="0"/>
        <v>4005.0319119999995</v>
      </c>
      <c r="I22" s="22">
        <v>10</v>
      </c>
      <c r="J22" s="2">
        <v>1993</v>
      </c>
      <c r="K22" s="2">
        <v>2022</v>
      </c>
    </row>
    <row r="23" spans="2:11" x14ac:dyDescent="0.25">
      <c r="B23" s="12">
        <v>19</v>
      </c>
      <c r="C23" s="2" t="s">
        <v>86</v>
      </c>
      <c r="D23" s="2" t="s">
        <v>52</v>
      </c>
      <c r="E23" s="22" t="s">
        <v>30</v>
      </c>
      <c r="F23" s="2" t="s">
        <v>89</v>
      </c>
      <c r="G23" s="6">
        <v>1450</v>
      </c>
      <c r="H23" s="6">
        <f t="shared" si="0"/>
        <v>15607.654999999999</v>
      </c>
      <c r="I23" s="22">
        <v>15</v>
      </c>
      <c r="J23" s="2">
        <v>1993</v>
      </c>
      <c r="K23" s="2">
        <v>2022</v>
      </c>
    </row>
    <row r="24" spans="2:11" x14ac:dyDescent="0.25">
      <c r="B24" s="12">
        <v>20</v>
      </c>
      <c r="C24" s="2" t="s">
        <v>2</v>
      </c>
      <c r="D24" s="2" t="s">
        <v>53</v>
      </c>
      <c r="E24" s="22" t="s">
        <v>30</v>
      </c>
      <c r="F24" s="2" t="s">
        <v>89</v>
      </c>
      <c r="G24" s="6">
        <v>524.69200000000001</v>
      </c>
      <c r="H24" s="6">
        <f t="shared" si="0"/>
        <v>5647.7322187999998</v>
      </c>
      <c r="I24" s="22">
        <v>10</v>
      </c>
      <c r="J24" s="2">
        <v>1993</v>
      </c>
      <c r="K24" s="2">
        <v>2022</v>
      </c>
    </row>
    <row r="25" spans="2:11" x14ac:dyDescent="0.25">
      <c r="B25" s="12">
        <v>21</v>
      </c>
      <c r="C25" s="2" t="s">
        <v>87</v>
      </c>
      <c r="D25" s="2" t="s">
        <v>54</v>
      </c>
      <c r="E25" s="22" t="s">
        <v>30</v>
      </c>
      <c r="F25" s="2" t="s">
        <v>89</v>
      </c>
      <c r="G25" s="6">
        <v>21.364999999999998</v>
      </c>
      <c r="H25" s="6">
        <f t="shared" si="0"/>
        <v>229.97072349999996</v>
      </c>
      <c r="I25" s="22">
        <v>80</v>
      </c>
      <c r="J25" s="2">
        <v>1993</v>
      </c>
      <c r="K25" s="2">
        <v>2022</v>
      </c>
    </row>
    <row r="26" spans="2:11" x14ac:dyDescent="0.25">
      <c r="B26" s="12">
        <v>22</v>
      </c>
      <c r="C26" s="2" t="s">
        <v>88</v>
      </c>
      <c r="D26" s="2" t="s">
        <v>55</v>
      </c>
      <c r="E26" s="22" t="s">
        <v>30</v>
      </c>
      <c r="F26" s="2" t="s">
        <v>89</v>
      </c>
      <c r="G26" s="6">
        <v>1103.19</v>
      </c>
      <c r="H26" s="6">
        <f t="shared" si="0"/>
        <v>11874.626840999999</v>
      </c>
      <c r="I26" s="22">
        <v>10</v>
      </c>
      <c r="J26" s="2">
        <v>1993</v>
      </c>
      <c r="K26" s="2">
        <v>2022</v>
      </c>
    </row>
    <row r="27" spans="2:11" x14ac:dyDescent="0.25">
      <c r="B27" s="12">
        <v>23</v>
      </c>
      <c r="C27" s="2" t="s">
        <v>2</v>
      </c>
      <c r="D27" s="2" t="s">
        <v>56</v>
      </c>
      <c r="E27" s="22" t="s">
        <v>29</v>
      </c>
      <c r="F27" s="2" t="s">
        <v>89</v>
      </c>
      <c r="G27" s="6">
        <v>147</v>
      </c>
      <c r="H27" s="6">
        <f t="shared" si="0"/>
        <v>1582.2933</v>
      </c>
      <c r="I27" s="22">
        <v>10</v>
      </c>
      <c r="J27" s="2">
        <v>1993</v>
      </c>
      <c r="K27" s="2">
        <v>2022</v>
      </c>
    </row>
    <row r="28" spans="2:11" x14ac:dyDescent="0.25">
      <c r="B28" s="12">
        <v>24</v>
      </c>
      <c r="C28" s="2" t="s">
        <v>2</v>
      </c>
      <c r="D28" s="2" t="s">
        <v>57</v>
      </c>
      <c r="E28" s="23" t="s">
        <v>30</v>
      </c>
      <c r="F28" s="2" t="s">
        <v>89</v>
      </c>
      <c r="G28" s="6">
        <v>48</v>
      </c>
      <c r="H28" s="6">
        <f t="shared" si="0"/>
        <v>516.66719999999998</v>
      </c>
      <c r="I28" s="23">
        <v>15</v>
      </c>
      <c r="J28" s="2">
        <v>1993</v>
      </c>
      <c r="K28" s="2">
        <v>2022</v>
      </c>
    </row>
    <row r="29" spans="2:11" x14ac:dyDescent="0.25">
      <c r="B29" s="12">
        <v>25</v>
      </c>
      <c r="C29" s="2" t="s">
        <v>2</v>
      </c>
      <c r="D29" s="2" t="s">
        <v>58</v>
      </c>
      <c r="E29" s="23" t="s">
        <v>30</v>
      </c>
      <c r="F29" s="2" t="s">
        <v>89</v>
      </c>
      <c r="G29" s="6">
        <v>160</v>
      </c>
      <c r="H29" s="6">
        <f t="shared" si="0"/>
        <v>1722.2239999999999</v>
      </c>
      <c r="I29" s="23">
        <v>15</v>
      </c>
      <c r="J29" s="2">
        <v>1993</v>
      </c>
      <c r="K29" s="2">
        <v>2022</v>
      </c>
    </row>
    <row r="30" spans="2:11" x14ac:dyDescent="0.25">
      <c r="B30" s="12">
        <v>26</v>
      </c>
      <c r="C30" s="2" t="s">
        <v>2</v>
      </c>
      <c r="D30" s="2" t="s">
        <v>59</v>
      </c>
      <c r="E30" s="23" t="s">
        <v>30</v>
      </c>
      <c r="F30" s="2" t="s">
        <v>89</v>
      </c>
      <c r="G30" s="6">
        <v>105</v>
      </c>
      <c r="H30" s="6">
        <f t="shared" si="0"/>
        <v>1130.2094999999999</v>
      </c>
      <c r="I30" s="23">
        <v>15</v>
      </c>
      <c r="J30" s="2">
        <v>1993</v>
      </c>
      <c r="K30" s="2">
        <v>2022</v>
      </c>
    </row>
    <row r="31" spans="2:11" x14ac:dyDescent="0.25">
      <c r="B31" s="12">
        <v>27</v>
      </c>
      <c r="C31" s="2" t="s">
        <v>85</v>
      </c>
      <c r="D31" s="2" t="s">
        <v>60</v>
      </c>
      <c r="E31" s="23" t="s">
        <v>30</v>
      </c>
      <c r="F31" s="2" t="s">
        <v>89</v>
      </c>
      <c r="G31" s="6">
        <v>906.98599999999999</v>
      </c>
      <c r="H31" s="6">
        <f t="shared" si="0"/>
        <v>9762.7066053999988</v>
      </c>
      <c r="I31" s="23">
        <v>10</v>
      </c>
      <c r="J31" s="2">
        <v>1994</v>
      </c>
      <c r="K31" s="2">
        <v>2022</v>
      </c>
    </row>
    <row r="32" spans="2:11" x14ac:dyDescent="0.25">
      <c r="B32" s="12">
        <v>28</v>
      </c>
      <c r="C32" s="2" t="s">
        <v>2</v>
      </c>
      <c r="D32" s="2" t="s">
        <v>61</v>
      </c>
      <c r="E32" s="23" t="s">
        <v>30</v>
      </c>
      <c r="F32" s="2" t="s">
        <v>89</v>
      </c>
      <c r="G32" s="6">
        <v>460.4</v>
      </c>
      <c r="H32" s="6">
        <f t="shared" si="0"/>
        <v>4955.6995599999991</v>
      </c>
      <c r="I32" s="23">
        <v>12</v>
      </c>
      <c r="J32" s="2">
        <v>1994</v>
      </c>
      <c r="K32" s="2">
        <v>2022</v>
      </c>
    </row>
    <row r="33" spans="2:11" x14ac:dyDescent="0.25">
      <c r="B33" s="12">
        <v>29</v>
      </c>
      <c r="C33" s="19" t="s">
        <v>2</v>
      </c>
      <c r="D33" s="2" t="s">
        <v>62</v>
      </c>
      <c r="E33" s="23" t="s">
        <v>32</v>
      </c>
      <c r="F33" s="2" t="s">
        <v>89</v>
      </c>
      <c r="G33" s="6">
        <v>588.01</v>
      </c>
      <c r="H33" s="6">
        <f t="shared" si="0"/>
        <v>6329.280839</v>
      </c>
      <c r="I33" s="23">
        <v>31</v>
      </c>
      <c r="J33" s="2">
        <v>1994</v>
      </c>
      <c r="K33" s="2">
        <v>2022</v>
      </c>
    </row>
    <row r="34" spans="2:11" x14ac:dyDescent="0.25">
      <c r="B34" s="12">
        <v>30</v>
      </c>
      <c r="C34" s="19" t="s">
        <v>85</v>
      </c>
      <c r="D34" s="2" t="s">
        <v>63</v>
      </c>
      <c r="E34" s="23" t="s">
        <v>30</v>
      </c>
      <c r="F34" s="2" t="s">
        <v>89</v>
      </c>
      <c r="G34" s="6">
        <v>802.42600000000004</v>
      </c>
      <c r="H34" s="6">
        <f t="shared" si="0"/>
        <v>8637.2332213999998</v>
      </c>
      <c r="I34" s="23">
        <v>10</v>
      </c>
      <c r="J34" s="2">
        <v>1994</v>
      </c>
      <c r="K34" s="2">
        <v>2022</v>
      </c>
    </row>
    <row r="35" spans="2:11" x14ac:dyDescent="0.25">
      <c r="B35" s="12">
        <v>31</v>
      </c>
      <c r="C35" s="19" t="s">
        <v>88</v>
      </c>
      <c r="D35" s="2" t="s">
        <v>64</v>
      </c>
      <c r="E35" s="23" t="s">
        <v>30</v>
      </c>
      <c r="F35" s="2" t="s">
        <v>89</v>
      </c>
      <c r="G35" s="6">
        <v>1193.2260000000001</v>
      </c>
      <c r="H35" s="6">
        <f t="shared" si="0"/>
        <v>12843.765341400001</v>
      </c>
      <c r="I35" s="23">
        <v>10</v>
      </c>
      <c r="J35" s="2">
        <v>1997</v>
      </c>
      <c r="K35" s="2">
        <v>2022</v>
      </c>
    </row>
    <row r="36" spans="2:11" x14ac:dyDescent="0.25">
      <c r="B36" s="12">
        <v>32</v>
      </c>
      <c r="C36" s="19" t="s">
        <v>2</v>
      </c>
      <c r="D36" s="2" t="s">
        <v>65</v>
      </c>
      <c r="E36" s="23" t="s">
        <v>30</v>
      </c>
      <c r="F36" s="2" t="s">
        <v>89</v>
      </c>
      <c r="G36" s="6">
        <v>225</v>
      </c>
      <c r="H36" s="6">
        <f t="shared" si="0"/>
        <v>2421.8775000000001</v>
      </c>
      <c r="I36" s="23">
        <v>12</v>
      </c>
      <c r="J36" s="2">
        <v>1997</v>
      </c>
      <c r="K36" s="2">
        <v>2022</v>
      </c>
    </row>
    <row r="37" spans="2:11" x14ac:dyDescent="0.25">
      <c r="B37" s="12">
        <v>33</v>
      </c>
      <c r="C37" s="27"/>
      <c r="D37" s="24" t="s">
        <v>66</v>
      </c>
      <c r="E37" s="25"/>
      <c r="F37" s="24" t="s">
        <v>89</v>
      </c>
      <c r="G37" s="26">
        <v>0</v>
      </c>
      <c r="H37" s="26">
        <f t="shared" si="0"/>
        <v>0</v>
      </c>
      <c r="I37" s="25">
        <v>0</v>
      </c>
      <c r="J37" s="24">
        <v>1997</v>
      </c>
      <c r="K37" s="24">
        <v>2022</v>
      </c>
    </row>
    <row r="38" spans="2:11" x14ac:dyDescent="0.25">
      <c r="B38" s="12">
        <v>34</v>
      </c>
      <c r="C38" s="19"/>
      <c r="D38" s="2" t="s">
        <v>67</v>
      </c>
      <c r="E38" s="23" t="s">
        <v>30</v>
      </c>
      <c r="F38" s="2" t="s">
        <v>89</v>
      </c>
      <c r="G38" s="6">
        <v>0</v>
      </c>
      <c r="H38" s="6">
        <f t="shared" si="0"/>
        <v>0</v>
      </c>
      <c r="I38" s="23">
        <v>10</v>
      </c>
      <c r="J38" s="2">
        <v>1997</v>
      </c>
      <c r="K38" s="2">
        <v>2022</v>
      </c>
    </row>
    <row r="39" spans="2:11" x14ac:dyDescent="0.25">
      <c r="B39" s="12">
        <v>35</v>
      </c>
      <c r="C39" s="19" t="s">
        <v>2</v>
      </c>
      <c r="D39" s="2" t="s">
        <v>68</v>
      </c>
      <c r="E39" s="23" t="s">
        <v>30</v>
      </c>
      <c r="F39" s="2" t="s">
        <v>89</v>
      </c>
      <c r="G39" s="6">
        <v>63</v>
      </c>
      <c r="H39" s="6">
        <f t="shared" si="0"/>
        <v>678.12569999999994</v>
      </c>
      <c r="I39" s="23">
        <v>15</v>
      </c>
      <c r="J39" s="2">
        <v>1997</v>
      </c>
      <c r="K39" s="2">
        <v>2022</v>
      </c>
    </row>
    <row r="40" spans="2:11" x14ac:dyDescent="0.25">
      <c r="B40" s="12">
        <v>36</v>
      </c>
      <c r="C40" s="19" t="s">
        <v>2</v>
      </c>
      <c r="D40" s="2" t="s">
        <v>69</v>
      </c>
      <c r="E40" s="23" t="s">
        <v>30</v>
      </c>
      <c r="F40" s="2" t="s">
        <v>89</v>
      </c>
      <c r="G40" s="6">
        <v>84</v>
      </c>
      <c r="H40" s="6">
        <f t="shared" si="0"/>
        <v>904.16759999999999</v>
      </c>
      <c r="I40" s="23">
        <v>25</v>
      </c>
      <c r="J40" s="2">
        <v>1997</v>
      </c>
      <c r="K40" s="2">
        <v>2022</v>
      </c>
    </row>
    <row r="41" spans="2:11" x14ac:dyDescent="0.25">
      <c r="B41" s="12">
        <v>37</v>
      </c>
      <c r="C41" s="19" t="s">
        <v>2</v>
      </c>
      <c r="D41" s="2" t="s">
        <v>56</v>
      </c>
      <c r="E41" s="23" t="s">
        <v>30</v>
      </c>
      <c r="F41" s="2" t="s">
        <v>89</v>
      </c>
      <c r="G41" s="6">
        <v>294</v>
      </c>
      <c r="H41" s="6">
        <f t="shared" si="0"/>
        <v>3164.5866000000001</v>
      </c>
      <c r="I41" s="23">
        <v>25</v>
      </c>
      <c r="J41" s="2">
        <v>1997</v>
      </c>
      <c r="K41" s="2">
        <v>2022</v>
      </c>
    </row>
    <row r="42" spans="2:11" x14ac:dyDescent="0.25">
      <c r="B42" s="12">
        <v>38</v>
      </c>
      <c r="C42" s="19" t="s">
        <v>2</v>
      </c>
      <c r="D42" s="2" t="s">
        <v>70</v>
      </c>
      <c r="E42" s="23" t="s">
        <v>30</v>
      </c>
      <c r="F42" s="2" t="s">
        <v>89</v>
      </c>
      <c r="G42" s="6">
        <v>75.92</v>
      </c>
      <c r="H42" s="6">
        <f t="shared" si="0"/>
        <v>817.19528800000001</v>
      </c>
      <c r="I42" s="23">
        <v>10</v>
      </c>
      <c r="J42" s="2">
        <v>1997</v>
      </c>
      <c r="K42" s="2">
        <v>2022</v>
      </c>
    </row>
    <row r="43" spans="2:11" x14ac:dyDescent="0.25">
      <c r="B43" s="12">
        <v>39</v>
      </c>
      <c r="C43" s="19" t="s">
        <v>2</v>
      </c>
      <c r="D43" s="2" t="s">
        <v>71</v>
      </c>
      <c r="E43" s="23" t="s">
        <v>30</v>
      </c>
      <c r="F43" s="2" t="s">
        <v>89</v>
      </c>
      <c r="G43" s="6">
        <v>126</v>
      </c>
      <c r="H43" s="6">
        <f t="shared" si="0"/>
        <v>1356.2513999999999</v>
      </c>
      <c r="I43" s="23">
        <v>20</v>
      </c>
      <c r="J43" s="2">
        <v>2000</v>
      </c>
      <c r="K43" s="2">
        <v>2022</v>
      </c>
    </row>
    <row r="44" spans="2:11" ht="30" x14ac:dyDescent="0.25">
      <c r="B44" s="12">
        <v>40</v>
      </c>
      <c r="C44" s="19" t="s">
        <v>2</v>
      </c>
      <c r="D44" s="2" t="s">
        <v>72</v>
      </c>
      <c r="E44" s="23" t="s">
        <v>29</v>
      </c>
      <c r="F44" s="2" t="s">
        <v>89</v>
      </c>
      <c r="G44" s="6">
        <v>6480</v>
      </c>
      <c r="H44" s="6">
        <f t="shared" si="0"/>
        <v>69750.072</v>
      </c>
      <c r="I44" s="23">
        <v>31</v>
      </c>
      <c r="J44" s="2">
        <v>1999</v>
      </c>
      <c r="K44" s="2">
        <v>2022</v>
      </c>
    </row>
    <row r="45" spans="2:11" x14ac:dyDescent="0.25">
      <c r="B45" s="12">
        <v>41</v>
      </c>
      <c r="C45" s="19" t="s">
        <v>2</v>
      </c>
      <c r="D45" s="2" t="s">
        <v>73</v>
      </c>
      <c r="E45" s="23" t="s">
        <v>29</v>
      </c>
      <c r="F45" s="2" t="s">
        <v>89</v>
      </c>
      <c r="G45" s="6">
        <v>3538.5</v>
      </c>
      <c r="H45" s="6">
        <f t="shared" si="0"/>
        <v>38088.060149999998</v>
      </c>
      <c r="I45" s="23">
        <v>31</v>
      </c>
      <c r="J45" s="2">
        <v>2001</v>
      </c>
      <c r="K45" s="2">
        <v>2022</v>
      </c>
    </row>
    <row r="46" spans="2:11" x14ac:dyDescent="0.25">
      <c r="B46" s="12">
        <v>42</v>
      </c>
      <c r="C46" s="19" t="s">
        <v>2</v>
      </c>
      <c r="D46" s="2" t="s">
        <v>74</v>
      </c>
      <c r="E46" s="23" t="s">
        <v>30</v>
      </c>
      <c r="F46" s="2" t="s">
        <v>89</v>
      </c>
      <c r="G46" s="6">
        <v>147</v>
      </c>
      <c r="H46" s="6">
        <f t="shared" si="0"/>
        <v>1582.2933</v>
      </c>
      <c r="I46" s="23">
        <v>25</v>
      </c>
      <c r="J46" s="2">
        <v>2000</v>
      </c>
      <c r="K46" s="2">
        <v>2022</v>
      </c>
    </row>
    <row r="47" spans="2:11" x14ac:dyDescent="0.25">
      <c r="B47" s="12">
        <v>43</v>
      </c>
      <c r="C47" s="19" t="s">
        <v>2</v>
      </c>
      <c r="D47" s="2" t="s">
        <v>75</v>
      </c>
      <c r="E47" s="23" t="s">
        <v>29</v>
      </c>
      <c r="F47" s="2" t="s">
        <v>89</v>
      </c>
      <c r="G47" s="6">
        <v>507.5</v>
      </c>
      <c r="H47" s="6">
        <f t="shared" si="0"/>
        <v>5462.6792500000001</v>
      </c>
      <c r="I47" s="23">
        <v>31</v>
      </c>
      <c r="J47" s="2">
        <v>2014</v>
      </c>
      <c r="K47" s="2">
        <v>2022</v>
      </c>
    </row>
    <row r="48" spans="2:11" x14ac:dyDescent="0.25">
      <c r="B48" s="12">
        <v>44</v>
      </c>
      <c r="C48" s="19" t="s">
        <v>2</v>
      </c>
      <c r="D48" s="2" t="s">
        <v>76</v>
      </c>
      <c r="E48" s="23" t="s">
        <v>29</v>
      </c>
      <c r="F48" s="2" t="s">
        <v>89</v>
      </c>
      <c r="G48" s="6">
        <v>3950</v>
      </c>
      <c r="H48" s="6">
        <f t="shared" si="0"/>
        <v>42517.404999999999</v>
      </c>
      <c r="I48" s="23">
        <v>31</v>
      </c>
      <c r="J48" s="2">
        <v>2017</v>
      </c>
      <c r="K48" s="2">
        <v>2022</v>
      </c>
    </row>
    <row r="49" spans="2:11" x14ac:dyDescent="0.25">
      <c r="B49" s="12">
        <v>45</v>
      </c>
      <c r="C49" s="19" t="s">
        <v>2</v>
      </c>
      <c r="D49" s="2" t="s">
        <v>77</v>
      </c>
      <c r="E49" s="23" t="s">
        <v>29</v>
      </c>
      <c r="F49" s="2" t="s">
        <v>89</v>
      </c>
      <c r="G49" s="6">
        <v>2325</v>
      </c>
      <c r="H49" s="6">
        <f t="shared" si="0"/>
        <v>25026.067499999997</v>
      </c>
      <c r="I49" s="23">
        <v>31</v>
      </c>
      <c r="J49" s="2">
        <v>2018</v>
      </c>
      <c r="K49" s="2">
        <v>2022</v>
      </c>
    </row>
    <row r="50" spans="2:11" ht="30" x14ac:dyDescent="0.25">
      <c r="B50" s="12">
        <v>46</v>
      </c>
      <c r="C50" s="19" t="s">
        <v>81</v>
      </c>
      <c r="D50" s="2" t="s">
        <v>78</v>
      </c>
      <c r="E50" s="23" t="s">
        <v>33</v>
      </c>
      <c r="F50" s="2" t="s">
        <v>89</v>
      </c>
      <c r="G50" s="6">
        <v>4559.386617100372</v>
      </c>
      <c r="H50" s="6">
        <f t="shared" si="0"/>
        <v>49076.78160780669</v>
      </c>
      <c r="I50" s="23">
        <v>31</v>
      </c>
      <c r="J50" s="2">
        <v>2018</v>
      </c>
      <c r="K50" s="2">
        <v>2022</v>
      </c>
    </row>
    <row r="51" spans="2:11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2:11" x14ac:dyDescent="0.25">
      <c r="B52" s="20"/>
    </row>
    <row r="53" spans="2:11" x14ac:dyDescent="0.25">
      <c r="B53" s="20"/>
    </row>
    <row r="54" spans="2:11" x14ac:dyDescent="0.25">
      <c r="B54" s="20"/>
    </row>
    <row r="55" spans="2:11" x14ac:dyDescent="0.25">
      <c r="B55" s="20"/>
    </row>
    <row r="56" spans="2:11" x14ac:dyDescent="0.25">
      <c r="B56" s="20"/>
    </row>
    <row r="57" spans="2:11" x14ac:dyDescent="0.25">
      <c r="B57" s="20"/>
    </row>
    <row r="58" spans="2:11" x14ac:dyDescent="0.25">
      <c r="B58" s="21"/>
    </row>
  </sheetData>
  <mergeCells count="1">
    <mergeCell ref="B51:K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0"/>
  <sheetViews>
    <sheetView topLeftCell="B1" zoomScale="70" zoomScaleNormal="70" workbookViewId="0">
      <selection activeCell="B27" sqref="B27"/>
    </sheetView>
  </sheetViews>
  <sheetFormatPr defaultRowHeight="15" x14ac:dyDescent="0.25"/>
  <cols>
    <col min="2" max="2" width="10.28515625" bestFit="1" customWidth="1"/>
    <col min="3" max="3" width="17.28515625" bestFit="1" customWidth="1"/>
    <col min="4" max="4" width="35.85546875" bestFit="1" customWidth="1"/>
    <col min="5" max="5" width="41.7109375" bestFit="1" customWidth="1"/>
    <col min="6" max="6" width="12.28515625" bestFit="1" customWidth="1"/>
    <col min="7" max="7" width="15.42578125" bestFit="1" customWidth="1"/>
    <col min="8" max="8" width="11" bestFit="1" customWidth="1"/>
    <col min="9" max="9" width="9.5703125" bestFit="1" customWidth="1"/>
    <col min="10" max="10" width="6.85546875" customWidth="1"/>
    <col min="11" max="11" width="11.140625" bestFit="1" customWidth="1"/>
    <col min="12" max="12" width="9.140625" bestFit="1" customWidth="1"/>
    <col min="13" max="13" width="12.85546875" bestFit="1" customWidth="1"/>
    <col min="14" max="14" width="11.42578125" bestFit="1" customWidth="1"/>
    <col min="15" max="15" width="7.85546875" bestFit="1" customWidth="1"/>
    <col min="16" max="16" width="12.42578125" bestFit="1" customWidth="1"/>
    <col min="17" max="18" width="13.85546875" bestFit="1" customWidth="1"/>
    <col min="19" max="19" width="18.85546875" bestFit="1" customWidth="1"/>
    <col min="20" max="20" width="15.42578125" bestFit="1" customWidth="1"/>
    <col min="21" max="21" width="18.7109375" bestFit="1" customWidth="1"/>
    <col min="22" max="22" width="11.42578125" bestFit="1" customWidth="1"/>
    <col min="23" max="23" width="19.7109375" bestFit="1" customWidth="1"/>
    <col min="24" max="24" width="12" bestFit="1" customWidth="1"/>
    <col min="25" max="26" width="14.28515625" bestFit="1" customWidth="1"/>
  </cols>
  <sheetData>
    <row r="2" spans="2:26" ht="15.75" x14ac:dyDescent="0.25">
      <c r="B2" s="50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2:26" s="15" customFormat="1" ht="60" x14ac:dyDescent="0.25">
      <c r="B3" s="13" t="s">
        <v>0</v>
      </c>
      <c r="C3" s="13" t="s">
        <v>1</v>
      </c>
      <c r="D3" s="13" t="s">
        <v>11</v>
      </c>
      <c r="E3" s="13" t="s">
        <v>5</v>
      </c>
      <c r="F3" s="14" t="s">
        <v>20</v>
      </c>
      <c r="G3" s="14" t="s">
        <v>26</v>
      </c>
      <c r="H3" s="14" t="s">
        <v>13</v>
      </c>
      <c r="I3" s="14" t="s">
        <v>14</v>
      </c>
      <c r="J3" s="14" t="s">
        <v>15</v>
      </c>
      <c r="K3" s="14" t="s">
        <v>3</v>
      </c>
      <c r="L3" s="14" t="s">
        <v>4</v>
      </c>
      <c r="M3" s="14" t="s">
        <v>16</v>
      </c>
      <c r="N3" s="14" t="s">
        <v>17</v>
      </c>
      <c r="O3" s="14" t="s">
        <v>6</v>
      </c>
      <c r="P3" s="14" t="s">
        <v>8</v>
      </c>
      <c r="Q3" s="14" t="s">
        <v>18</v>
      </c>
      <c r="R3" s="14" t="s">
        <v>19</v>
      </c>
      <c r="S3" s="14" t="s">
        <v>12</v>
      </c>
      <c r="T3" s="14" t="s">
        <v>27</v>
      </c>
      <c r="U3" s="14" t="s">
        <v>9</v>
      </c>
      <c r="V3" s="14" t="s">
        <v>93</v>
      </c>
      <c r="W3" s="14" t="s">
        <v>10</v>
      </c>
    </row>
    <row r="4" spans="2:26" x14ac:dyDescent="0.25">
      <c r="B4" s="12">
        <v>1</v>
      </c>
      <c r="C4" s="2" t="s">
        <v>2</v>
      </c>
      <c r="D4" s="2" t="s">
        <v>34</v>
      </c>
      <c r="E4" s="2" t="s">
        <v>29</v>
      </c>
      <c r="F4" s="18" t="s">
        <v>79</v>
      </c>
      <c r="G4" s="18" t="s">
        <v>80</v>
      </c>
      <c r="H4" s="6">
        <v>7027</v>
      </c>
      <c r="I4" s="9">
        <f>H4*10.7639</f>
        <v>75637.925300000003</v>
      </c>
      <c r="J4" s="2">
        <v>31</v>
      </c>
      <c r="K4" s="2">
        <v>1984</v>
      </c>
      <c r="L4" s="2">
        <v>2022</v>
      </c>
      <c r="M4" s="2">
        <f>L4-K4</f>
        <v>38</v>
      </c>
      <c r="N4" s="2">
        <v>65</v>
      </c>
      <c r="O4" s="3">
        <v>0.05</v>
      </c>
      <c r="P4" s="5">
        <f>(1-O4)/N4</f>
        <v>1.4615384615384615E-2</v>
      </c>
      <c r="Q4" s="2">
        <v>2000</v>
      </c>
      <c r="R4" s="4">
        <f>Q4*10.7639</f>
        <v>21527.8</v>
      </c>
      <c r="S4" s="7">
        <f>R4*H4</f>
        <v>151275850.59999999</v>
      </c>
      <c r="T4" s="7">
        <f>S4*P4*M4</f>
        <v>84016280.102461532</v>
      </c>
      <c r="U4" s="7">
        <f t="shared" ref="U4" si="0">MAX(S4-T4,0)</f>
        <v>67259570.497538462</v>
      </c>
      <c r="V4" s="10">
        <v>0.1</v>
      </c>
      <c r="W4" s="7">
        <f>IF(U4&gt;O4*S4,U4*(1+V4),S4*O4)</f>
        <v>73985527.547292322</v>
      </c>
      <c r="X4" s="11">
        <f>W4/I4</f>
        <v>978.1538461538463</v>
      </c>
      <c r="Y4" s="1"/>
      <c r="Z4" s="1"/>
    </row>
    <row r="5" spans="2:26" x14ac:dyDescent="0.25">
      <c r="B5" s="12">
        <v>2</v>
      </c>
      <c r="C5" s="2" t="s">
        <v>2</v>
      </c>
      <c r="D5" s="2" t="s">
        <v>35</v>
      </c>
      <c r="E5" s="2" t="s">
        <v>30</v>
      </c>
      <c r="F5" s="18" t="s">
        <v>79</v>
      </c>
      <c r="G5" s="18" t="s">
        <v>80</v>
      </c>
      <c r="H5" s="6">
        <v>196</v>
      </c>
      <c r="I5" s="9">
        <f t="shared" ref="I5:I49" si="1">H5*10.7639</f>
        <v>2109.7244000000001</v>
      </c>
      <c r="J5" s="2">
        <v>25</v>
      </c>
      <c r="K5" s="2">
        <v>1985</v>
      </c>
      <c r="L5" s="2">
        <v>2022</v>
      </c>
      <c r="M5" s="2">
        <f t="shared" ref="M5:M49" si="2">L5-K5</f>
        <v>37</v>
      </c>
      <c r="N5" s="2">
        <v>65</v>
      </c>
      <c r="O5" s="3">
        <v>0.05</v>
      </c>
      <c r="P5" s="5">
        <f t="shared" ref="P5:P49" si="3">(1-O5)/N5</f>
        <v>1.4615384615384615E-2</v>
      </c>
      <c r="Q5" s="2">
        <v>2000</v>
      </c>
      <c r="R5" s="4">
        <f t="shared" ref="R5:R49" si="4">Q5*10.7639</f>
        <v>21527.8</v>
      </c>
      <c r="S5" s="7">
        <f t="shared" ref="S5:S49" si="5">R5*H5</f>
        <v>4219448.8</v>
      </c>
      <c r="T5" s="7">
        <f t="shared" ref="T5:T49" si="6">S5*P5*M5</f>
        <v>2281748.0818461538</v>
      </c>
      <c r="U5" s="7">
        <f t="shared" ref="U5:U49" si="7">MAX(S5-T5,0)</f>
        <v>1937700.718153846</v>
      </c>
      <c r="V5" s="10">
        <v>0.1</v>
      </c>
      <c r="W5" s="7">
        <f>IF(U5&gt;O5*S5,U5*(1-V5),S5*O5)</f>
        <v>1743930.6463384614</v>
      </c>
      <c r="X5" s="11">
        <f t="shared" ref="X5:X14" si="8">W5/I5</f>
        <v>826.61538461538453</v>
      </c>
      <c r="Y5" s="1"/>
      <c r="Z5" s="1"/>
    </row>
    <row r="6" spans="2:26" x14ac:dyDescent="0.25">
      <c r="B6" s="12">
        <v>3</v>
      </c>
      <c r="C6" s="2" t="s">
        <v>2</v>
      </c>
      <c r="D6" s="2" t="s">
        <v>36</v>
      </c>
      <c r="E6" s="2" t="s">
        <v>30</v>
      </c>
      <c r="F6" s="18" t="s">
        <v>79</v>
      </c>
      <c r="G6" s="18" t="s">
        <v>80</v>
      </c>
      <c r="H6" s="6">
        <v>126</v>
      </c>
      <c r="I6" s="9">
        <f t="shared" si="1"/>
        <v>1356.2513999999999</v>
      </c>
      <c r="J6" s="2">
        <v>25</v>
      </c>
      <c r="K6" s="2">
        <v>1985</v>
      </c>
      <c r="L6" s="2">
        <v>2022</v>
      </c>
      <c r="M6" s="2">
        <f t="shared" si="2"/>
        <v>37</v>
      </c>
      <c r="N6" s="2">
        <v>65</v>
      </c>
      <c r="O6" s="3">
        <v>0.05</v>
      </c>
      <c r="P6" s="5">
        <f t="shared" si="3"/>
        <v>1.4615384615384615E-2</v>
      </c>
      <c r="Q6" s="2">
        <v>2000</v>
      </c>
      <c r="R6" s="4">
        <f t="shared" si="4"/>
        <v>21527.8</v>
      </c>
      <c r="S6" s="7">
        <f t="shared" si="5"/>
        <v>2712502.8</v>
      </c>
      <c r="T6" s="7">
        <f t="shared" si="6"/>
        <v>1466838.0526153843</v>
      </c>
      <c r="U6" s="7">
        <f t="shared" si="7"/>
        <v>1245664.7473846155</v>
      </c>
      <c r="V6" s="10">
        <v>0.1</v>
      </c>
      <c r="W6" s="7">
        <f t="shared" ref="W6:W13" si="9">IF(U6&gt;O6*S6,U6*(1-V6),S6*O6)</f>
        <v>1121098.272646154</v>
      </c>
      <c r="X6" s="11">
        <f t="shared" si="8"/>
        <v>826.61538461538487</v>
      </c>
      <c r="Y6" s="1"/>
      <c r="Z6" s="1"/>
    </row>
    <row r="7" spans="2:26" x14ac:dyDescent="0.25">
      <c r="B7" s="12">
        <v>4</v>
      </c>
      <c r="C7" s="2" t="s">
        <v>2</v>
      </c>
      <c r="D7" s="2" t="s">
        <v>37</v>
      </c>
      <c r="E7" s="2" t="s">
        <v>30</v>
      </c>
      <c r="F7" s="18" t="s">
        <v>79</v>
      </c>
      <c r="G7" s="18" t="s">
        <v>80</v>
      </c>
      <c r="H7" s="6">
        <v>126</v>
      </c>
      <c r="I7" s="9">
        <f t="shared" si="1"/>
        <v>1356.2513999999999</v>
      </c>
      <c r="J7" s="2">
        <v>20</v>
      </c>
      <c r="K7" s="2">
        <v>1985</v>
      </c>
      <c r="L7" s="2">
        <v>2022</v>
      </c>
      <c r="M7" s="2">
        <f t="shared" si="2"/>
        <v>37</v>
      </c>
      <c r="N7" s="2">
        <v>65</v>
      </c>
      <c r="O7" s="3">
        <v>0.05</v>
      </c>
      <c r="P7" s="5">
        <f t="shared" si="3"/>
        <v>1.4615384615384615E-2</v>
      </c>
      <c r="Q7" s="2">
        <v>1500</v>
      </c>
      <c r="R7" s="4">
        <f t="shared" si="4"/>
        <v>16145.849999999999</v>
      </c>
      <c r="S7" s="7">
        <f t="shared" si="5"/>
        <v>2034377.0999999999</v>
      </c>
      <c r="T7" s="7">
        <f t="shared" si="6"/>
        <v>1100128.5394615384</v>
      </c>
      <c r="U7" s="7">
        <f t="shared" si="7"/>
        <v>934248.56053846143</v>
      </c>
      <c r="V7" s="10">
        <v>0.1</v>
      </c>
      <c r="W7" s="7">
        <f t="shared" si="9"/>
        <v>840823.70448461536</v>
      </c>
      <c r="X7" s="11">
        <f t="shared" si="8"/>
        <v>619.96153846153845</v>
      </c>
      <c r="Y7" s="1"/>
      <c r="Z7" s="1"/>
    </row>
    <row r="8" spans="2:26" x14ac:dyDescent="0.25">
      <c r="B8" s="12">
        <v>5</v>
      </c>
      <c r="C8" s="2" t="s">
        <v>2</v>
      </c>
      <c r="D8" s="2" t="s">
        <v>38</v>
      </c>
      <c r="E8" s="2" t="s">
        <v>30</v>
      </c>
      <c r="F8" s="18" t="s">
        <v>79</v>
      </c>
      <c r="G8" s="18" t="s">
        <v>80</v>
      </c>
      <c r="H8" s="6">
        <v>2240</v>
      </c>
      <c r="I8" s="9">
        <f t="shared" si="1"/>
        <v>24111.135999999999</v>
      </c>
      <c r="J8" s="2">
        <v>25</v>
      </c>
      <c r="K8" s="2">
        <v>1984</v>
      </c>
      <c r="L8" s="2">
        <v>2022</v>
      </c>
      <c r="M8" s="2">
        <f t="shared" si="2"/>
        <v>38</v>
      </c>
      <c r="N8" s="2">
        <v>65</v>
      </c>
      <c r="O8" s="3">
        <v>0.05</v>
      </c>
      <c r="P8" s="5">
        <f t="shared" si="3"/>
        <v>1.4615384615384615E-2</v>
      </c>
      <c r="Q8" s="2">
        <v>2500</v>
      </c>
      <c r="R8" s="4">
        <f t="shared" si="4"/>
        <v>26909.75</v>
      </c>
      <c r="S8" s="7">
        <f t="shared" si="5"/>
        <v>60277840</v>
      </c>
      <c r="T8" s="7">
        <f t="shared" si="6"/>
        <v>33477384.984615382</v>
      </c>
      <c r="U8" s="7">
        <f t="shared" si="7"/>
        <v>26800455.015384618</v>
      </c>
      <c r="V8" s="10">
        <v>0.05</v>
      </c>
      <c r="W8" s="7">
        <f>IF(U8&gt;O8*S8,U8*(1+V8),S8*O8)</f>
        <v>28140477.76615385</v>
      </c>
      <c r="X8" s="11">
        <f t="shared" si="8"/>
        <v>1167.1153846153848</v>
      </c>
      <c r="Y8" s="1"/>
      <c r="Z8" s="1"/>
    </row>
    <row r="9" spans="2:26" x14ac:dyDescent="0.25">
      <c r="B9" s="12">
        <v>6</v>
      </c>
      <c r="C9" s="2" t="s">
        <v>82</v>
      </c>
      <c r="D9" s="2" t="s">
        <v>39</v>
      </c>
      <c r="E9" s="2" t="s">
        <v>30</v>
      </c>
      <c r="F9" s="18" t="s">
        <v>79</v>
      </c>
      <c r="G9" s="18" t="s">
        <v>80</v>
      </c>
      <c r="H9" s="6">
        <v>202.9</v>
      </c>
      <c r="I9" s="9">
        <f t="shared" si="1"/>
        <v>2183.9953099999998</v>
      </c>
      <c r="J9" s="2">
        <v>12</v>
      </c>
      <c r="K9" s="2">
        <v>1986</v>
      </c>
      <c r="L9" s="2">
        <v>2022</v>
      </c>
      <c r="M9" s="2">
        <f t="shared" si="2"/>
        <v>36</v>
      </c>
      <c r="N9" s="2">
        <v>65</v>
      </c>
      <c r="O9" s="3">
        <v>0.05</v>
      </c>
      <c r="P9" s="5">
        <f t="shared" si="3"/>
        <v>1.4615384615384615E-2</v>
      </c>
      <c r="Q9" s="2">
        <v>1500</v>
      </c>
      <c r="R9" s="4">
        <f t="shared" si="4"/>
        <v>16145.849999999999</v>
      </c>
      <c r="S9" s="7">
        <f t="shared" si="5"/>
        <v>3275992.9649999999</v>
      </c>
      <c r="T9" s="7">
        <f t="shared" si="6"/>
        <v>1723676.2985076923</v>
      </c>
      <c r="U9" s="7">
        <f t="shared" si="7"/>
        <v>1552316.6664923076</v>
      </c>
      <c r="V9" s="10">
        <v>0.1</v>
      </c>
      <c r="W9" s="7">
        <f>IF(U9&gt;O9*S9,U9*(1+V9),S9*O9)</f>
        <v>1707548.3331415385</v>
      </c>
      <c r="X9" s="11">
        <f t="shared" si="8"/>
        <v>781.84615384615392</v>
      </c>
      <c r="Y9" s="1"/>
      <c r="Z9" s="1"/>
    </row>
    <row r="10" spans="2:26" x14ac:dyDescent="0.25">
      <c r="B10" s="12">
        <v>7</v>
      </c>
      <c r="C10" s="2" t="s">
        <v>82</v>
      </c>
      <c r="D10" s="2" t="s">
        <v>40</v>
      </c>
      <c r="E10" s="2" t="s">
        <v>30</v>
      </c>
      <c r="F10" s="18" t="s">
        <v>79</v>
      </c>
      <c r="G10" s="18" t="s">
        <v>80</v>
      </c>
      <c r="H10" s="6">
        <v>422.47</v>
      </c>
      <c r="I10" s="9">
        <f t="shared" si="1"/>
        <v>4547.424833</v>
      </c>
      <c r="J10" s="2">
        <v>10</v>
      </c>
      <c r="K10" s="2">
        <v>1985</v>
      </c>
      <c r="L10" s="2">
        <v>2022</v>
      </c>
      <c r="M10" s="2">
        <f t="shared" si="2"/>
        <v>37</v>
      </c>
      <c r="N10" s="2">
        <v>65</v>
      </c>
      <c r="O10" s="3">
        <v>0.05</v>
      </c>
      <c r="P10" s="5">
        <f t="shared" si="3"/>
        <v>1.4615384615384615E-2</v>
      </c>
      <c r="Q10" s="2">
        <v>1500</v>
      </c>
      <c r="R10" s="4">
        <f t="shared" si="4"/>
        <v>16145.849999999999</v>
      </c>
      <c r="S10" s="7">
        <f t="shared" si="5"/>
        <v>6821137.2494999999</v>
      </c>
      <c r="T10" s="7">
        <f t="shared" si="6"/>
        <v>3688661.1433834615</v>
      </c>
      <c r="U10" s="7">
        <f t="shared" si="7"/>
        <v>3132476.1061165384</v>
      </c>
      <c r="V10" s="10">
        <v>0</v>
      </c>
      <c r="W10" s="7">
        <f t="shared" si="9"/>
        <v>3132476.1061165384</v>
      </c>
      <c r="X10" s="11">
        <f t="shared" si="8"/>
        <v>688.84615384615381</v>
      </c>
      <c r="Y10" s="1"/>
      <c r="Z10" s="1"/>
    </row>
    <row r="11" spans="2:26" x14ac:dyDescent="0.25">
      <c r="B11" s="12">
        <v>8</v>
      </c>
      <c r="C11" s="2" t="s">
        <v>82</v>
      </c>
      <c r="D11" s="2" t="s">
        <v>41</v>
      </c>
      <c r="E11" s="2" t="s">
        <v>30</v>
      </c>
      <c r="F11" s="18" t="s">
        <v>79</v>
      </c>
      <c r="G11" s="18" t="s">
        <v>80</v>
      </c>
      <c r="H11" s="6">
        <v>422.47</v>
      </c>
      <c r="I11" s="9">
        <f t="shared" si="1"/>
        <v>4547.424833</v>
      </c>
      <c r="J11" s="2">
        <v>10</v>
      </c>
      <c r="K11" s="2">
        <v>1985</v>
      </c>
      <c r="L11" s="2">
        <v>2022</v>
      </c>
      <c r="M11" s="2">
        <f t="shared" si="2"/>
        <v>37</v>
      </c>
      <c r="N11" s="2">
        <v>65</v>
      </c>
      <c r="O11" s="3">
        <v>0.05</v>
      </c>
      <c r="P11" s="5">
        <f t="shared" si="3"/>
        <v>1.4615384615384615E-2</v>
      </c>
      <c r="Q11" s="2">
        <v>1500</v>
      </c>
      <c r="R11" s="4">
        <f t="shared" si="4"/>
        <v>16145.849999999999</v>
      </c>
      <c r="S11" s="7">
        <f t="shared" si="5"/>
        <v>6821137.2494999999</v>
      </c>
      <c r="T11" s="7">
        <f t="shared" si="6"/>
        <v>3688661.1433834615</v>
      </c>
      <c r="U11" s="7">
        <f t="shared" si="7"/>
        <v>3132476.1061165384</v>
      </c>
      <c r="V11" s="10">
        <v>0</v>
      </c>
      <c r="W11" s="7">
        <f t="shared" si="9"/>
        <v>3132476.1061165384</v>
      </c>
      <c r="X11" s="11">
        <f t="shared" si="8"/>
        <v>688.84615384615381</v>
      </c>
      <c r="Y11" s="1"/>
      <c r="Z11" s="1"/>
    </row>
    <row r="12" spans="2:26" x14ac:dyDescent="0.25">
      <c r="B12" s="12">
        <v>9</v>
      </c>
      <c r="C12" s="2" t="s">
        <v>83</v>
      </c>
      <c r="D12" s="2" t="s">
        <v>42</v>
      </c>
      <c r="E12" s="2" t="s">
        <v>30</v>
      </c>
      <c r="F12" s="18" t="s">
        <v>79</v>
      </c>
      <c r="G12" s="18" t="s">
        <v>80</v>
      </c>
      <c r="H12" s="6">
        <v>367.73</v>
      </c>
      <c r="I12" s="9">
        <f t="shared" si="1"/>
        <v>3958.2089470000001</v>
      </c>
      <c r="J12" s="2">
        <v>10</v>
      </c>
      <c r="K12" s="2">
        <v>1986</v>
      </c>
      <c r="L12" s="2">
        <v>2022</v>
      </c>
      <c r="M12" s="2">
        <f t="shared" si="2"/>
        <v>36</v>
      </c>
      <c r="N12" s="2">
        <v>65</v>
      </c>
      <c r="O12" s="3">
        <v>0.05</v>
      </c>
      <c r="P12" s="5">
        <f t="shared" si="3"/>
        <v>1.4615384615384615E-2</v>
      </c>
      <c r="Q12" s="2">
        <v>1500</v>
      </c>
      <c r="R12" s="4">
        <f t="shared" si="4"/>
        <v>16145.849999999999</v>
      </c>
      <c r="S12" s="7">
        <f t="shared" si="5"/>
        <v>5937313.4205</v>
      </c>
      <c r="T12" s="7">
        <f t="shared" si="6"/>
        <v>3123940.292016923</v>
      </c>
      <c r="U12" s="7">
        <f t="shared" si="7"/>
        <v>2813373.128483077</v>
      </c>
      <c r="V12" s="10">
        <v>0</v>
      </c>
      <c r="W12" s="7">
        <f t="shared" si="9"/>
        <v>2813373.128483077</v>
      </c>
      <c r="X12" s="11">
        <f t="shared" si="8"/>
        <v>710.76923076923083</v>
      </c>
      <c r="Y12" s="1"/>
      <c r="Z12" s="1"/>
    </row>
    <row r="13" spans="2:26" x14ac:dyDescent="0.25">
      <c r="B13" s="12">
        <v>10</v>
      </c>
      <c r="C13" s="2" t="s">
        <v>82</v>
      </c>
      <c r="D13" s="2" t="s">
        <v>43</v>
      </c>
      <c r="E13" s="2" t="s">
        <v>30</v>
      </c>
      <c r="F13" s="18" t="s">
        <v>79</v>
      </c>
      <c r="G13" s="18" t="s">
        <v>80</v>
      </c>
      <c r="H13" s="6">
        <v>524.69000000000005</v>
      </c>
      <c r="I13" s="9">
        <f t="shared" si="1"/>
        <v>5647.7106910000002</v>
      </c>
      <c r="J13" s="2">
        <v>10</v>
      </c>
      <c r="K13" s="2">
        <v>1985</v>
      </c>
      <c r="L13" s="2">
        <v>2022</v>
      </c>
      <c r="M13" s="2">
        <f t="shared" si="2"/>
        <v>37</v>
      </c>
      <c r="N13" s="2">
        <v>65</v>
      </c>
      <c r="O13" s="3">
        <v>0.05</v>
      </c>
      <c r="P13" s="5">
        <f t="shared" si="3"/>
        <v>1.4615384615384615E-2</v>
      </c>
      <c r="Q13" s="2">
        <v>1500</v>
      </c>
      <c r="R13" s="4">
        <f t="shared" si="4"/>
        <v>16145.849999999999</v>
      </c>
      <c r="S13" s="7">
        <f t="shared" si="5"/>
        <v>8471566.0364999995</v>
      </c>
      <c r="T13" s="7">
        <f t="shared" si="6"/>
        <v>4581162.2489688462</v>
      </c>
      <c r="U13" s="7">
        <f t="shared" si="7"/>
        <v>3890403.7875311533</v>
      </c>
      <c r="V13" s="10">
        <v>0.05</v>
      </c>
      <c r="W13" s="7">
        <f t="shared" si="9"/>
        <v>3695883.5981545956</v>
      </c>
      <c r="X13" s="11">
        <f t="shared" si="8"/>
        <v>654.40384615384608</v>
      </c>
      <c r="Y13" s="1"/>
      <c r="Z13" s="1"/>
    </row>
    <row r="14" spans="2:26" x14ac:dyDescent="0.25">
      <c r="B14" s="12">
        <v>11</v>
      </c>
      <c r="C14" s="2" t="s">
        <v>2</v>
      </c>
      <c r="D14" s="2" t="s">
        <v>44</v>
      </c>
      <c r="E14" s="2" t="s">
        <v>29</v>
      </c>
      <c r="F14" s="18" t="s">
        <v>79</v>
      </c>
      <c r="G14" s="18" t="s">
        <v>80</v>
      </c>
      <c r="H14" s="6">
        <v>480</v>
      </c>
      <c r="I14" s="9">
        <f t="shared" si="1"/>
        <v>5166.6719999999996</v>
      </c>
      <c r="J14" s="2">
        <v>31</v>
      </c>
      <c r="K14" s="2">
        <v>1992</v>
      </c>
      <c r="L14" s="2">
        <v>2022</v>
      </c>
      <c r="M14" s="2">
        <f t="shared" si="2"/>
        <v>30</v>
      </c>
      <c r="N14" s="2">
        <v>65</v>
      </c>
      <c r="O14" s="3">
        <v>0.05</v>
      </c>
      <c r="P14" s="5">
        <f t="shared" si="3"/>
        <v>1.4615384615384615E-2</v>
      </c>
      <c r="Q14" s="2">
        <v>2000</v>
      </c>
      <c r="R14" s="4">
        <f t="shared" si="4"/>
        <v>21527.8</v>
      </c>
      <c r="S14" s="7">
        <f t="shared" si="5"/>
        <v>10333344</v>
      </c>
      <c r="T14" s="7">
        <f t="shared" si="6"/>
        <v>4530773.9076923076</v>
      </c>
      <c r="U14" s="7">
        <f t="shared" si="7"/>
        <v>5802570.0923076924</v>
      </c>
      <c r="V14" s="10">
        <v>0.1</v>
      </c>
      <c r="W14" s="7">
        <f t="shared" ref="W14:W49" si="10">IF(U14&gt;O14*S14,U14*(1+V14),S14*O14)</f>
        <v>6382827.1015384626</v>
      </c>
      <c r="X14" s="11">
        <f t="shared" si="8"/>
        <v>1235.3846153846157</v>
      </c>
      <c r="Y14" s="1"/>
      <c r="Z14" s="1"/>
    </row>
    <row r="15" spans="2:26" x14ac:dyDescent="0.25">
      <c r="B15" s="12">
        <v>12</v>
      </c>
      <c r="C15" s="2" t="s">
        <v>2</v>
      </c>
      <c r="D15" s="2" t="s">
        <v>45</v>
      </c>
      <c r="E15" s="2" t="s">
        <v>29</v>
      </c>
      <c r="F15" s="18" t="s">
        <v>79</v>
      </c>
      <c r="G15" s="18" t="s">
        <v>80</v>
      </c>
      <c r="H15" s="6">
        <v>2240.4699999999998</v>
      </c>
      <c r="I15" s="9">
        <f t="shared" si="1"/>
        <v>24116.195032999996</v>
      </c>
      <c r="J15" s="2">
        <v>31</v>
      </c>
      <c r="K15" s="2">
        <v>1992</v>
      </c>
      <c r="L15" s="2">
        <v>2022</v>
      </c>
      <c r="M15" s="2">
        <f t="shared" si="2"/>
        <v>30</v>
      </c>
      <c r="N15" s="2">
        <v>65</v>
      </c>
      <c r="O15" s="3">
        <v>0.05</v>
      </c>
      <c r="P15" s="5">
        <f t="shared" si="3"/>
        <v>1.4615384615384615E-2</v>
      </c>
      <c r="Q15" s="2">
        <v>2000</v>
      </c>
      <c r="R15" s="4">
        <f t="shared" si="4"/>
        <v>21527.8</v>
      </c>
      <c r="S15" s="7">
        <f t="shared" si="5"/>
        <v>48232390.065999992</v>
      </c>
      <c r="T15" s="7">
        <f t="shared" si="6"/>
        <v>21148047.952015381</v>
      </c>
      <c r="U15" s="7">
        <f t="shared" si="7"/>
        <v>27084342.113984611</v>
      </c>
      <c r="V15" s="10">
        <v>0.1</v>
      </c>
      <c r="W15" s="7">
        <f t="shared" si="10"/>
        <v>29792776.325383075</v>
      </c>
      <c r="X15" s="11">
        <f t="shared" ref="X15:X42" si="11">W15/I15</f>
        <v>1235.3846153846155</v>
      </c>
      <c r="Y15" s="1"/>
      <c r="Z15" s="1"/>
    </row>
    <row r="16" spans="2:26" x14ac:dyDescent="0.25">
      <c r="B16" s="12">
        <v>13</v>
      </c>
      <c r="C16" s="2" t="s">
        <v>2</v>
      </c>
      <c r="D16" s="2" t="s">
        <v>46</v>
      </c>
      <c r="E16" s="2" t="s">
        <v>29</v>
      </c>
      <c r="F16" s="18" t="s">
        <v>79</v>
      </c>
      <c r="G16" s="18" t="s">
        <v>80</v>
      </c>
      <c r="H16" s="6">
        <v>7861</v>
      </c>
      <c r="I16" s="9">
        <f t="shared" si="1"/>
        <v>84615.017899999992</v>
      </c>
      <c r="J16" s="2">
        <v>31</v>
      </c>
      <c r="K16" s="2">
        <v>1993</v>
      </c>
      <c r="L16" s="2">
        <v>2022</v>
      </c>
      <c r="M16" s="2">
        <f t="shared" si="2"/>
        <v>29</v>
      </c>
      <c r="N16" s="2">
        <v>65</v>
      </c>
      <c r="O16" s="3">
        <v>0.05</v>
      </c>
      <c r="P16" s="5">
        <f t="shared" si="3"/>
        <v>1.4615384615384615E-2</v>
      </c>
      <c r="Q16" s="2">
        <v>2000</v>
      </c>
      <c r="R16" s="4">
        <f t="shared" si="4"/>
        <v>21527.8</v>
      </c>
      <c r="S16" s="7">
        <f t="shared" si="5"/>
        <v>169230035.79999998</v>
      </c>
      <c r="T16" s="7">
        <f t="shared" si="6"/>
        <v>71727499.789076909</v>
      </c>
      <c r="U16" s="7">
        <f t="shared" si="7"/>
        <v>97502536.010923073</v>
      </c>
      <c r="V16" s="10">
        <v>0.1</v>
      </c>
      <c r="W16" s="7">
        <f t="shared" si="10"/>
        <v>107252789.61201538</v>
      </c>
      <c r="X16" s="11">
        <f t="shared" si="11"/>
        <v>1267.5384615384617</v>
      </c>
      <c r="Y16" s="1"/>
      <c r="Z16" s="1"/>
    </row>
    <row r="17" spans="2:26" x14ac:dyDescent="0.25">
      <c r="B17" s="12">
        <v>14</v>
      </c>
      <c r="C17" s="2" t="s">
        <v>84</v>
      </c>
      <c r="D17" s="2" t="s">
        <v>47</v>
      </c>
      <c r="E17" s="22" t="s">
        <v>30</v>
      </c>
      <c r="F17" s="18" t="s">
        <v>79</v>
      </c>
      <c r="G17" s="18" t="s">
        <v>80</v>
      </c>
      <c r="H17" s="6">
        <v>422.47</v>
      </c>
      <c r="I17" s="9">
        <f t="shared" si="1"/>
        <v>4547.424833</v>
      </c>
      <c r="J17" s="22">
        <v>10</v>
      </c>
      <c r="K17" s="2">
        <v>1993</v>
      </c>
      <c r="L17" s="2">
        <v>2022</v>
      </c>
      <c r="M17" s="2">
        <f t="shared" si="2"/>
        <v>29</v>
      </c>
      <c r="N17" s="2">
        <v>65</v>
      </c>
      <c r="O17" s="3">
        <v>0.05</v>
      </c>
      <c r="P17" s="5">
        <f t="shared" si="3"/>
        <v>1.4615384615384615E-2</v>
      </c>
      <c r="Q17" s="2">
        <v>1500</v>
      </c>
      <c r="R17" s="4">
        <f t="shared" si="4"/>
        <v>16145.849999999999</v>
      </c>
      <c r="S17" s="7">
        <f t="shared" si="5"/>
        <v>6821137.2494999999</v>
      </c>
      <c r="T17" s="7">
        <f t="shared" si="6"/>
        <v>2891112.7880573077</v>
      </c>
      <c r="U17" s="7">
        <f t="shared" si="7"/>
        <v>3930024.4614426922</v>
      </c>
      <c r="V17" s="10">
        <v>0</v>
      </c>
      <c r="W17" s="7">
        <f t="shared" si="10"/>
        <v>3930024.4614426922</v>
      </c>
      <c r="X17" s="11">
        <f t="shared" si="11"/>
        <v>864.23076923076917</v>
      </c>
      <c r="Y17" s="1"/>
      <c r="Z17" s="1"/>
    </row>
    <row r="18" spans="2:26" x14ac:dyDescent="0.25">
      <c r="B18" s="12">
        <v>15</v>
      </c>
      <c r="C18" s="2" t="s">
        <v>2</v>
      </c>
      <c r="D18" s="2" t="s">
        <v>48</v>
      </c>
      <c r="E18" s="22" t="s">
        <v>31</v>
      </c>
      <c r="F18" s="18" t="s">
        <v>79</v>
      </c>
      <c r="G18" s="18" t="s">
        <v>28</v>
      </c>
      <c r="H18" s="6">
        <v>113.88</v>
      </c>
      <c r="I18" s="9">
        <f t="shared" si="1"/>
        <v>1225.7929319999998</v>
      </c>
      <c r="J18" s="22">
        <v>10</v>
      </c>
      <c r="K18" s="2">
        <v>1993</v>
      </c>
      <c r="L18" s="2">
        <v>2022</v>
      </c>
      <c r="M18" s="2">
        <f t="shared" si="2"/>
        <v>29</v>
      </c>
      <c r="N18" s="2">
        <v>55</v>
      </c>
      <c r="O18" s="3">
        <v>0.05</v>
      </c>
      <c r="P18" s="5">
        <f t="shared" si="3"/>
        <v>1.7272727272727273E-2</v>
      </c>
      <c r="Q18" s="2">
        <v>1200</v>
      </c>
      <c r="R18" s="4">
        <f t="shared" si="4"/>
        <v>12916.68</v>
      </c>
      <c r="S18" s="7">
        <f t="shared" si="5"/>
        <v>1470951.5183999999</v>
      </c>
      <c r="T18" s="7">
        <f t="shared" si="6"/>
        <v>736812.98785309086</v>
      </c>
      <c r="U18" s="7">
        <f t="shared" si="7"/>
        <v>734138.53054690908</v>
      </c>
      <c r="V18" s="10">
        <v>0.1</v>
      </c>
      <c r="W18" s="7">
        <f t="shared" si="10"/>
        <v>807552.38360160007</v>
      </c>
      <c r="X18" s="11">
        <f t="shared" si="11"/>
        <v>658.80000000000018</v>
      </c>
      <c r="Y18" s="1"/>
      <c r="Z18" s="1"/>
    </row>
    <row r="19" spans="2:26" x14ac:dyDescent="0.25">
      <c r="B19" s="12">
        <v>16</v>
      </c>
      <c r="C19" s="2" t="s">
        <v>2</v>
      </c>
      <c r="D19" s="2" t="s">
        <v>49</v>
      </c>
      <c r="E19" s="22" t="s">
        <v>31</v>
      </c>
      <c r="F19" s="18" t="s">
        <v>79</v>
      </c>
      <c r="G19" s="18" t="s">
        <v>28</v>
      </c>
      <c r="H19" s="6">
        <v>165.18</v>
      </c>
      <c r="I19" s="9">
        <f t="shared" si="1"/>
        <v>1777.981002</v>
      </c>
      <c r="J19" s="22">
        <v>10</v>
      </c>
      <c r="K19" s="2">
        <v>1993</v>
      </c>
      <c r="L19" s="2">
        <v>2022</v>
      </c>
      <c r="M19" s="2">
        <f t="shared" si="2"/>
        <v>29</v>
      </c>
      <c r="N19" s="2">
        <v>55</v>
      </c>
      <c r="O19" s="3">
        <v>0.05</v>
      </c>
      <c r="P19" s="5">
        <f t="shared" si="3"/>
        <v>1.7272727272727273E-2</v>
      </c>
      <c r="Q19" s="2">
        <v>1200</v>
      </c>
      <c r="R19" s="4">
        <f t="shared" si="4"/>
        <v>12916.68</v>
      </c>
      <c r="S19" s="7">
        <f t="shared" si="5"/>
        <v>2133577.2024000003</v>
      </c>
      <c r="T19" s="7">
        <f t="shared" si="6"/>
        <v>1068728.2168385456</v>
      </c>
      <c r="U19" s="7">
        <f t="shared" si="7"/>
        <v>1064848.9855614547</v>
      </c>
      <c r="V19" s="10">
        <v>0.1</v>
      </c>
      <c r="W19" s="7">
        <f t="shared" si="10"/>
        <v>1171333.8841176003</v>
      </c>
      <c r="X19" s="11">
        <f t="shared" si="11"/>
        <v>658.80000000000018</v>
      </c>
      <c r="Y19" s="1"/>
      <c r="Z19" s="1"/>
    </row>
    <row r="20" spans="2:26" x14ac:dyDescent="0.25">
      <c r="B20" s="12">
        <v>17</v>
      </c>
      <c r="C20" s="2" t="s">
        <v>2</v>
      </c>
      <c r="D20" s="2" t="s">
        <v>50</v>
      </c>
      <c r="E20" s="22" t="s">
        <v>31</v>
      </c>
      <c r="F20" s="18" t="s">
        <v>79</v>
      </c>
      <c r="G20" s="18" t="s">
        <v>28</v>
      </c>
      <c r="H20" s="6">
        <v>165.18</v>
      </c>
      <c r="I20" s="9">
        <f t="shared" si="1"/>
        <v>1777.981002</v>
      </c>
      <c r="J20" s="22">
        <v>10</v>
      </c>
      <c r="K20" s="2">
        <v>1993</v>
      </c>
      <c r="L20" s="2">
        <v>2022</v>
      </c>
      <c r="M20" s="2">
        <f t="shared" si="2"/>
        <v>29</v>
      </c>
      <c r="N20" s="2">
        <v>55</v>
      </c>
      <c r="O20" s="3">
        <v>0.05</v>
      </c>
      <c r="P20" s="5">
        <f t="shared" si="3"/>
        <v>1.7272727272727273E-2</v>
      </c>
      <c r="Q20" s="2">
        <v>1200</v>
      </c>
      <c r="R20" s="4">
        <f t="shared" si="4"/>
        <v>12916.68</v>
      </c>
      <c r="S20" s="7">
        <f t="shared" si="5"/>
        <v>2133577.2024000003</v>
      </c>
      <c r="T20" s="7">
        <f t="shared" si="6"/>
        <v>1068728.2168385456</v>
      </c>
      <c r="U20" s="7">
        <f t="shared" si="7"/>
        <v>1064848.9855614547</v>
      </c>
      <c r="V20" s="10">
        <v>0.1</v>
      </c>
      <c r="W20" s="7">
        <f t="shared" si="10"/>
        <v>1171333.8841176003</v>
      </c>
      <c r="X20" s="11">
        <f t="shared" si="11"/>
        <v>658.80000000000018</v>
      </c>
      <c r="Y20" s="1"/>
      <c r="Z20" s="1"/>
    </row>
    <row r="21" spans="2:26" x14ac:dyDescent="0.25">
      <c r="B21" s="12">
        <v>18</v>
      </c>
      <c r="C21" s="2" t="s">
        <v>85</v>
      </c>
      <c r="D21" s="2" t="s">
        <v>51</v>
      </c>
      <c r="E21" s="22" t="s">
        <v>31</v>
      </c>
      <c r="F21" s="18" t="s">
        <v>79</v>
      </c>
      <c r="G21" s="18" t="s">
        <v>28</v>
      </c>
      <c r="H21" s="6">
        <v>186.04</v>
      </c>
      <c r="I21" s="9">
        <f t="shared" si="1"/>
        <v>2002.5159559999997</v>
      </c>
      <c r="J21" s="22">
        <v>10</v>
      </c>
      <c r="K21" s="2">
        <v>1993</v>
      </c>
      <c r="L21" s="2">
        <v>2022</v>
      </c>
      <c r="M21" s="2">
        <f t="shared" si="2"/>
        <v>29</v>
      </c>
      <c r="N21" s="2">
        <v>55</v>
      </c>
      <c r="O21" s="3">
        <v>0.05</v>
      </c>
      <c r="P21" s="5">
        <f t="shared" si="3"/>
        <v>1.7272727272727273E-2</v>
      </c>
      <c r="Q21" s="2">
        <v>1500</v>
      </c>
      <c r="R21" s="4">
        <f t="shared" si="4"/>
        <v>16145.849999999999</v>
      </c>
      <c r="S21" s="7">
        <f t="shared" si="5"/>
        <v>3003773.9339999994</v>
      </c>
      <c r="T21" s="7">
        <f t="shared" si="6"/>
        <v>1504617.6705763633</v>
      </c>
      <c r="U21" s="7">
        <f t="shared" si="7"/>
        <v>1499156.2634236361</v>
      </c>
      <c r="V21" s="10">
        <v>0.1</v>
      </c>
      <c r="W21" s="7">
        <f t="shared" si="10"/>
        <v>1649071.8897659997</v>
      </c>
      <c r="X21" s="11">
        <f t="shared" si="11"/>
        <v>823.5</v>
      </c>
      <c r="Y21" s="1"/>
      <c r="Z21" s="1"/>
    </row>
    <row r="22" spans="2:26" x14ac:dyDescent="0.25">
      <c r="B22" s="12">
        <v>19</v>
      </c>
      <c r="C22" s="2" t="s">
        <v>86</v>
      </c>
      <c r="D22" s="2" t="s">
        <v>52</v>
      </c>
      <c r="E22" s="22" t="s">
        <v>30</v>
      </c>
      <c r="F22" s="18" t="s">
        <v>79</v>
      </c>
      <c r="G22" s="18" t="s">
        <v>80</v>
      </c>
      <c r="H22" s="6">
        <v>725</v>
      </c>
      <c r="I22" s="9">
        <f t="shared" si="1"/>
        <v>7803.8274999999994</v>
      </c>
      <c r="J22" s="22">
        <v>15</v>
      </c>
      <c r="K22" s="2">
        <v>1993</v>
      </c>
      <c r="L22" s="2">
        <v>2022</v>
      </c>
      <c r="M22" s="2">
        <f t="shared" si="2"/>
        <v>29</v>
      </c>
      <c r="N22" s="2">
        <v>65</v>
      </c>
      <c r="O22" s="3">
        <v>0.05</v>
      </c>
      <c r="P22" s="5">
        <f t="shared" si="3"/>
        <v>1.4615384615384615E-2</v>
      </c>
      <c r="Q22" s="2">
        <v>1800</v>
      </c>
      <c r="R22" s="4">
        <f t="shared" si="4"/>
        <v>19375.02</v>
      </c>
      <c r="S22" s="7">
        <f t="shared" si="5"/>
        <v>14046889.5</v>
      </c>
      <c r="T22" s="7">
        <f t="shared" si="6"/>
        <v>5953720.088076923</v>
      </c>
      <c r="U22" s="7">
        <f t="shared" si="7"/>
        <v>8093169.411923077</v>
      </c>
      <c r="V22" s="10">
        <v>0</v>
      </c>
      <c r="W22" s="7">
        <f t="shared" si="10"/>
        <v>8093169.411923077</v>
      </c>
      <c r="X22" s="11">
        <f t="shared" si="11"/>
        <v>1037.0769230769231</v>
      </c>
      <c r="Y22" s="1"/>
      <c r="Z22" s="1"/>
    </row>
    <row r="23" spans="2:26" x14ac:dyDescent="0.25">
      <c r="B23" s="12">
        <v>20</v>
      </c>
      <c r="C23" s="2" t="s">
        <v>2</v>
      </c>
      <c r="D23" s="2" t="s">
        <v>53</v>
      </c>
      <c r="E23" s="22" t="s">
        <v>30</v>
      </c>
      <c r="F23" s="18" t="s">
        <v>79</v>
      </c>
      <c r="G23" s="18" t="s">
        <v>80</v>
      </c>
      <c r="H23" s="6">
        <v>524.69200000000001</v>
      </c>
      <c r="I23" s="9">
        <f t="shared" si="1"/>
        <v>5647.7322187999998</v>
      </c>
      <c r="J23" s="22">
        <v>10</v>
      </c>
      <c r="K23" s="2">
        <v>1993</v>
      </c>
      <c r="L23" s="2">
        <v>2022</v>
      </c>
      <c r="M23" s="2">
        <f t="shared" si="2"/>
        <v>29</v>
      </c>
      <c r="N23" s="2">
        <v>65</v>
      </c>
      <c r="O23" s="3">
        <v>0.05</v>
      </c>
      <c r="P23" s="5">
        <f t="shared" si="3"/>
        <v>1.4615384615384615E-2</v>
      </c>
      <c r="Q23" s="2">
        <v>1500</v>
      </c>
      <c r="R23" s="4">
        <f t="shared" si="4"/>
        <v>16145.849999999999</v>
      </c>
      <c r="S23" s="7">
        <f t="shared" si="5"/>
        <v>8471598.3281999994</v>
      </c>
      <c r="T23" s="7">
        <f t="shared" si="6"/>
        <v>3590654.3683370766</v>
      </c>
      <c r="U23" s="7">
        <f t="shared" si="7"/>
        <v>4880943.9598629232</v>
      </c>
      <c r="V23" s="10">
        <v>0.05</v>
      </c>
      <c r="W23" s="7">
        <f t="shared" ref="W23:W29" si="12">IF(U23&gt;O23*S23,U23*(1-V23),S23*O23)</f>
        <v>4636896.761869777</v>
      </c>
      <c r="X23" s="11">
        <f t="shared" si="11"/>
        <v>821.01923076923083</v>
      </c>
      <c r="Y23" s="1"/>
      <c r="Z23" s="1"/>
    </row>
    <row r="24" spans="2:26" x14ac:dyDescent="0.25">
      <c r="B24" s="12">
        <v>21</v>
      </c>
      <c r="C24" s="2" t="s">
        <v>87</v>
      </c>
      <c r="D24" s="2" t="s">
        <v>54</v>
      </c>
      <c r="E24" s="22" t="s">
        <v>30</v>
      </c>
      <c r="F24" s="18" t="s">
        <v>79</v>
      </c>
      <c r="G24" s="18" t="s">
        <v>80</v>
      </c>
      <c r="H24" s="6">
        <v>21.364999999999998</v>
      </c>
      <c r="I24" s="9">
        <f t="shared" si="1"/>
        <v>229.97072349999996</v>
      </c>
      <c r="J24" s="22">
        <v>80</v>
      </c>
      <c r="K24" s="2">
        <v>1993</v>
      </c>
      <c r="L24" s="2">
        <v>2022</v>
      </c>
      <c r="M24" s="2">
        <f t="shared" si="2"/>
        <v>29</v>
      </c>
      <c r="N24" s="2">
        <v>65</v>
      </c>
      <c r="O24" s="3">
        <v>0.05</v>
      </c>
      <c r="P24" s="5">
        <f t="shared" si="3"/>
        <v>1.4615384615384615E-2</v>
      </c>
      <c r="Q24" s="2">
        <v>3000</v>
      </c>
      <c r="R24" s="4">
        <f t="shared" si="4"/>
        <v>32291.699999999997</v>
      </c>
      <c r="S24" s="7">
        <f t="shared" si="5"/>
        <v>689912.17049999989</v>
      </c>
      <c r="T24" s="7">
        <f t="shared" si="6"/>
        <v>292416.61995807686</v>
      </c>
      <c r="U24" s="7">
        <f t="shared" si="7"/>
        <v>397495.55054192303</v>
      </c>
      <c r="V24" s="10">
        <v>0.05</v>
      </c>
      <c r="W24" s="7">
        <f t="shared" si="12"/>
        <v>377620.77301482687</v>
      </c>
      <c r="X24" s="11">
        <f t="shared" si="11"/>
        <v>1642.0384615384617</v>
      </c>
      <c r="Y24" s="1"/>
      <c r="Z24" s="1"/>
    </row>
    <row r="25" spans="2:26" x14ac:dyDescent="0.25">
      <c r="B25" s="12">
        <v>22</v>
      </c>
      <c r="C25" s="2" t="s">
        <v>88</v>
      </c>
      <c r="D25" s="2" t="s">
        <v>55</v>
      </c>
      <c r="E25" s="22" t="s">
        <v>30</v>
      </c>
      <c r="F25" s="18" t="s">
        <v>79</v>
      </c>
      <c r="G25" s="18" t="s">
        <v>80</v>
      </c>
      <c r="H25" s="6">
        <v>367.73</v>
      </c>
      <c r="I25" s="9">
        <f t="shared" si="1"/>
        <v>3958.2089470000001</v>
      </c>
      <c r="J25" s="22">
        <v>10</v>
      </c>
      <c r="K25" s="2">
        <v>1993</v>
      </c>
      <c r="L25" s="2">
        <v>2022</v>
      </c>
      <c r="M25" s="2">
        <f t="shared" si="2"/>
        <v>29</v>
      </c>
      <c r="N25" s="2">
        <v>65</v>
      </c>
      <c r="O25" s="3">
        <v>0.05</v>
      </c>
      <c r="P25" s="5">
        <f t="shared" si="3"/>
        <v>1.4615384615384615E-2</v>
      </c>
      <c r="Q25" s="2">
        <v>1500</v>
      </c>
      <c r="R25" s="4">
        <f t="shared" si="4"/>
        <v>16145.849999999999</v>
      </c>
      <c r="S25" s="7">
        <f t="shared" si="5"/>
        <v>5937313.4205</v>
      </c>
      <c r="T25" s="7">
        <f t="shared" si="6"/>
        <v>2516507.4574580765</v>
      </c>
      <c r="U25" s="7">
        <f t="shared" si="7"/>
        <v>3420805.9630419235</v>
      </c>
      <c r="V25" s="10">
        <v>0.05</v>
      </c>
      <c r="W25" s="7">
        <f t="shared" si="12"/>
        <v>3249765.6648898274</v>
      </c>
      <c r="X25" s="11">
        <f t="shared" si="11"/>
        <v>821.01923076923083</v>
      </c>
      <c r="Y25" s="1"/>
      <c r="Z25" s="1"/>
    </row>
    <row r="26" spans="2:26" x14ac:dyDescent="0.25">
      <c r="B26" s="12">
        <v>23</v>
      </c>
      <c r="C26" s="2" t="s">
        <v>2</v>
      </c>
      <c r="D26" s="2" t="s">
        <v>56</v>
      </c>
      <c r="E26" s="22" t="str">
        <f>PROPER("RCC Structure")</f>
        <v>Rcc Structure</v>
      </c>
      <c r="F26" s="18" t="s">
        <v>79</v>
      </c>
      <c r="G26" s="18" t="s">
        <v>80</v>
      </c>
      <c r="H26" s="6">
        <v>147</v>
      </c>
      <c r="I26" s="9">
        <f t="shared" si="1"/>
        <v>1582.2933</v>
      </c>
      <c r="J26" s="22">
        <v>25</v>
      </c>
      <c r="K26" s="2">
        <v>1993</v>
      </c>
      <c r="L26" s="2">
        <v>2022</v>
      </c>
      <c r="M26" s="2">
        <f t="shared" si="2"/>
        <v>29</v>
      </c>
      <c r="N26" s="2">
        <v>65</v>
      </c>
      <c r="O26" s="3">
        <v>0.05</v>
      </c>
      <c r="P26" s="5">
        <f t="shared" si="3"/>
        <v>1.4615384615384615E-2</v>
      </c>
      <c r="Q26" s="2">
        <v>2000</v>
      </c>
      <c r="R26" s="4">
        <f t="shared" si="4"/>
        <v>21527.8</v>
      </c>
      <c r="S26" s="7">
        <f t="shared" si="5"/>
        <v>3164586.6</v>
      </c>
      <c r="T26" s="7">
        <f t="shared" si="6"/>
        <v>1341297.8589230771</v>
      </c>
      <c r="U26" s="7">
        <f t="shared" si="7"/>
        <v>1823288.741076923</v>
      </c>
      <c r="V26" s="10">
        <v>0.1</v>
      </c>
      <c r="W26" s="7">
        <f t="shared" si="12"/>
        <v>1640959.8669692308</v>
      </c>
      <c r="X26" s="11">
        <f t="shared" si="11"/>
        <v>1037.0769230769231</v>
      </c>
      <c r="Y26" s="1"/>
      <c r="Z26" s="1"/>
    </row>
    <row r="27" spans="2:26" x14ac:dyDescent="0.25">
      <c r="B27" s="12">
        <v>24</v>
      </c>
      <c r="C27" s="2" t="s">
        <v>2</v>
      </c>
      <c r="D27" s="2" t="s">
        <v>57</v>
      </c>
      <c r="E27" s="23" t="s">
        <v>30</v>
      </c>
      <c r="F27" s="18" t="s">
        <v>79</v>
      </c>
      <c r="G27" s="18" t="s">
        <v>80</v>
      </c>
      <c r="H27" s="6">
        <v>48</v>
      </c>
      <c r="I27" s="9">
        <f t="shared" si="1"/>
        <v>516.66719999999998</v>
      </c>
      <c r="J27" s="23">
        <v>15</v>
      </c>
      <c r="K27" s="2">
        <v>1993</v>
      </c>
      <c r="L27" s="2">
        <v>2022</v>
      </c>
      <c r="M27" s="2">
        <f t="shared" si="2"/>
        <v>29</v>
      </c>
      <c r="N27" s="2">
        <v>65</v>
      </c>
      <c r="O27" s="3">
        <v>0.05</v>
      </c>
      <c r="P27" s="5">
        <f t="shared" si="3"/>
        <v>1.4615384615384615E-2</v>
      </c>
      <c r="Q27" s="2">
        <v>1500</v>
      </c>
      <c r="R27" s="4">
        <f t="shared" si="4"/>
        <v>16145.849999999999</v>
      </c>
      <c r="S27" s="7">
        <f t="shared" si="5"/>
        <v>775000.79999999993</v>
      </c>
      <c r="T27" s="7">
        <f t="shared" si="6"/>
        <v>328481.10830769228</v>
      </c>
      <c r="U27" s="7">
        <f t="shared" si="7"/>
        <v>446519.69169230765</v>
      </c>
      <c r="V27" s="10">
        <v>0.1</v>
      </c>
      <c r="W27" s="7">
        <f t="shared" si="12"/>
        <v>401867.72252307687</v>
      </c>
      <c r="X27" s="11">
        <f t="shared" si="11"/>
        <v>777.80769230769226</v>
      </c>
      <c r="Y27" s="1"/>
      <c r="Z27" s="1"/>
    </row>
    <row r="28" spans="2:26" x14ac:dyDescent="0.25">
      <c r="B28" s="12">
        <v>25</v>
      </c>
      <c r="C28" s="2" t="s">
        <v>2</v>
      </c>
      <c r="D28" s="2" t="s">
        <v>58</v>
      </c>
      <c r="E28" s="23" t="s">
        <v>30</v>
      </c>
      <c r="F28" s="18" t="s">
        <v>79</v>
      </c>
      <c r="G28" s="18" t="s">
        <v>80</v>
      </c>
      <c r="H28" s="6">
        <v>160</v>
      </c>
      <c r="I28" s="9">
        <f t="shared" si="1"/>
        <v>1722.2239999999999</v>
      </c>
      <c r="J28" s="23">
        <v>15</v>
      </c>
      <c r="K28" s="2">
        <v>1993</v>
      </c>
      <c r="L28" s="2">
        <v>2022</v>
      </c>
      <c r="M28" s="2">
        <f t="shared" si="2"/>
        <v>29</v>
      </c>
      <c r="N28" s="2">
        <v>65</v>
      </c>
      <c r="O28" s="3">
        <v>0.05</v>
      </c>
      <c r="P28" s="5">
        <f t="shared" si="3"/>
        <v>1.4615384615384615E-2</v>
      </c>
      <c r="Q28" s="2">
        <v>1500</v>
      </c>
      <c r="R28" s="4">
        <f t="shared" si="4"/>
        <v>16145.849999999999</v>
      </c>
      <c r="S28" s="7">
        <f t="shared" si="5"/>
        <v>2583336</v>
      </c>
      <c r="T28" s="7">
        <f t="shared" si="6"/>
        <v>1094937.0276923075</v>
      </c>
      <c r="U28" s="7">
        <f t="shared" si="7"/>
        <v>1488398.9723076925</v>
      </c>
      <c r="V28" s="10">
        <v>0.1</v>
      </c>
      <c r="W28" s="7">
        <f t="shared" si="12"/>
        <v>1339559.0750769232</v>
      </c>
      <c r="X28" s="11">
        <f t="shared" si="11"/>
        <v>777.80769230769238</v>
      </c>
      <c r="Y28" s="1"/>
      <c r="Z28" s="1"/>
    </row>
    <row r="29" spans="2:26" x14ac:dyDescent="0.25">
      <c r="B29" s="12">
        <v>26</v>
      </c>
      <c r="C29" s="2" t="s">
        <v>2</v>
      </c>
      <c r="D29" s="2" t="s">
        <v>59</v>
      </c>
      <c r="E29" s="23" t="s">
        <v>30</v>
      </c>
      <c r="F29" s="18" t="s">
        <v>79</v>
      </c>
      <c r="G29" s="18" t="s">
        <v>80</v>
      </c>
      <c r="H29" s="6">
        <v>105</v>
      </c>
      <c r="I29" s="9">
        <f t="shared" si="1"/>
        <v>1130.2094999999999</v>
      </c>
      <c r="J29" s="23">
        <v>15</v>
      </c>
      <c r="K29" s="2">
        <v>1993</v>
      </c>
      <c r="L29" s="2">
        <v>2022</v>
      </c>
      <c r="M29" s="2">
        <f t="shared" si="2"/>
        <v>29</v>
      </c>
      <c r="N29" s="2">
        <v>65</v>
      </c>
      <c r="O29" s="3">
        <v>0.05</v>
      </c>
      <c r="P29" s="5">
        <f t="shared" si="3"/>
        <v>1.4615384615384615E-2</v>
      </c>
      <c r="Q29" s="2">
        <v>1500</v>
      </c>
      <c r="R29" s="4">
        <f t="shared" si="4"/>
        <v>16145.849999999999</v>
      </c>
      <c r="S29" s="7">
        <f t="shared" si="5"/>
        <v>1695314.2499999998</v>
      </c>
      <c r="T29" s="7">
        <f t="shared" si="6"/>
        <v>718552.42442307679</v>
      </c>
      <c r="U29" s="7">
        <f t="shared" si="7"/>
        <v>976761.82557692297</v>
      </c>
      <c r="V29" s="10">
        <v>0.1</v>
      </c>
      <c r="W29" s="7">
        <f t="shared" si="12"/>
        <v>879085.64301923069</v>
      </c>
      <c r="X29" s="11">
        <f t="shared" si="11"/>
        <v>777.80769230769226</v>
      </c>
      <c r="Y29" s="1"/>
      <c r="Z29" s="1"/>
    </row>
    <row r="30" spans="2:26" x14ac:dyDescent="0.25">
      <c r="B30" s="12">
        <v>27</v>
      </c>
      <c r="C30" s="2" t="s">
        <v>85</v>
      </c>
      <c r="D30" s="2" t="s">
        <v>60</v>
      </c>
      <c r="E30" s="23" t="s">
        <v>30</v>
      </c>
      <c r="F30" s="18" t="s">
        <v>79</v>
      </c>
      <c r="G30" s="18" t="s">
        <v>80</v>
      </c>
      <c r="H30" s="6">
        <v>453.49299999999999</v>
      </c>
      <c r="I30" s="9">
        <f t="shared" si="1"/>
        <v>4881.3533026999994</v>
      </c>
      <c r="J30" s="23">
        <v>10</v>
      </c>
      <c r="K30" s="2">
        <v>1994</v>
      </c>
      <c r="L30" s="2">
        <v>2022</v>
      </c>
      <c r="M30" s="2">
        <f t="shared" si="2"/>
        <v>28</v>
      </c>
      <c r="N30" s="2">
        <v>65</v>
      </c>
      <c r="O30" s="3">
        <v>0.05</v>
      </c>
      <c r="P30" s="5">
        <f t="shared" si="3"/>
        <v>1.4615384615384615E-2</v>
      </c>
      <c r="Q30" s="2">
        <v>1500</v>
      </c>
      <c r="R30" s="4">
        <f t="shared" si="4"/>
        <v>16145.849999999999</v>
      </c>
      <c r="S30" s="7">
        <f t="shared" si="5"/>
        <v>7322029.9540499989</v>
      </c>
      <c r="T30" s="7">
        <f t="shared" si="6"/>
        <v>2996399.9504266148</v>
      </c>
      <c r="U30" s="7">
        <f t="shared" si="7"/>
        <v>4325630.0036233841</v>
      </c>
      <c r="V30" s="10">
        <v>0</v>
      </c>
      <c r="W30" s="7">
        <f t="shared" si="10"/>
        <v>4325630.0036233841</v>
      </c>
      <c r="X30" s="11">
        <f t="shared" si="11"/>
        <v>886.15384615384619</v>
      </c>
      <c r="Y30" s="1"/>
      <c r="Z30" s="1"/>
    </row>
    <row r="31" spans="2:26" x14ac:dyDescent="0.25">
      <c r="B31" s="12">
        <v>28</v>
      </c>
      <c r="C31" s="2" t="s">
        <v>2</v>
      </c>
      <c r="D31" s="2" t="s">
        <v>61</v>
      </c>
      <c r="E31" s="23" t="s">
        <v>30</v>
      </c>
      <c r="F31" s="18" t="s">
        <v>79</v>
      </c>
      <c r="G31" s="18" t="s">
        <v>80</v>
      </c>
      <c r="H31" s="6">
        <v>460.4</v>
      </c>
      <c r="I31" s="9">
        <f t="shared" si="1"/>
        <v>4955.6995599999991</v>
      </c>
      <c r="J31" s="23">
        <v>12</v>
      </c>
      <c r="K31" s="2">
        <v>1994</v>
      </c>
      <c r="L31" s="2">
        <v>2022</v>
      </c>
      <c r="M31" s="2">
        <f t="shared" si="2"/>
        <v>28</v>
      </c>
      <c r="N31" s="2">
        <v>65</v>
      </c>
      <c r="O31" s="3">
        <v>0.05</v>
      </c>
      <c r="P31" s="5">
        <f t="shared" si="3"/>
        <v>1.4615384615384615E-2</v>
      </c>
      <c r="Q31" s="2">
        <v>1500</v>
      </c>
      <c r="R31" s="4">
        <f t="shared" si="4"/>
        <v>16145.849999999999</v>
      </c>
      <c r="S31" s="7">
        <f t="shared" si="5"/>
        <v>7433549.3399999989</v>
      </c>
      <c r="T31" s="7">
        <f t="shared" si="6"/>
        <v>3042037.1145230765</v>
      </c>
      <c r="U31" s="7">
        <f t="shared" si="7"/>
        <v>4391512.2254769225</v>
      </c>
      <c r="V31" s="10">
        <v>0</v>
      </c>
      <c r="W31" s="7">
        <f t="shared" si="10"/>
        <v>4391512.2254769225</v>
      </c>
      <c r="X31" s="11">
        <f t="shared" si="11"/>
        <v>886.15384615384619</v>
      </c>
      <c r="Y31" s="1"/>
      <c r="Z31" s="1"/>
    </row>
    <row r="32" spans="2:26" x14ac:dyDescent="0.25">
      <c r="B32" s="12">
        <v>29</v>
      </c>
      <c r="C32" s="19" t="s">
        <v>2</v>
      </c>
      <c r="D32" s="2" t="s">
        <v>62</v>
      </c>
      <c r="E32" s="23" t="s">
        <v>32</v>
      </c>
      <c r="F32" s="18" t="s">
        <v>79</v>
      </c>
      <c r="G32" s="18" t="s">
        <v>80</v>
      </c>
      <c r="H32" s="6">
        <v>588.01</v>
      </c>
      <c r="I32" s="9">
        <f t="shared" si="1"/>
        <v>6329.280839</v>
      </c>
      <c r="J32" s="23">
        <v>31</v>
      </c>
      <c r="K32" s="2">
        <v>1994</v>
      </c>
      <c r="L32" s="2">
        <v>2022</v>
      </c>
      <c r="M32" s="2">
        <f t="shared" si="2"/>
        <v>28</v>
      </c>
      <c r="N32" s="2">
        <v>40</v>
      </c>
      <c r="O32" s="3">
        <v>0.05</v>
      </c>
      <c r="P32" s="5">
        <f t="shared" si="3"/>
        <v>2.375E-2</v>
      </c>
      <c r="Q32" s="2">
        <v>1500</v>
      </c>
      <c r="R32" s="4">
        <f t="shared" si="4"/>
        <v>16145.849999999999</v>
      </c>
      <c r="S32" s="7">
        <f t="shared" si="5"/>
        <v>9493921.2584999986</v>
      </c>
      <c r="T32" s="7">
        <f t="shared" si="6"/>
        <v>6313457.636902499</v>
      </c>
      <c r="U32" s="7">
        <f t="shared" si="7"/>
        <v>3180463.6215974996</v>
      </c>
      <c r="V32" s="10">
        <v>0.1</v>
      </c>
      <c r="W32" s="7">
        <f>IF(U32&gt;O32*S32,U32*(1+V32),S32*O32)</f>
        <v>3498509.98375725</v>
      </c>
      <c r="X32" s="11">
        <f t="shared" si="11"/>
        <v>552.75</v>
      </c>
      <c r="Y32" s="1"/>
      <c r="Z32" s="1"/>
    </row>
    <row r="33" spans="2:26" x14ac:dyDescent="0.25">
      <c r="B33" s="12">
        <v>30</v>
      </c>
      <c r="C33" s="19" t="s">
        <v>85</v>
      </c>
      <c r="D33" s="2" t="s">
        <v>63</v>
      </c>
      <c r="E33" s="23" t="s">
        <v>30</v>
      </c>
      <c r="F33" s="18" t="s">
        <v>79</v>
      </c>
      <c r="G33" s="18" t="s">
        <v>80</v>
      </c>
      <c r="H33" s="6">
        <v>401.21300000000002</v>
      </c>
      <c r="I33" s="9">
        <f t="shared" si="1"/>
        <v>4318.6166106999999</v>
      </c>
      <c r="J33" s="23">
        <v>10</v>
      </c>
      <c r="K33" s="2">
        <v>1994</v>
      </c>
      <c r="L33" s="2">
        <v>2022</v>
      </c>
      <c r="M33" s="2">
        <f t="shared" si="2"/>
        <v>28</v>
      </c>
      <c r="N33" s="2">
        <v>65</v>
      </c>
      <c r="O33" s="3">
        <v>0.05</v>
      </c>
      <c r="P33" s="5">
        <f t="shared" si="3"/>
        <v>1.4615384615384615E-2</v>
      </c>
      <c r="Q33" s="2">
        <v>1500</v>
      </c>
      <c r="R33" s="4">
        <f t="shared" si="4"/>
        <v>16145.849999999999</v>
      </c>
      <c r="S33" s="7">
        <f t="shared" si="5"/>
        <v>6477924.9160500001</v>
      </c>
      <c r="T33" s="7">
        <f t="shared" si="6"/>
        <v>2650966.1964143077</v>
      </c>
      <c r="U33" s="7">
        <f t="shared" si="7"/>
        <v>3826958.7196356924</v>
      </c>
      <c r="V33" s="10">
        <v>0</v>
      </c>
      <c r="W33" s="7">
        <f t="shared" si="10"/>
        <v>3826958.7196356924</v>
      </c>
      <c r="X33" s="11">
        <f t="shared" si="11"/>
        <v>886.15384615384619</v>
      </c>
      <c r="Y33" s="1"/>
      <c r="Z33" s="1"/>
    </row>
    <row r="34" spans="2:26" x14ac:dyDescent="0.25">
      <c r="B34" s="12">
        <v>31</v>
      </c>
      <c r="C34" s="19" t="s">
        <v>88</v>
      </c>
      <c r="D34" s="2" t="s">
        <v>64</v>
      </c>
      <c r="E34" s="23" t="s">
        <v>30</v>
      </c>
      <c r="F34" s="18" t="s">
        <v>79</v>
      </c>
      <c r="G34" s="18" t="s">
        <v>80</v>
      </c>
      <c r="H34" s="6">
        <v>397.74200000000002</v>
      </c>
      <c r="I34" s="9">
        <f t="shared" si="1"/>
        <v>4281.2551137999999</v>
      </c>
      <c r="J34" s="23">
        <v>10</v>
      </c>
      <c r="K34" s="2">
        <v>1997</v>
      </c>
      <c r="L34" s="2">
        <v>2022</v>
      </c>
      <c r="M34" s="2">
        <f t="shared" si="2"/>
        <v>25</v>
      </c>
      <c r="N34" s="2">
        <v>65</v>
      </c>
      <c r="O34" s="3">
        <v>0.05</v>
      </c>
      <c r="P34" s="5">
        <f t="shared" si="3"/>
        <v>1.4615384615384615E-2</v>
      </c>
      <c r="Q34" s="2">
        <v>1500</v>
      </c>
      <c r="R34" s="4">
        <f t="shared" si="4"/>
        <v>16145.849999999999</v>
      </c>
      <c r="S34" s="7">
        <f t="shared" si="5"/>
        <v>6421882.6706999997</v>
      </c>
      <c r="T34" s="7">
        <f t="shared" si="6"/>
        <v>2346457.1296788463</v>
      </c>
      <c r="U34" s="7">
        <f t="shared" si="7"/>
        <v>4075425.5410211533</v>
      </c>
      <c r="V34" s="10">
        <v>0</v>
      </c>
      <c r="W34" s="7">
        <f t="shared" si="10"/>
        <v>4075425.5410211533</v>
      </c>
      <c r="X34" s="11">
        <f t="shared" si="11"/>
        <v>951.92307692307679</v>
      </c>
      <c r="Y34" s="1"/>
      <c r="Z34" s="1"/>
    </row>
    <row r="35" spans="2:26" x14ac:dyDescent="0.25">
      <c r="B35" s="12">
        <v>32</v>
      </c>
      <c r="C35" s="19" t="s">
        <v>2</v>
      </c>
      <c r="D35" s="2" t="s">
        <v>65</v>
      </c>
      <c r="E35" s="23" t="s">
        <v>30</v>
      </c>
      <c r="F35" s="18" t="s">
        <v>79</v>
      </c>
      <c r="G35" s="18" t="s">
        <v>80</v>
      </c>
      <c r="H35" s="6">
        <v>225</v>
      </c>
      <c r="I35" s="9">
        <f t="shared" si="1"/>
        <v>2421.8775000000001</v>
      </c>
      <c r="J35" s="23">
        <v>12</v>
      </c>
      <c r="K35" s="2">
        <v>1997</v>
      </c>
      <c r="L35" s="2">
        <v>2022</v>
      </c>
      <c r="M35" s="2">
        <f t="shared" si="2"/>
        <v>25</v>
      </c>
      <c r="N35" s="2">
        <v>65</v>
      </c>
      <c r="O35" s="3">
        <v>0.05</v>
      </c>
      <c r="P35" s="5">
        <f t="shared" si="3"/>
        <v>1.4615384615384615E-2</v>
      </c>
      <c r="Q35" s="2">
        <v>1500</v>
      </c>
      <c r="R35" s="4">
        <f t="shared" si="4"/>
        <v>16145.849999999999</v>
      </c>
      <c r="S35" s="7">
        <f t="shared" si="5"/>
        <v>3632816.2499999995</v>
      </c>
      <c r="T35" s="7">
        <f t="shared" si="6"/>
        <v>1327375.1682692305</v>
      </c>
      <c r="U35" s="7">
        <f t="shared" si="7"/>
        <v>2305441.081730769</v>
      </c>
      <c r="V35" s="10">
        <v>0</v>
      </c>
      <c r="W35" s="7">
        <f t="shared" si="10"/>
        <v>2305441.081730769</v>
      </c>
      <c r="X35" s="11">
        <f t="shared" si="11"/>
        <v>951.92307692307679</v>
      </c>
      <c r="Y35" s="1"/>
      <c r="Z35" s="1"/>
    </row>
    <row r="36" spans="2:26" x14ac:dyDescent="0.25">
      <c r="B36" s="12">
        <v>33</v>
      </c>
      <c r="C36" s="32"/>
      <c r="D36" s="33" t="s">
        <v>66</v>
      </c>
      <c r="E36" s="23" t="s">
        <v>30</v>
      </c>
      <c r="F36" s="18" t="s">
        <v>79</v>
      </c>
      <c r="G36" s="18" t="s">
        <v>80</v>
      </c>
      <c r="H36" s="34">
        <v>48.61</v>
      </c>
      <c r="I36" s="9">
        <f t="shared" si="1"/>
        <v>523.23317899999995</v>
      </c>
      <c r="J36" s="35">
        <v>0</v>
      </c>
      <c r="K36" s="33">
        <v>1997</v>
      </c>
      <c r="L36" s="33">
        <v>2022</v>
      </c>
      <c r="M36" s="2">
        <f t="shared" si="2"/>
        <v>25</v>
      </c>
      <c r="N36" s="2">
        <v>15</v>
      </c>
      <c r="O36" s="3">
        <v>0.05</v>
      </c>
      <c r="P36" s="5">
        <f t="shared" si="3"/>
        <v>6.3333333333333325E-2</v>
      </c>
      <c r="Q36" s="2">
        <v>1000</v>
      </c>
      <c r="R36" s="4">
        <f t="shared" si="4"/>
        <v>10763.9</v>
      </c>
      <c r="S36" s="7">
        <f t="shared" si="5"/>
        <v>523233.179</v>
      </c>
      <c r="T36" s="7">
        <f t="shared" si="6"/>
        <v>828452.53341666644</v>
      </c>
      <c r="U36" s="7">
        <f t="shared" si="7"/>
        <v>0</v>
      </c>
      <c r="V36" s="10">
        <v>0</v>
      </c>
      <c r="W36" s="7">
        <f t="shared" si="10"/>
        <v>26161.658950000001</v>
      </c>
      <c r="X36" s="11">
        <f t="shared" si="11"/>
        <v>50.000000000000007</v>
      </c>
      <c r="Y36" s="1"/>
      <c r="Z36" s="1"/>
    </row>
    <row r="37" spans="2:26" x14ac:dyDescent="0.25">
      <c r="B37" s="12">
        <v>34</v>
      </c>
      <c r="C37" s="19"/>
      <c r="D37" s="2" t="s">
        <v>67</v>
      </c>
      <c r="E37" s="23" t="s">
        <v>30</v>
      </c>
      <c r="F37" s="18" t="s">
        <v>79</v>
      </c>
      <c r="G37" s="18" t="s">
        <v>80</v>
      </c>
      <c r="H37" s="6">
        <v>205</v>
      </c>
      <c r="I37" s="9">
        <f t="shared" si="1"/>
        <v>2206.5994999999998</v>
      </c>
      <c r="J37" s="23">
        <v>10</v>
      </c>
      <c r="K37" s="2">
        <v>1997</v>
      </c>
      <c r="L37" s="2">
        <v>2022</v>
      </c>
      <c r="M37" s="2">
        <f t="shared" si="2"/>
        <v>25</v>
      </c>
      <c r="N37" s="2">
        <v>65</v>
      </c>
      <c r="O37" s="3">
        <v>0.05</v>
      </c>
      <c r="P37" s="5">
        <f t="shared" si="3"/>
        <v>1.4615384615384615E-2</v>
      </c>
      <c r="Q37" s="2">
        <v>1500</v>
      </c>
      <c r="R37" s="4">
        <f t="shared" si="4"/>
        <v>16145.849999999999</v>
      </c>
      <c r="S37" s="7">
        <f t="shared" si="5"/>
        <v>3309899.2499999995</v>
      </c>
      <c r="T37" s="7">
        <f t="shared" si="6"/>
        <v>1209386.2644230768</v>
      </c>
      <c r="U37" s="7">
        <f t="shared" si="7"/>
        <v>2100512.985576923</v>
      </c>
      <c r="V37" s="10">
        <v>0</v>
      </c>
      <c r="W37" s="7">
        <f t="shared" si="10"/>
        <v>2100512.985576923</v>
      </c>
      <c r="X37" s="11">
        <f t="shared" si="11"/>
        <v>951.92307692307702</v>
      </c>
      <c r="Y37" s="1"/>
      <c r="Z37" s="1"/>
    </row>
    <row r="38" spans="2:26" x14ac:dyDescent="0.25">
      <c r="B38" s="12">
        <v>35</v>
      </c>
      <c r="C38" s="19" t="s">
        <v>2</v>
      </c>
      <c r="D38" s="2" t="s">
        <v>68</v>
      </c>
      <c r="E38" s="23" t="s">
        <v>30</v>
      </c>
      <c r="F38" s="18" t="s">
        <v>79</v>
      </c>
      <c r="G38" s="18" t="s">
        <v>80</v>
      </c>
      <c r="H38" s="6">
        <v>63</v>
      </c>
      <c r="I38" s="9">
        <f t="shared" si="1"/>
        <v>678.12569999999994</v>
      </c>
      <c r="J38" s="23">
        <v>15</v>
      </c>
      <c r="K38" s="2">
        <v>1997</v>
      </c>
      <c r="L38" s="2">
        <v>2022</v>
      </c>
      <c r="M38" s="2">
        <f t="shared" si="2"/>
        <v>25</v>
      </c>
      <c r="N38" s="2">
        <v>65</v>
      </c>
      <c r="O38" s="3">
        <v>0.05</v>
      </c>
      <c r="P38" s="5">
        <f t="shared" si="3"/>
        <v>1.4615384615384615E-2</v>
      </c>
      <c r="Q38" s="2">
        <v>1500</v>
      </c>
      <c r="R38" s="4">
        <f t="shared" si="4"/>
        <v>16145.849999999999</v>
      </c>
      <c r="S38" s="7">
        <f t="shared" si="5"/>
        <v>1017188.5499999999</v>
      </c>
      <c r="T38" s="7">
        <f t="shared" si="6"/>
        <v>371665.0471153846</v>
      </c>
      <c r="U38" s="7">
        <f t="shared" si="7"/>
        <v>645523.50288461533</v>
      </c>
      <c r="V38" s="10">
        <v>0.05</v>
      </c>
      <c r="W38" s="7">
        <f>IF(U38&gt;O38*S38,U38*(1-V38),S38*O38)</f>
        <v>613247.3277403845</v>
      </c>
      <c r="X38" s="11">
        <f t="shared" si="11"/>
        <v>904.32692307692298</v>
      </c>
      <c r="Y38" s="1"/>
      <c r="Z38" s="1"/>
    </row>
    <row r="39" spans="2:26" x14ac:dyDescent="0.25">
      <c r="B39" s="12">
        <v>36</v>
      </c>
      <c r="C39" s="19" t="s">
        <v>2</v>
      </c>
      <c r="D39" s="2" t="s">
        <v>69</v>
      </c>
      <c r="E39" s="23" t="s">
        <v>30</v>
      </c>
      <c r="F39" s="18" t="s">
        <v>79</v>
      </c>
      <c r="G39" s="18" t="s">
        <v>80</v>
      </c>
      <c r="H39" s="6">
        <v>84</v>
      </c>
      <c r="I39" s="9">
        <f t="shared" si="1"/>
        <v>904.16759999999999</v>
      </c>
      <c r="J39" s="23">
        <v>25</v>
      </c>
      <c r="K39" s="2">
        <v>1997</v>
      </c>
      <c r="L39" s="2">
        <v>2022</v>
      </c>
      <c r="M39" s="2">
        <f t="shared" si="2"/>
        <v>25</v>
      </c>
      <c r="N39" s="2">
        <v>65</v>
      </c>
      <c r="O39" s="3">
        <v>0.05</v>
      </c>
      <c r="P39" s="5">
        <f t="shared" si="3"/>
        <v>1.4615384615384615E-2</v>
      </c>
      <c r="Q39" s="2">
        <v>2000</v>
      </c>
      <c r="R39" s="4">
        <f t="shared" si="4"/>
        <v>21527.8</v>
      </c>
      <c r="S39" s="7">
        <f t="shared" si="5"/>
        <v>1808335.2</v>
      </c>
      <c r="T39" s="7">
        <f t="shared" si="6"/>
        <v>660737.86153846153</v>
      </c>
      <c r="U39" s="7">
        <f t="shared" si="7"/>
        <v>1147597.3384615383</v>
      </c>
      <c r="V39" s="10">
        <v>0.1</v>
      </c>
      <c r="W39" s="7">
        <f>IF(U39&gt;O39*S39,U39*(1-V39),S39*O39)</f>
        <v>1032837.6046153845</v>
      </c>
      <c r="X39" s="11">
        <f t="shared" si="11"/>
        <v>1142.3076923076922</v>
      </c>
      <c r="Y39" s="1"/>
      <c r="Z39" s="1"/>
    </row>
    <row r="40" spans="2:26" x14ac:dyDescent="0.25">
      <c r="B40" s="12">
        <v>37</v>
      </c>
      <c r="C40" s="19" t="s">
        <v>2</v>
      </c>
      <c r="D40" s="2" t="s">
        <v>56</v>
      </c>
      <c r="E40" s="23" t="s">
        <v>30</v>
      </c>
      <c r="F40" s="18" t="s">
        <v>79</v>
      </c>
      <c r="G40" s="18" t="s">
        <v>80</v>
      </c>
      <c r="H40" s="6">
        <v>294</v>
      </c>
      <c r="I40" s="9">
        <f t="shared" si="1"/>
        <v>3164.5866000000001</v>
      </c>
      <c r="J40" s="23">
        <v>25</v>
      </c>
      <c r="K40" s="2">
        <v>1997</v>
      </c>
      <c r="L40" s="2">
        <v>2022</v>
      </c>
      <c r="M40" s="2">
        <f t="shared" si="2"/>
        <v>25</v>
      </c>
      <c r="N40" s="2">
        <v>60</v>
      </c>
      <c r="O40" s="3">
        <v>0.05</v>
      </c>
      <c r="P40" s="5">
        <f t="shared" si="3"/>
        <v>1.5833333333333331E-2</v>
      </c>
      <c r="Q40" s="2">
        <v>2000</v>
      </c>
      <c r="R40" s="4">
        <f t="shared" si="4"/>
        <v>21527.8</v>
      </c>
      <c r="S40" s="7">
        <f t="shared" si="5"/>
        <v>6329173.2000000002</v>
      </c>
      <c r="T40" s="7">
        <f t="shared" si="6"/>
        <v>2505297.7249999996</v>
      </c>
      <c r="U40" s="7">
        <f t="shared" si="7"/>
        <v>3823875.4750000006</v>
      </c>
      <c r="V40" s="10">
        <v>0.1</v>
      </c>
      <c r="W40" s="7">
        <f>IF(U40&gt;O40*S40,U40*(1-V40),S40*O40)</f>
        <v>3441487.9275000007</v>
      </c>
      <c r="X40" s="11">
        <f t="shared" si="11"/>
        <v>1087.5000000000002</v>
      </c>
      <c r="Y40" s="1"/>
      <c r="Z40" s="1"/>
    </row>
    <row r="41" spans="2:26" x14ac:dyDescent="0.25">
      <c r="B41" s="12">
        <v>38</v>
      </c>
      <c r="C41" s="19" t="s">
        <v>2</v>
      </c>
      <c r="D41" s="2" t="s">
        <v>70</v>
      </c>
      <c r="E41" s="23" t="s">
        <v>30</v>
      </c>
      <c r="F41" s="18" t="s">
        <v>79</v>
      </c>
      <c r="G41" s="18" t="s">
        <v>80</v>
      </c>
      <c r="H41" s="6">
        <v>75.92</v>
      </c>
      <c r="I41" s="9">
        <f t="shared" si="1"/>
        <v>817.19528800000001</v>
      </c>
      <c r="J41" s="23">
        <v>10</v>
      </c>
      <c r="K41" s="2">
        <v>1997</v>
      </c>
      <c r="L41" s="2">
        <v>2022</v>
      </c>
      <c r="M41" s="2">
        <f t="shared" si="2"/>
        <v>25</v>
      </c>
      <c r="N41" s="2">
        <v>65</v>
      </c>
      <c r="O41" s="3">
        <v>0.05</v>
      </c>
      <c r="P41" s="5">
        <f t="shared" si="3"/>
        <v>1.4615384615384615E-2</v>
      </c>
      <c r="Q41" s="2">
        <v>1500</v>
      </c>
      <c r="R41" s="4">
        <f t="shared" si="4"/>
        <v>16145.849999999999</v>
      </c>
      <c r="S41" s="7">
        <f t="shared" si="5"/>
        <v>1225792.932</v>
      </c>
      <c r="T41" s="7">
        <f t="shared" si="6"/>
        <v>447885.87900000002</v>
      </c>
      <c r="U41" s="7">
        <f t="shared" si="7"/>
        <v>777907.05300000007</v>
      </c>
      <c r="V41" s="10">
        <v>0</v>
      </c>
      <c r="W41" s="7">
        <f t="shared" si="10"/>
        <v>777907.05300000007</v>
      </c>
      <c r="X41" s="11">
        <f t="shared" si="11"/>
        <v>951.92307692307702</v>
      </c>
      <c r="Y41" s="1"/>
      <c r="Z41" s="1"/>
    </row>
    <row r="42" spans="2:26" x14ac:dyDescent="0.25">
      <c r="B42" s="12">
        <v>39</v>
      </c>
      <c r="C42" s="19" t="s">
        <v>2</v>
      </c>
      <c r="D42" s="2" t="s">
        <v>71</v>
      </c>
      <c r="E42" s="23" t="s">
        <v>30</v>
      </c>
      <c r="F42" s="18" t="s">
        <v>79</v>
      </c>
      <c r="G42" s="18" t="s">
        <v>80</v>
      </c>
      <c r="H42" s="6">
        <v>126</v>
      </c>
      <c r="I42" s="9">
        <f t="shared" si="1"/>
        <v>1356.2513999999999</v>
      </c>
      <c r="J42" s="23">
        <v>20</v>
      </c>
      <c r="K42" s="2">
        <v>2000</v>
      </c>
      <c r="L42" s="2">
        <v>2022</v>
      </c>
      <c r="M42" s="2">
        <f t="shared" si="2"/>
        <v>22</v>
      </c>
      <c r="N42" s="2">
        <v>65</v>
      </c>
      <c r="O42" s="3">
        <v>0.05</v>
      </c>
      <c r="P42" s="5">
        <f t="shared" si="3"/>
        <v>1.4615384615384615E-2</v>
      </c>
      <c r="Q42" s="2">
        <v>1800</v>
      </c>
      <c r="R42" s="4">
        <f t="shared" si="4"/>
        <v>19375.02</v>
      </c>
      <c r="S42" s="7">
        <f t="shared" si="5"/>
        <v>2441252.52</v>
      </c>
      <c r="T42" s="7">
        <f t="shared" si="6"/>
        <v>784956.57950769225</v>
      </c>
      <c r="U42" s="7">
        <f t="shared" si="7"/>
        <v>1656295.9404923078</v>
      </c>
      <c r="V42" s="10">
        <v>0.1</v>
      </c>
      <c r="W42" s="7">
        <f>IF(U42&gt;O42*S42,U42*(1-V42),S42*O42)</f>
        <v>1490666.3464430771</v>
      </c>
      <c r="X42" s="11">
        <f t="shared" si="11"/>
        <v>1099.1076923076926</v>
      </c>
      <c r="Y42" s="1"/>
      <c r="Z42" s="1"/>
    </row>
    <row r="43" spans="2:26" x14ac:dyDescent="0.25">
      <c r="B43" s="12">
        <v>40</v>
      </c>
      <c r="C43" s="19" t="s">
        <v>2</v>
      </c>
      <c r="D43" s="2" t="s">
        <v>72</v>
      </c>
      <c r="E43" s="23" t="s">
        <v>29</v>
      </c>
      <c r="F43" s="18" t="s">
        <v>79</v>
      </c>
      <c r="G43" s="18" t="s">
        <v>80</v>
      </c>
      <c r="H43" s="6">
        <v>6480</v>
      </c>
      <c r="I43" s="9">
        <f t="shared" si="1"/>
        <v>69750.072</v>
      </c>
      <c r="J43" s="23">
        <v>31</v>
      </c>
      <c r="K43" s="2">
        <v>1999</v>
      </c>
      <c r="L43" s="2">
        <v>2022</v>
      </c>
      <c r="M43" s="2">
        <f t="shared" si="2"/>
        <v>23</v>
      </c>
      <c r="N43" s="2">
        <v>65</v>
      </c>
      <c r="O43" s="3">
        <v>0.05</v>
      </c>
      <c r="P43" s="5">
        <f t="shared" si="3"/>
        <v>1.4615384615384615E-2</v>
      </c>
      <c r="Q43" s="2">
        <v>2000</v>
      </c>
      <c r="R43" s="4">
        <f t="shared" si="4"/>
        <v>21527.8</v>
      </c>
      <c r="S43" s="7">
        <f t="shared" si="5"/>
        <v>139500144</v>
      </c>
      <c r="T43" s="7">
        <f t="shared" si="6"/>
        <v>46893509.944615386</v>
      </c>
      <c r="U43" s="7">
        <f t="shared" si="7"/>
        <v>92606634.055384606</v>
      </c>
      <c r="V43" s="10">
        <v>0.05</v>
      </c>
      <c r="W43" s="7">
        <f t="shared" si="10"/>
        <v>97236965.758153841</v>
      </c>
      <c r="X43" s="11">
        <f t="shared" ref="X43:X45" si="13">W43/I43</f>
        <v>1394.0769230769231</v>
      </c>
      <c r="Y43" s="1"/>
      <c r="Z43" s="1"/>
    </row>
    <row r="44" spans="2:26" x14ac:dyDescent="0.25">
      <c r="B44" s="12">
        <v>41</v>
      </c>
      <c r="C44" s="19" t="s">
        <v>2</v>
      </c>
      <c r="D44" s="2" t="s">
        <v>73</v>
      </c>
      <c r="E44" s="23" t="s">
        <v>29</v>
      </c>
      <c r="F44" s="18" t="s">
        <v>79</v>
      </c>
      <c r="G44" s="18" t="s">
        <v>80</v>
      </c>
      <c r="H44" s="6">
        <v>3538.5</v>
      </c>
      <c r="I44" s="9">
        <f t="shared" si="1"/>
        <v>38088.060149999998</v>
      </c>
      <c r="J44" s="23">
        <v>31</v>
      </c>
      <c r="K44" s="2">
        <v>2001</v>
      </c>
      <c r="L44" s="2">
        <v>2022</v>
      </c>
      <c r="M44" s="2">
        <f t="shared" si="2"/>
        <v>21</v>
      </c>
      <c r="N44" s="2">
        <v>65</v>
      </c>
      <c r="O44" s="3">
        <v>0.05</v>
      </c>
      <c r="P44" s="5">
        <f t="shared" si="3"/>
        <v>1.4615384615384615E-2</v>
      </c>
      <c r="Q44" s="2">
        <v>2000</v>
      </c>
      <c r="R44" s="4">
        <f t="shared" si="4"/>
        <v>21527.8</v>
      </c>
      <c r="S44" s="7">
        <f t="shared" si="5"/>
        <v>76176120.299999997</v>
      </c>
      <c r="T44" s="7">
        <f t="shared" si="6"/>
        <v>23380209.230538458</v>
      </c>
      <c r="U44" s="7">
        <f t="shared" si="7"/>
        <v>52795911.069461539</v>
      </c>
      <c r="V44" s="10">
        <v>0.05</v>
      </c>
      <c r="W44" s="7">
        <f t="shared" si="10"/>
        <v>55435706.622934617</v>
      </c>
      <c r="X44" s="11">
        <f t="shared" si="13"/>
        <v>1455.4615384615386</v>
      </c>
      <c r="Y44" s="1"/>
      <c r="Z44" s="1"/>
    </row>
    <row r="45" spans="2:26" x14ac:dyDescent="0.25">
      <c r="B45" s="12">
        <v>42</v>
      </c>
      <c r="C45" s="19" t="s">
        <v>2</v>
      </c>
      <c r="D45" s="2" t="s">
        <v>74</v>
      </c>
      <c r="E45" s="23" t="s">
        <v>30</v>
      </c>
      <c r="F45" s="18" t="s">
        <v>79</v>
      </c>
      <c r="G45" s="18" t="s">
        <v>80</v>
      </c>
      <c r="H45" s="6">
        <v>147</v>
      </c>
      <c r="I45" s="9">
        <f t="shared" si="1"/>
        <v>1582.2933</v>
      </c>
      <c r="J45" s="23">
        <v>25</v>
      </c>
      <c r="K45" s="2">
        <v>2000</v>
      </c>
      <c r="L45" s="2">
        <v>2022</v>
      </c>
      <c r="M45" s="2">
        <f t="shared" si="2"/>
        <v>22</v>
      </c>
      <c r="N45" s="2">
        <v>65</v>
      </c>
      <c r="O45" s="3">
        <v>0.05</v>
      </c>
      <c r="P45" s="5">
        <f t="shared" si="3"/>
        <v>1.4615384615384615E-2</v>
      </c>
      <c r="Q45" s="2">
        <v>1800</v>
      </c>
      <c r="R45" s="4">
        <f t="shared" si="4"/>
        <v>19375.02</v>
      </c>
      <c r="S45" s="7">
        <f t="shared" si="5"/>
        <v>2848127.94</v>
      </c>
      <c r="T45" s="7">
        <f t="shared" si="6"/>
        <v>915782.67609230778</v>
      </c>
      <c r="U45" s="7">
        <f t="shared" si="7"/>
        <v>1932345.2639076922</v>
      </c>
      <c r="V45" s="10">
        <v>0.1</v>
      </c>
      <c r="W45" s="7">
        <f>IF(U45&gt;O45*S45,U45*(1-V45),S45*O45)</f>
        <v>1739110.7375169229</v>
      </c>
      <c r="X45" s="11">
        <f t="shared" si="13"/>
        <v>1099.1076923076921</v>
      </c>
      <c r="Y45" s="1"/>
      <c r="Z45" s="1"/>
    </row>
    <row r="46" spans="2:26" x14ac:dyDescent="0.25">
      <c r="B46" s="12">
        <v>43</v>
      </c>
      <c r="C46" s="19" t="s">
        <v>2</v>
      </c>
      <c r="D46" s="2" t="s">
        <v>75</v>
      </c>
      <c r="E46" s="23" t="s">
        <v>29</v>
      </c>
      <c r="F46" s="18" t="s">
        <v>79</v>
      </c>
      <c r="G46" s="18" t="s">
        <v>80</v>
      </c>
      <c r="H46" s="6">
        <v>507.5</v>
      </c>
      <c r="I46" s="9">
        <f t="shared" si="1"/>
        <v>5462.6792500000001</v>
      </c>
      <c r="J46" s="23">
        <v>25</v>
      </c>
      <c r="K46" s="2">
        <v>2014</v>
      </c>
      <c r="L46" s="2">
        <v>2022</v>
      </c>
      <c r="M46" s="2">
        <f t="shared" si="2"/>
        <v>8</v>
      </c>
      <c r="N46" s="2">
        <v>65</v>
      </c>
      <c r="O46" s="3">
        <v>0.05</v>
      </c>
      <c r="P46" s="5">
        <f t="shared" si="3"/>
        <v>1.4615384615384615E-2</v>
      </c>
      <c r="Q46" s="2">
        <v>2000</v>
      </c>
      <c r="R46" s="4">
        <f t="shared" si="4"/>
        <v>21527.8</v>
      </c>
      <c r="S46" s="7">
        <f t="shared" si="5"/>
        <v>10925358.5</v>
      </c>
      <c r="T46" s="7">
        <f t="shared" si="6"/>
        <v>1277426.5323076923</v>
      </c>
      <c r="U46" s="7">
        <f t="shared" si="7"/>
        <v>9647931.9676923081</v>
      </c>
      <c r="V46" s="10">
        <v>0</v>
      </c>
      <c r="W46" s="7">
        <f t="shared" si="10"/>
        <v>9647931.9676923081</v>
      </c>
      <c r="X46" s="11">
        <f t="shared" ref="X46:X49" si="14">W46/I46</f>
        <v>1766.1538461538462</v>
      </c>
      <c r="Y46" s="1"/>
      <c r="Z46" s="1"/>
    </row>
    <row r="47" spans="2:26" x14ac:dyDescent="0.25">
      <c r="B47" s="12">
        <v>44</v>
      </c>
      <c r="C47" s="19" t="s">
        <v>2</v>
      </c>
      <c r="D47" s="2" t="s">
        <v>76</v>
      </c>
      <c r="E47" s="23" t="s">
        <v>29</v>
      </c>
      <c r="F47" s="18" t="s">
        <v>79</v>
      </c>
      <c r="G47" s="18" t="s">
        <v>80</v>
      </c>
      <c r="H47" s="6">
        <v>3950</v>
      </c>
      <c r="I47" s="9">
        <f t="shared" si="1"/>
        <v>42517.404999999999</v>
      </c>
      <c r="J47" s="23">
        <v>31</v>
      </c>
      <c r="K47" s="2">
        <v>2017</v>
      </c>
      <c r="L47" s="2">
        <v>2022</v>
      </c>
      <c r="M47" s="2">
        <f t="shared" si="2"/>
        <v>5</v>
      </c>
      <c r="N47" s="2">
        <v>65</v>
      </c>
      <c r="O47" s="3">
        <v>0.05</v>
      </c>
      <c r="P47" s="5">
        <f t="shared" si="3"/>
        <v>1.4615384615384615E-2</v>
      </c>
      <c r="Q47" s="2">
        <v>2000</v>
      </c>
      <c r="R47" s="4">
        <f t="shared" si="4"/>
        <v>21527.8</v>
      </c>
      <c r="S47" s="7">
        <f t="shared" si="5"/>
        <v>85034810</v>
      </c>
      <c r="T47" s="7">
        <f t="shared" si="6"/>
        <v>6214082.269230769</v>
      </c>
      <c r="U47" s="7">
        <f t="shared" si="7"/>
        <v>78820727.730769232</v>
      </c>
      <c r="V47" s="10">
        <v>0</v>
      </c>
      <c r="W47" s="7">
        <f t="shared" si="10"/>
        <v>78820727.730769232</v>
      </c>
      <c r="X47" s="11">
        <f t="shared" si="14"/>
        <v>1853.8461538461538</v>
      </c>
      <c r="Y47" s="1"/>
      <c r="Z47" s="1"/>
    </row>
    <row r="48" spans="2:26" x14ac:dyDescent="0.25">
      <c r="B48" s="12">
        <v>45</v>
      </c>
      <c r="C48" s="19" t="s">
        <v>2</v>
      </c>
      <c r="D48" s="2" t="s">
        <v>77</v>
      </c>
      <c r="E48" s="23" t="s">
        <v>29</v>
      </c>
      <c r="F48" s="18" t="s">
        <v>79</v>
      </c>
      <c r="G48" s="18" t="s">
        <v>80</v>
      </c>
      <c r="H48" s="6">
        <v>2325</v>
      </c>
      <c r="I48" s="9">
        <f t="shared" si="1"/>
        <v>25026.067499999997</v>
      </c>
      <c r="J48" s="23">
        <v>31</v>
      </c>
      <c r="K48" s="2">
        <v>2018</v>
      </c>
      <c r="L48" s="2">
        <v>2022</v>
      </c>
      <c r="M48" s="2">
        <f t="shared" si="2"/>
        <v>4</v>
      </c>
      <c r="N48" s="2">
        <v>65</v>
      </c>
      <c r="O48" s="3">
        <v>0.05</v>
      </c>
      <c r="P48" s="5">
        <f t="shared" si="3"/>
        <v>1.4615384615384615E-2</v>
      </c>
      <c r="Q48" s="2">
        <v>2000</v>
      </c>
      <c r="R48" s="4">
        <f t="shared" si="4"/>
        <v>21527.8</v>
      </c>
      <c r="S48" s="7">
        <f t="shared" si="5"/>
        <v>50052135</v>
      </c>
      <c r="T48" s="7">
        <f t="shared" si="6"/>
        <v>2926124.8153846152</v>
      </c>
      <c r="U48" s="7">
        <f t="shared" si="7"/>
        <v>47126010.184615389</v>
      </c>
      <c r="V48" s="10">
        <v>0</v>
      </c>
      <c r="W48" s="7">
        <f t="shared" si="10"/>
        <v>47126010.184615389</v>
      </c>
      <c r="X48" s="11">
        <f t="shared" si="14"/>
        <v>1883.0769230769233</v>
      </c>
      <c r="Y48" s="1"/>
      <c r="Z48" s="1"/>
    </row>
    <row r="49" spans="2:26" ht="30" x14ac:dyDescent="0.25">
      <c r="B49" s="12">
        <v>46</v>
      </c>
      <c r="C49" s="19" t="s">
        <v>81</v>
      </c>
      <c r="D49" s="2" t="s">
        <v>78</v>
      </c>
      <c r="E49" s="23" t="s">
        <v>33</v>
      </c>
      <c r="F49" s="18" t="s">
        <v>79</v>
      </c>
      <c r="G49" s="18" t="s">
        <v>80</v>
      </c>
      <c r="H49" s="6">
        <v>4559.386617100372</v>
      </c>
      <c r="I49" s="9">
        <f t="shared" si="1"/>
        <v>49076.78160780669</v>
      </c>
      <c r="J49" s="23">
        <v>31</v>
      </c>
      <c r="K49" s="2">
        <v>2018</v>
      </c>
      <c r="L49" s="2">
        <v>2022</v>
      </c>
      <c r="M49" s="2">
        <f t="shared" si="2"/>
        <v>4</v>
      </c>
      <c r="N49" s="2">
        <v>65</v>
      </c>
      <c r="O49" s="3">
        <v>0.05</v>
      </c>
      <c r="P49" s="5">
        <f t="shared" si="3"/>
        <v>1.4615384615384615E-2</v>
      </c>
      <c r="Q49" s="2">
        <v>2000</v>
      </c>
      <c r="R49" s="4">
        <f t="shared" si="4"/>
        <v>21527.8</v>
      </c>
      <c r="S49" s="7">
        <f t="shared" si="5"/>
        <v>98153563.21561338</v>
      </c>
      <c r="T49" s="7">
        <f t="shared" si="6"/>
        <v>5738208.3110666284</v>
      </c>
      <c r="U49" s="7">
        <f t="shared" si="7"/>
        <v>92415354.904546753</v>
      </c>
      <c r="V49" s="10">
        <v>0</v>
      </c>
      <c r="W49" s="7">
        <f t="shared" si="10"/>
        <v>92415354.904546753</v>
      </c>
      <c r="X49" s="11">
        <f t="shared" si="14"/>
        <v>1883.0769230769231</v>
      </c>
      <c r="Y49" s="1"/>
      <c r="Z49" s="1"/>
    </row>
    <row r="50" spans="2:26" x14ac:dyDescent="0.25">
      <c r="B50" s="51" t="s">
        <v>7</v>
      </c>
      <c r="C50" s="51"/>
      <c r="D50" s="51"/>
      <c r="E50" s="51"/>
      <c r="F50" s="17"/>
      <c r="G50" s="17"/>
      <c r="H50" s="31">
        <f>SUM(H4:H49)</f>
        <v>50318.041617100374</v>
      </c>
      <c r="I50" s="16">
        <f>SUM(I4:I49)</f>
        <v>541618.36816230649</v>
      </c>
      <c r="J50" s="17"/>
      <c r="K50" s="51"/>
      <c r="L50" s="51"/>
      <c r="M50" s="51"/>
      <c r="N50" s="51"/>
      <c r="O50" s="51"/>
      <c r="P50" s="51"/>
      <c r="Q50" s="51"/>
      <c r="R50" s="17"/>
      <c r="S50" s="8">
        <f>SUM(S4:S4)</f>
        <v>151275850.59999999</v>
      </c>
      <c r="T50" s="8"/>
      <c r="U50" s="8">
        <f>SUM(U4:U4)</f>
        <v>67259570.497538462</v>
      </c>
      <c r="V50" s="8"/>
      <c r="W50" s="8">
        <f>SUM(W4:W49)</f>
        <v>707418356.035496</v>
      </c>
    </row>
  </sheetData>
  <mergeCells count="3">
    <mergeCell ref="B2:W2"/>
    <mergeCell ref="B50:E50"/>
    <mergeCell ref="K50:Q50"/>
  </mergeCells>
  <dataValidations count="1">
    <dataValidation type="list" allowBlank="1" showInputMessage="1" showErrorMessage="1" promptTitle="Condition of Structure" prompt="Condition of Structure" sqref="G4:G49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2"/>
  <sheetViews>
    <sheetView topLeftCell="B48" workbookViewId="0">
      <selection activeCell="W51" sqref="W51"/>
    </sheetView>
  </sheetViews>
  <sheetFormatPr defaultRowHeight="15" x14ac:dyDescent="0.25"/>
  <cols>
    <col min="2" max="2" width="5" customWidth="1"/>
    <col min="3" max="3" width="17.28515625" customWidth="1"/>
    <col min="4" max="4" width="25.28515625" style="41" customWidth="1"/>
    <col min="5" max="5" width="37.28515625" style="41" customWidth="1"/>
    <col min="6" max="6" width="12.28515625" hidden="1" customWidth="1"/>
    <col min="7" max="7" width="11.85546875" hidden="1" customWidth="1"/>
    <col min="8" max="8" width="11" style="48" customWidth="1"/>
    <col min="9" max="9" width="10" style="48" customWidth="1"/>
    <col min="10" max="10" width="6.85546875" customWidth="1"/>
    <col min="11" max="11" width="9.140625" customWidth="1"/>
    <col min="12" max="12" width="9.140625" hidden="1" customWidth="1"/>
    <col min="13" max="13" width="9.5703125" customWidth="1"/>
    <col min="14" max="14" width="10" customWidth="1"/>
    <col min="15" max="15" width="7.85546875" customWidth="1"/>
    <col min="16" max="16" width="12.42578125" style="44" hidden="1" customWidth="1"/>
    <col min="17" max="17" width="11.42578125" customWidth="1"/>
    <col min="18" max="18" width="13.85546875" style="48" customWidth="1"/>
    <col min="19" max="19" width="17.28515625" bestFit="1" customWidth="1"/>
    <col min="20" max="20" width="15.42578125" hidden="1" customWidth="1"/>
    <col min="21" max="21" width="14.28515625" hidden="1" customWidth="1"/>
    <col min="22" max="22" width="11.42578125" hidden="1" customWidth="1"/>
    <col min="23" max="23" width="17.5703125" customWidth="1"/>
    <col min="24" max="24" width="12" bestFit="1" customWidth="1"/>
    <col min="25" max="26" width="14.28515625" bestFit="1" customWidth="1"/>
  </cols>
  <sheetData>
    <row r="2" spans="2:26" ht="15.75" x14ac:dyDescent="0.25">
      <c r="B2" s="69" t="s">
        <v>25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</row>
    <row r="3" spans="2:26" s="15" customFormat="1" ht="60" x14ac:dyDescent="0.25">
      <c r="B3" s="13" t="s">
        <v>105</v>
      </c>
      <c r="C3" s="13" t="s">
        <v>1</v>
      </c>
      <c r="D3" s="14" t="s">
        <v>11</v>
      </c>
      <c r="E3" s="14" t="s">
        <v>5</v>
      </c>
      <c r="F3" s="14" t="s">
        <v>20</v>
      </c>
      <c r="G3" s="14" t="s">
        <v>26</v>
      </c>
      <c r="H3" s="45" t="s">
        <v>13</v>
      </c>
      <c r="I3" s="45" t="s">
        <v>100</v>
      </c>
      <c r="J3" s="14" t="s">
        <v>15</v>
      </c>
      <c r="K3" s="14" t="s">
        <v>3</v>
      </c>
      <c r="L3" s="14" t="s">
        <v>4</v>
      </c>
      <c r="M3" s="14" t="s">
        <v>16</v>
      </c>
      <c r="N3" s="14" t="s">
        <v>17</v>
      </c>
      <c r="O3" s="14" t="s">
        <v>6</v>
      </c>
      <c r="P3" s="42" t="s">
        <v>8</v>
      </c>
      <c r="Q3" s="14" t="s">
        <v>106</v>
      </c>
      <c r="R3" s="45" t="s">
        <v>19</v>
      </c>
      <c r="S3" s="14" t="s">
        <v>12</v>
      </c>
      <c r="T3" s="14" t="s">
        <v>27</v>
      </c>
      <c r="U3" s="14" t="s">
        <v>9</v>
      </c>
      <c r="V3" s="14" t="s">
        <v>93</v>
      </c>
      <c r="W3" s="14" t="s">
        <v>10</v>
      </c>
    </row>
    <row r="4" spans="2:26" ht="30" x14ac:dyDescent="0.25">
      <c r="B4" s="29">
        <v>1</v>
      </c>
      <c r="C4" s="2" t="s">
        <v>2</v>
      </c>
      <c r="D4" s="38" t="s">
        <v>34</v>
      </c>
      <c r="E4" s="38" t="s">
        <v>29</v>
      </c>
      <c r="F4" s="18" t="s">
        <v>79</v>
      </c>
      <c r="G4" s="18" t="s">
        <v>80</v>
      </c>
      <c r="H4" s="46">
        <v>7027</v>
      </c>
      <c r="I4" s="46">
        <f>H4*10.7639</f>
        <v>75637.925300000003</v>
      </c>
      <c r="J4" s="2">
        <v>31</v>
      </c>
      <c r="K4" s="2">
        <v>1984</v>
      </c>
      <c r="L4" s="2">
        <v>2023</v>
      </c>
      <c r="M4" s="2">
        <f>L4-K4</f>
        <v>39</v>
      </c>
      <c r="N4" s="2">
        <v>45</v>
      </c>
      <c r="O4" s="3">
        <v>0.1</v>
      </c>
      <c r="P4" s="43">
        <f>(1-O4)/N4</f>
        <v>0.02</v>
      </c>
      <c r="Q4" s="2">
        <v>2000</v>
      </c>
      <c r="R4" s="46">
        <f>Q4*10.7639</f>
        <v>21527.8</v>
      </c>
      <c r="S4" s="7">
        <f>R4*H4</f>
        <v>151275850.59999999</v>
      </c>
      <c r="T4" s="7">
        <f>S4*P4*M4</f>
        <v>117995163.46800001</v>
      </c>
      <c r="U4" s="7">
        <f t="shared" ref="U4:U49" si="0">MAX(S4-T4,0)</f>
        <v>33280687.131999984</v>
      </c>
      <c r="V4" s="10">
        <v>0.1</v>
      </c>
      <c r="W4" s="7">
        <f>IF(U4&gt;O4*S4,U4*(1+V4),S4*O4)</f>
        <v>36608755.845199987</v>
      </c>
      <c r="X4" s="11">
        <f>W4/I4</f>
        <v>483.99999999999983</v>
      </c>
      <c r="Y4" s="1"/>
      <c r="Z4" s="1"/>
    </row>
    <row r="5" spans="2:26" x14ac:dyDescent="0.25">
      <c r="B5" s="29">
        <v>2</v>
      </c>
      <c r="C5" s="2" t="s">
        <v>2</v>
      </c>
      <c r="D5" s="38" t="s">
        <v>35</v>
      </c>
      <c r="E5" s="38" t="s">
        <v>30</v>
      </c>
      <c r="F5" s="18" t="s">
        <v>79</v>
      </c>
      <c r="G5" s="18" t="s">
        <v>80</v>
      </c>
      <c r="H5" s="46">
        <v>196</v>
      </c>
      <c r="I5" s="46">
        <f t="shared" ref="I5:I50" si="1">H5*10.7639</f>
        <v>2109.7244000000001</v>
      </c>
      <c r="J5" s="2">
        <v>25</v>
      </c>
      <c r="K5" s="2">
        <v>1985</v>
      </c>
      <c r="L5" s="2">
        <v>2023</v>
      </c>
      <c r="M5" s="2">
        <f t="shared" ref="M5:M50" si="2">L5-K5</f>
        <v>38</v>
      </c>
      <c r="N5" s="2">
        <v>60</v>
      </c>
      <c r="O5" s="3">
        <v>0.1</v>
      </c>
      <c r="P5" s="43">
        <f t="shared" ref="P5:P49" si="3">(1-O5)/N5</f>
        <v>1.5000000000000001E-2</v>
      </c>
      <c r="Q5" s="2">
        <v>2000</v>
      </c>
      <c r="R5" s="46">
        <f t="shared" ref="R5:R49" si="4">Q5*10.7639</f>
        <v>21527.8</v>
      </c>
      <c r="S5" s="7">
        <f t="shared" ref="S5:S49" si="5">R5*H5</f>
        <v>4219448.8</v>
      </c>
      <c r="T5" s="7">
        <f t="shared" ref="T5:T49" si="6">S5*P5*M5</f>
        <v>2405085.8160000001</v>
      </c>
      <c r="U5" s="7">
        <f t="shared" si="0"/>
        <v>1814362.9839999997</v>
      </c>
      <c r="V5" s="10">
        <v>0.1</v>
      </c>
      <c r="W5" s="7">
        <f>IF(U5&gt;O5*S5,U5*(1-V5),S5*O5)</f>
        <v>1632926.6855999997</v>
      </c>
      <c r="X5" s="11">
        <f t="shared" ref="X5:X49" si="7">W5/I5</f>
        <v>773.99999999999989</v>
      </c>
      <c r="Y5" s="1"/>
      <c r="Z5" s="1"/>
    </row>
    <row r="6" spans="2:26" x14ac:dyDescent="0.25">
      <c r="B6" s="29">
        <v>3</v>
      </c>
      <c r="C6" s="2" t="s">
        <v>2</v>
      </c>
      <c r="D6" s="38" t="s">
        <v>36</v>
      </c>
      <c r="E6" s="38" t="s">
        <v>30</v>
      </c>
      <c r="F6" s="18" t="s">
        <v>79</v>
      </c>
      <c r="G6" s="18" t="s">
        <v>80</v>
      </c>
      <c r="H6" s="46">
        <v>126</v>
      </c>
      <c r="I6" s="46">
        <f t="shared" si="1"/>
        <v>1356.2513999999999</v>
      </c>
      <c r="J6" s="2">
        <v>25</v>
      </c>
      <c r="K6" s="2">
        <v>1985</v>
      </c>
      <c r="L6" s="2">
        <v>2023</v>
      </c>
      <c r="M6" s="2">
        <f t="shared" si="2"/>
        <v>38</v>
      </c>
      <c r="N6" s="2">
        <v>60</v>
      </c>
      <c r="O6" s="3">
        <v>0.1</v>
      </c>
      <c r="P6" s="43">
        <f t="shared" si="3"/>
        <v>1.5000000000000001E-2</v>
      </c>
      <c r="Q6" s="2">
        <v>2000</v>
      </c>
      <c r="R6" s="46">
        <f t="shared" si="4"/>
        <v>21527.8</v>
      </c>
      <c r="S6" s="7">
        <f t="shared" si="5"/>
        <v>2712502.8</v>
      </c>
      <c r="T6" s="7">
        <f t="shared" si="6"/>
        <v>1546126.5960000001</v>
      </c>
      <c r="U6" s="7">
        <f t="shared" si="0"/>
        <v>1166376.2039999997</v>
      </c>
      <c r="V6" s="10">
        <v>0.1</v>
      </c>
      <c r="W6" s="7">
        <f t="shared" ref="W6:W13" si="8">IF(U6&gt;O6*S6,U6*(1-V6),S6*O6)</f>
        <v>1049738.5835999998</v>
      </c>
      <c r="X6" s="11">
        <f t="shared" si="7"/>
        <v>773.99999999999989</v>
      </c>
      <c r="Y6" s="1"/>
      <c r="Z6" s="1"/>
    </row>
    <row r="7" spans="2:26" x14ac:dyDescent="0.25">
      <c r="B7" s="29">
        <v>4</v>
      </c>
      <c r="C7" s="2" t="s">
        <v>2</v>
      </c>
      <c r="D7" s="38" t="s">
        <v>37</v>
      </c>
      <c r="E7" s="38" t="s">
        <v>30</v>
      </c>
      <c r="F7" s="18" t="s">
        <v>79</v>
      </c>
      <c r="G7" s="18" t="s">
        <v>80</v>
      </c>
      <c r="H7" s="46">
        <v>126</v>
      </c>
      <c r="I7" s="46">
        <f t="shared" si="1"/>
        <v>1356.2513999999999</v>
      </c>
      <c r="J7" s="2">
        <v>20</v>
      </c>
      <c r="K7" s="2">
        <v>1985</v>
      </c>
      <c r="L7" s="2">
        <v>2023</v>
      </c>
      <c r="M7" s="2">
        <f t="shared" si="2"/>
        <v>38</v>
      </c>
      <c r="N7" s="2">
        <v>60</v>
      </c>
      <c r="O7" s="3">
        <v>0.1</v>
      </c>
      <c r="P7" s="43">
        <f t="shared" si="3"/>
        <v>1.5000000000000001E-2</v>
      </c>
      <c r="Q7" s="2">
        <v>1500</v>
      </c>
      <c r="R7" s="46">
        <f t="shared" si="4"/>
        <v>16145.849999999999</v>
      </c>
      <c r="S7" s="7">
        <f t="shared" si="5"/>
        <v>2034377.0999999999</v>
      </c>
      <c r="T7" s="7">
        <f t="shared" si="6"/>
        <v>1159594.9469999999</v>
      </c>
      <c r="U7" s="7">
        <f t="shared" si="0"/>
        <v>874782.15299999993</v>
      </c>
      <c r="V7" s="10">
        <v>0.1</v>
      </c>
      <c r="W7" s="7">
        <f t="shared" si="8"/>
        <v>787303.93770000001</v>
      </c>
      <c r="X7" s="11">
        <f t="shared" si="7"/>
        <v>580.50000000000011</v>
      </c>
      <c r="Y7" s="1"/>
      <c r="Z7" s="1"/>
    </row>
    <row r="8" spans="2:26" x14ac:dyDescent="0.25">
      <c r="B8" s="29">
        <v>5</v>
      </c>
      <c r="C8" s="2" t="s">
        <v>2</v>
      </c>
      <c r="D8" s="38" t="s">
        <v>38</v>
      </c>
      <c r="E8" s="38" t="s">
        <v>30</v>
      </c>
      <c r="F8" s="18" t="s">
        <v>79</v>
      </c>
      <c r="G8" s="18" t="s">
        <v>80</v>
      </c>
      <c r="H8" s="46">
        <v>2240</v>
      </c>
      <c r="I8" s="46">
        <f t="shared" si="1"/>
        <v>24111.135999999999</v>
      </c>
      <c r="J8" s="2">
        <v>25</v>
      </c>
      <c r="K8" s="2">
        <v>1984</v>
      </c>
      <c r="L8" s="2">
        <v>2023</v>
      </c>
      <c r="M8" s="2">
        <f t="shared" si="2"/>
        <v>39</v>
      </c>
      <c r="N8" s="2">
        <v>60</v>
      </c>
      <c r="O8" s="3">
        <v>0.1</v>
      </c>
      <c r="P8" s="43">
        <f t="shared" si="3"/>
        <v>1.5000000000000001E-2</v>
      </c>
      <c r="Q8" s="2">
        <v>2200</v>
      </c>
      <c r="R8" s="46">
        <f t="shared" si="4"/>
        <v>23680.579999999998</v>
      </c>
      <c r="S8" s="7">
        <f t="shared" si="5"/>
        <v>53044499.199999996</v>
      </c>
      <c r="T8" s="7">
        <f t="shared" si="6"/>
        <v>31031032.032000002</v>
      </c>
      <c r="U8" s="7">
        <f t="shared" si="0"/>
        <v>22013467.167999994</v>
      </c>
      <c r="V8" s="10">
        <v>0.05</v>
      </c>
      <c r="W8" s="7">
        <f>IF(U8&gt;O8*S8,U8*(1+V8),S8*O8)</f>
        <v>23114140.526399996</v>
      </c>
      <c r="X8" s="11">
        <f t="shared" si="7"/>
        <v>958.64999999999986</v>
      </c>
      <c r="Y8" s="1"/>
      <c r="Z8" s="1"/>
    </row>
    <row r="9" spans="2:26" x14ac:dyDescent="0.25">
      <c r="B9" s="29">
        <v>6</v>
      </c>
      <c r="C9" s="2" t="s">
        <v>82</v>
      </c>
      <c r="D9" s="38" t="s">
        <v>39</v>
      </c>
      <c r="E9" s="38" t="s">
        <v>30</v>
      </c>
      <c r="F9" s="18" t="s">
        <v>79</v>
      </c>
      <c r="G9" s="18" t="s">
        <v>80</v>
      </c>
      <c r="H9" s="46">
        <v>202.9</v>
      </c>
      <c r="I9" s="46">
        <f t="shared" si="1"/>
        <v>2183.9953099999998</v>
      </c>
      <c r="J9" s="2">
        <v>12</v>
      </c>
      <c r="K9" s="2">
        <v>1986</v>
      </c>
      <c r="L9" s="2">
        <v>2023</v>
      </c>
      <c r="M9" s="2">
        <f t="shared" si="2"/>
        <v>37</v>
      </c>
      <c r="N9" s="2">
        <v>60</v>
      </c>
      <c r="O9" s="3">
        <v>0.1</v>
      </c>
      <c r="P9" s="43">
        <f t="shared" si="3"/>
        <v>1.5000000000000001E-2</v>
      </c>
      <c r="Q9" s="2">
        <v>1500</v>
      </c>
      <c r="R9" s="46">
        <f t="shared" si="4"/>
        <v>16145.849999999999</v>
      </c>
      <c r="S9" s="7">
        <f t="shared" si="5"/>
        <v>3275992.9649999999</v>
      </c>
      <c r="T9" s="7">
        <f t="shared" si="6"/>
        <v>1818176.0955749999</v>
      </c>
      <c r="U9" s="7">
        <f t="shared" si="0"/>
        <v>1457816.8694249999</v>
      </c>
      <c r="V9" s="10">
        <v>0.1</v>
      </c>
      <c r="W9" s="7">
        <f>IF(U9&gt;O9*S9,U9*(1+V9),S9*O9)</f>
        <v>1603598.5563675</v>
      </c>
      <c r="X9" s="11">
        <f t="shared" si="7"/>
        <v>734.25000000000011</v>
      </c>
      <c r="Y9" s="1"/>
      <c r="Z9" s="1"/>
    </row>
    <row r="10" spans="2:26" x14ac:dyDescent="0.25">
      <c r="B10" s="29">
        <v>7</v>
      </c>
      <c r="C10" s="2" t="s">
        <v>82</v>
      </c>
      <c r="D10" s="38" t="s">
        <v>40</v>
      </c>
      <c r="E10" s="38" t="s">
        <v>30</v>
      </c>
      <c r="F10" s="18" t="s">
        <v>79</v>
      </c>
      <c r="G10" s="18" t="s">
        <v>80</v>
      </c>
      <c r="H10" s="46">
        <v>422.47</v>
      </c>
      <c r="I10" s="46">
        <f t="shared" si="1"/>
        <v>4547.424833</v>
      </c>
      <c r="J10" s="2">
        <v>10</v>
      </c>
      <c r="K10" s="2">
        <v>1985</v>
      </c>
      <c r="L10" s="2">
        <v>2023</v>
      </c>
      <c r="M10" s="2">
        <f t="shared" si="2"/>
        <v>38</v>
      </c>
      <c r="N10" s="2">
        <v>60</v>
      </c>
      <c r="O10" s="3">
        <v>0.1</v>
      </c>
      <c r="P10" s="43">
        <f t="shared" si="3"/>
        <v>1.5000000000000001E-2</v>
      </c>
      <c r="Q10" s="2">
        <v>1500</v>
      </c>
      <c r="R10" s="46">
        <f t="shared" si="4"/>
        <v>16145.849999999999</v>
      </c>
      <c r="S10" s="7">
        <f t="shared" si="5"/>
        <v>6821137.2494999999</v>
      </c>
      <c r="T10" s="7">
        <f t="shared" si="6"/>
        <v>3888048.2322150003</v>
      </c>
      <c r="U10" s="7">
        <f t="shared" si="0"/>
        <v>2933089.0172849996</v>
      </c>
      <c r="V10" s="10">
        <v>0</v>
      </c>
      <c r="W10" s="7">
        <f t="shared" si="8"/>
        <v>2933089.0172849996</v>
      </c>
      <c r="X10" s="11">
        <f t="shared" si="7"/>
        <v>644.99999999999989</v>
      </c>
      <c r="Y10" s="1"/>
      <c r="Z10" s="1"/>
    </row>
    <row r="11" spans="2:26" x14ac:dyDescent="0.25">
      <c r="B11" s="29">
        <v>8</v>
      </c>
      <c r="C11" s="2" t="s">
        <v>82</v>
      </c>
      <c r="D11" s="38" t="s">
        <v>41</v>
      </c>
      <c r="E11" s="38" t="s">
        <v>30</v>
      </c>
      <c r="F11" s="18" t="s">
        <v>79</v>
      </c>
      <c r="G11" s="18" t="s">
        <v>80</v>
      </c>
      <c r="H11" s="46">
        <v>422.47</v>
      </c>
      <c r="I11" s="46">
        <f t="shared" si="1"/>
        <v>4547.424833</v>
      </c>
      <c r="J11" s="2">
        <v>10</v>
      </c>
      <c r="K11" s="2">
        <v>1985</v>
      </c>
      <c r="L11" s="2">
        <v>2023</v>
      </c>
      <c r="M11" s="2">
        <f t="shared" si="2"/>
        <v>38</v>
      </c>
      <c r="N11" s="2">
        <v>60</v>
      </c>
      <c r="O11" s="3">
        <v>0.1</v>
      </c>
      <c r="P11" s="43">
        <f t="shared" si="3"/>
        <v>1.5000000000000001E-2</v>
      </c>
      <c r="Q11" s="2">
        <v>1500</v>
      </c>
      <c r="R11" s="46">
        <f t="shared" si="4"/>
        <v>16145.849999999999</v>
      </c>
      <c r="S11" s="7">
        <f t="shared" si="5"/>
        <v>6821137.2494999999</v>
      </c>
      <c r="T11" s="7">
        <f t="shared" si="6"/>
        <v>3888048.2322150003</v>
      </c>
      <c r="U11" s="7">
        <f t="shared" si="0"/>
        <v>2933089.0172849996</v>
      </c>
      <c r="V11" s="10">
        <v>0</v>
      </c>
      <c r="W11" s="7">
        <f t="shared" si="8"/>
        <v>2933089.0172849996</v>
      </c>
      <c r="X11" s="11">
        <f t="shared" si="7"/>
        <v>644.99999999999989</v>
      </c>
      <c r="Y11" s="1"/>
      <c r="Z11" s="1"/>
    </row>
    <row r="12" spans="2:26" x14ac:dyDescent="0.25">
      <c r="B12" s="29">
        <v>9</v>
      </c>
      <c r="C12" s="2" t="s">
        <v>83</v>
      </c>
      <c r="D12" s="38" t="s">
        <v>42</v>
      </c>
      <c r="E12" s="38" t="s">
        <v>30</v>
      </c>
      <c r="F12" s="18" t="s">
        <v>79</v>
      </c>
      <c r="G12" s="18" t="s">
        <v>80</v>
      </c>
      <c r="H12" s="46">
        <v>367.73</v>
      </c>
      <c r="I12" s="46">
        <f t="shared" si="1"/>
        <v>3958.2089470000001</v>
      </c>
      <c r="J12" s="2">
        <v>10</v>
      </c>
      <c r="K12" s="2">
        <v>1986</v>
      </c>
      <c r="L12" s="2">
        <v>2023</v>
      </c>
      <c r="M12" s="2">
        <f t="shared" si="2"/>
        <v>37</v>
      </c>
      <c r="N12" s="2">
        <v>60</v>
      </c>
      <c r="O12" s="3">
        <v>0.1</v>
      </c>
      <c r="P12" s="43">
        <f t="shared" si="3"/>
        <v>1.5000000000000001E-2</v>
      </c>
      <c r="Q12" s="2">
        <v>1500</v>
      </c>
      <c r="R12" s="46">
        <f t="shared" si="4"/>
        <v>16145.849999999999</v>
      </c>
      <c r="S12" s="7">
        <f t="shared" si="5"/>
        <v>5937313.4205</v>
      </c>
      <c r="T12" s="7">
        <f t="shared" si="6"/>
        <v>3295208.9483775003</v>
      </c>
      <c r="U12" s="7">
        <f t="shared" si="0"/>
        <v>2642104.4721224997</v>
      </c>
      <c r="V12" s="10">
        <v>0</v>
      </c>
      <c r="W12" s="7">
        <f t="shared" si="8"/>
        <v>2642104.4721224997</v>
      </c>
      <c r="X12" s="11">
        <f t="shared" si="7"/>
        <v>667.49999999999989</v>
      </c>
      <c r="Y12" s="1"/>
      <c r="Z12" s="1"/>
    </row>
    <row r="13" spans="2:26" x14ac:dyDescent="0.25">
      <c r="B13" s="29">
        <v>10</v>
      </c>
      <c r="C13" s="2" t="s">
        <v>82</v>
      </c>
      <c r="D13" s="38" t="s">
        <v>43</v>
      </c>
      <c r="E13" s="38" t="s">
        <v>30</v>
      </c>
      <c r="F13" s="18" t="s">
        <v>79</v>
      </c>
      <c r="G13" s="18" t="s">
        <v>80</v>
      </c>
      <c r="H13" s="46">
        <v>524.69000000000005</v>
      </c>
      <c r="I13" s="46">
        <f t="shared" si="1"/>
        <v>5647.7106910000002</v>
      </c>
      <c r="J13" s="2">
        <v>10</v>
      </c>
      <c r="K13" s="2">
        <v>1985</v>
      </c>
      <c r="L13" s="2">
        <v>2023</v>
      </c>
      <c r="M13" s="2">
        <f t="shared" si="2"/>
        <v>38</v>
      </c>
      <c r="N13" s="2">
        <v>60</v>
      </c>
      <c r="O13" s="3">
        <v>0.1</v>
      </c>
      <c r="P13" s="43">
        <f t="shared" si="3"/>
        <v>1.5000000000000001E-2</v>
      </c>
      <c r="Q13" s="2">
        <v>1500</v>
      </c>
      <c r="R13" s="46">
        <f t="shared" si="4"/>
        <v>16145.849999999999</v>
      </c>
      <c r="S13" s="7">
        <f t="shared" si="5"/>
        <v>8471566.0364999995</v>
      </c>
      <c r="T13" s="7">
        <f t="shared" si="6"/>
        <v>4828792.6408049995</v>
      </c>
      <c r="U13" s="7">
        <f t="shared" si="0"/>
        <v>3642773.395695</v>
      </c>
      <c r="V13" s="10">
        <v>0.05</v>
      </c>
      <c r="W13" s="7">
        <f t="shared" si="8"/>
        <v>3460634.7259102496</v>
      </c>
      <c r="X13" s="11">
        <f t="shared" si="7"/>
        <v>612.74999999999989</v>
      </c>
      <c r="Y13" s="1"/>
      <c r="Z13" s="1"/>
    </row>
    <row r="14" spans="2:26" ht="30" x14ac:dyDescent="0.25">
      <c r="B14" s="29">
        <v>11</v>
      </c>
      <c r="C14" s="2" t="s">
        <v>2</v>
      </c>
      <c r="D14" s="38" t="s">
        <v>44</v>
      </c>
      <c r="E14" s="38" t="s">
        <v>29</v>
      </c>
      <c r="F14" s="18" t="s">
        <v>79</v>
      </c>
      <c r="G14" s="18" t="s">
        <v>80</v>
      </c>
      <c r="H14" s="46">
        <v>480</v>
      </c>
      <c r="I14" s="46">
        <f t="shared" si="1"/>
        <v>5166.6719999999996</v>
      </c>
      <c r="J14" s="2">
        <v>31</v>
      </c>
      <c r="K14" s="2">
        <v>1992</v>
      </c>
      <c r="L14" s="2">
        <v>2023</v>
      </c>
      <c r="M14" s="2">
        <f t="shared" si="2"/>
        <v>31</v>
      </c>
      <c r="N14" s="2">
        <v>45</v>
      </c>
      <c r="O14" s="3">
        <v>0.1</v>
      </c>
      <c r="P14" s="43">
        <f t="shared" si="3"/>
        <v>0.02</v>
      </c>
      <c r="Q14" s="2">
        <v>2000</v>
      </c>
      <c r="R14" s="46">
        <f t="shared" si="4"/>
        <v>21527.8</v>
      </c>
      <c r="S14" s="7">
        <f t="shared" si="5"/>
        <v>10333344</v>
      </c>
      <c r="T14" s="7">
        <f t="shared" si="6"/>
        <v>6406673.2800000003</v>
      </c>
      <c r="U14" s="7">
        <f t="shared" si="0"/>
        <v>3926670.7199999997</v>
      </c>
      <c r="V14" s="10">
        <v>0.1</v>
      </c>
      <c r="W14" s="7">
        <f t="shared" ref="W14:W49" si="9">IF(U14&gt;O14*S14,U14*(1+V14),S14*O14)</f>
        <v>4319337.7920000004</v>
      </c>
      <c r="X14" s="11">
        <f t="shared" si="7"/>
        <v>836.00000000000011</v>
      </c>
      <c r="Y14" s="1"/>
      <c r="Z14" s="1"/>
    </row>
    <row r="15" spans="2:26" ht="30" x14ac:dyDescent="0.25">
      <c r="B15" s="29">
        <v>12</v>
      </c>
      <c r="C15" s="2" t="s">
        <v>2</v>
      </c>
      <c r="D15" s="38" t="s">
        <v>45</v>
      </c>
      <c r="E15" s="38" t="s">
        <v>29</v>
      </c>
      <c r="F15" s="18" t="s">
        <v>79</v>
      </c>
      <c r="G15" s="18" t="s">
        <v>80</v>
      </c>
      <c r="H15" s="46">
        <v>2240.4699999999998</v>
      </c>
      <c r="I15" s="46">
        <f t="shared" si="1"/>
        <v>24116.195032999996</v>
      </c>
      <c r="J15" s="2">
        <v>31</v>
      </c>
      <c r="K15" s="2">
        <v>1992</v>
      </c>
      <c r="L15" s="2">
        <v>2023</v>
      </c>
      <c r="M15" s="2">
        <f t="shared" si="2"/>
        <v>31</v>
      </c>
      <c r="N15" s="2">
        <v>45</v>
      </c>
      <c r="O15" s="3">
        <v>0.1</v>
      </c>
      <c r="P15" s="43">
        <f t="shared" si="3"/>
        <v>0.02</v>
      </c>
      <c r="Q15" s="2">
        <v>2000</v>
      </c>
      <c r="R15" s="46">
        <f t="shared" si="4"/>
        <v>21527.8</v>
      </c>
      <c r="S15" s="7">
        <f t="shared" si="5"/>
        <v>48232390.065999992</v>
      </c>
      <c r="T15" s="7">
        <f t="shared" si="6"/>
        <v>29904081.840919994</v>
      </c>
      <c r="U15" s="7">
        <f t="shared" si="0"/>
        <v>18328308.225079998</v>
      </c>
      <c r="V15" s="10">
        <v>0.1</v>
      </c>
      <c r="W15" s="7">
        <f t="shared" si="9"/>
        <v>20161139.047587998</v>
      </c>
      <c r="X15" s="11">
        <f t="shared" si="7"/>
        <v>836</v>
      </c>
      <c r="Y15" s="1"/>
      <c r="Z15" s="1"/>
    </row>
    <row r="16" spans="2:26" ht="30" x14ac:dyDescent="0.25">
      <c r="B16" s="29">
        <v>13</v>
      </c>
      <c r="C16" s="2" t="s">
        <v>2</v>
      </c>
      <c r="D16" s="38" t="s">
        <v>46</v>
      </c>
      <c r="E16" s="38" t="s">
        <v>29</v>
      </c>
      <c r="F16" s="18" t="s">
        <v>79</v>
      </c>
      <c r="G16" s="18" t="s">
        <v>80</v>
      </c>
      <c r="H16" s="46">
        <v>7861</v>
      </c>
      <c r="I16" s="46">
        <f t="shared" si="1"/>
        <v>84615.017899999992</v>
      </c>
      <c r="J16" s="2">
        <v>31</v>
      </c>
      <c r="K16" s="2">
        <v>1993</v>
      </c>
      <c r="L16" s="2">
        <v>2023</v>
      </c>
      <c r="M16" s="2">
        <f t="shared" si="2"/>
        <v>30</v>
      </c>
      <c r="N16" s="2">
        <v>45</v>
      </c>
      <c r="O16" s="3">
        <v>0.1</v>
      </c>
      <c r="P16" s="43">
        <f t="shared" si="3"/>
        <v>0.02</v>
      </c>
      <c r="Q16" s="2">
        <v>2000</v>
      </c>
      <c r="R16" s="46">
        <f t="shared" si="4"/>
        <v>21527.8</v>
      </c>
      <c r="S16" s="7">
        <f t="shared" si="5"/>
        <v>169230035.79999998</v>
      </c>
      <c r="T16" s="7">
        <f t="shared" si="6"/>
        <v>101538021.47999999</v>
      </c>
      <c r="U16" s="7">
        <f t="shared" si="0"/>
        <v>67692014.319999993</v>
      </c>
      <c r="V16" s="10">
        <v>0.1</v>
      </c>
      <c r="W16" s="7">
        <f t="shared" si="9"/>
        <v>74461215.752000004</v>
      </c>
      <c r="X16" s="11">
        <f t="shared" si="7"/>
        <v>880.00000000000011</v>
      </c>
      <c r="Y16" s="1"/>
      <c r="Z16" s="1"/>
    </row>
    <row r="17" spans="2:26" x14ac:dyDescent="0.25">
      <c r="B17" s="29">
        <v>14</v>
      </c>
      <c r="C17" s="2" t="s">
        <v>84</v>
      </c>
      <c r="D17" s="38" t="s">
        <v>47</v>
      </c>
      <c r="E17" s="39" t="s">
        <v>30</v>
      </c>
      <c r="F17" s="18" t="s">
        <v>79</v>
      </c>
      <c r="G17" s="18" t="s">
        <v>80</v>
      </c>
      <c r="H17" s="46">
        <v>422.47</v>
      </c>
      <c r="I17" s="46">
        <f t="shared" si="1"/>
        <v>4547.424833</v>
      </c>
      <c r="J17" s="22">
        <v>10</v>
      </c>
      <c r="K17" s="2">
        <v>1993</v>
      </c>
      <c r="L17" s="2">
        <v>2023</v>
      </c>
      <c r="M17" s="2">
        <f t="shared" si="2"/>
        <v>30</v>
      </c>
      <c r="N17" s="2">
        <v>60</v>
      </c>
      <c r="O17" s="3">
        <v>0.1</v>
      </c>
      <c r="P17" s="43">
        <f t="shared" si="3"/>
        <v>1.5000000000000001E-2</v>
      </c>
      <c r="Q17" s="2">
        <v>1500</v>
      </c>
      <c r="R17" s="46">
        <f t="shared" si="4"/>
        <v>16145.849999999999</v>
      </c>
      <c r="S17" s="7">
        <f t="shared" si="5"/>
        <v>6821137.2494999999</v>
      </c>
      <c r="T17" s="7">
        <f t="shared" si="6"/>
        <v>3069511.7622750006</v>
      </c>
      <c r="U17" s="7">
        <f t="shared" si="0"/>
        <v>3751625.4872249993</v>
      </c>
      <c r="V17" s="10">
        <v>0</v>
      </c>
      <c r="W17" s="7">
        <f t="shared" si="9"/>
        <v>3751625.4872249993</v>
      </c>
      <c r="X17" s="11">
        <f t="shared" si="7"/>
        <v>824.99999999999989</v>
      </c>
      <c r="Y17" s="1"/>
      <c r="Z17" s="1"/>
    </row>
    <row r="18" spans="2:26" x14ac:dyDescent="0.25">
      <c r="B18" s="29">
        <v>15</v>
      </c>
      <c r="C18" s="2" t="s">
        <v>2</v>
      </c>
      <c r="D18" s="38" t="s">
        <v>48</v>
      </c>
      <c r="E18" s="39" t="s">
        <v>31</v>
      </c>
      <c r="F18" s="18" t="s">
        <v>79</v>
      </c>
      <c r="G18" s="18" t="s">
        <v>28</v>
      </c>
      <c r="H18" s="46">
        <v>113.88</v>
      </c>
      <c r="I18" s="46">
        <f t="shared" si="1"/>
        <v>1225.7929319999998</v>
      </c>
      <c r="J18" s="22">
        <v>10</v>
      </c>
      <c r="K18" s="2">
        <v>1993</v>
      </c>
      <c r="L18" s="2">
        <v>2023</v>
      </c>
      <c r="M18" s="2">
        <f t="shared" si="2"/>
        <v>30</v>
      </c>
      <c r="N18" s="2">
        <v>60</v>
      </c>
      <c r="O18" s="3">
        <v>0.1</v>
      </c>
      <c r="P18" s="43">
        <f t="shared" si="3"/>
        <v>1.5000000000000001E-2</v>
      </c>
      <c r="Q18" s="2">
        <v>1500</v>
      </c>
      <c r="R18" s="46">
        <f t="shared" si="4"/>
        <v>16145.849999999999</v>
      </c>
      <c r="S18" s="7">
        <f t="shared" si="5"/>
        <v>1838689.3979999998</v>
      </c>
      <c r="T18" s="7">
        <f t="shared" si="6"/>
        <v>827410.2291</v>
      </c>
      <c r="U18" s="7">
        <f t="shared" si="0"/>
        <v>1011279.1688999998</v>
      </c>
      <c r="V18" s="10">
        <v>0.1</v>
      </c>
      <c r="W18" s="7">
        <f t="shared" si="9"/>
        <v>1112407.0857899999</v>
      </c>
      <c r="X18" s="11">
        <f t="shared" si="7"/>
        <v>907.50000000000011</v>
      </c>
      <c r="Y18" s="1"/>
      <c r="Z18" s="1"/>
    </row>
    <row r="19" spans="2:26" x14ac:dyDescent="0.25">
      <c r="B19" s="29">
        <v>16</v>
      </c>
      <c r="C19" s="2" t="s">
        <v>2</v>
      </c>
      <c r="D19" s="38" t="s">
        <v>49</v>
      </c>
      <c r="E19" s="39" t="s">
        <v>31</v>
      </c>
      <c r="F19" s="18" t="s">
        <v>79</v>
      </c>
      <c r="G19" s="18" t="s">
        <v>28</v>
      </c>
      <c r="H19" s="46">
        <v>165.18</v>
      </c>
      <c r="I19" s="46">
        <f t="shared" si="1"/>
        <v>1777.981002</v>
      </c>
      <c r="J19" s="22">
        <v>10</v>
      </c>
      <c r="K19" s="2">
        <v>1993</v>
      </c>
      <c r="L19" s="2">
        <v>2023</v>
      </c>
      <c r="M19" s="2">
        <f t="shared" si="2"/>
        <v>30</v>
      </c>
      <c r="N19" s="2">
        <v>60</v>
      </c>
      <c r="O19" s="3">
        <v>0.1</v>
      </c>
      <c r="P19" s="43">
        <f t="shared" si="3"/>
        <v>1.5000000000000001E-2</v>
      </c>
      <c r="Q19" s="2">
        <v>1500</v>
      </c>
      <c r="R19" s="46">
        <f t="shared" si="4"/>
        <v>16145.849999999999</v>
      </c>
      <c r="S19" s="7">
        <f t="shared" si="5"/>
        <v>2666971.503</v>
      </c>
      <c r="T19" s="7">
        <f t="shared" si="6"/>
        <v>1200137.1763500001</v>
      </c>
      <c r="U19" s="7">
        <f t="shared" si="0"/>
        <v>1466834.3266499999</v>
      </c>
      <c r="V19" s="10">
        <v>0.1</v>
      </c>
      <c r="W19" s="7">
        <f t="shared" si="9"/>
        <v>1613517.7593150001</v>
      </c>
      <c r="X19" s="11">
        <f t="shared" si="7"/>
        <v>907.50000000000011</v>
      </c>
      <c r="Y19" s="1"/>
      <c r="Z19" s="1"/>
    </row>
    <row r="20" spans="2:26" x14ac:dyDescent="0.25">
      <c r="B20" s="29">
        <v>17</v>
      </c>
      <c r="C20" s="2" t="s">
        <v>2</v>
      </c>
      <c r="D20" s="38" t="s">
        <v>50</v>
      </c>
      <c r="E20" s="39" t="s">
        <v>31</v>
      </c>
      <c r="F20" s="18" t="s">
        <v>79</v>
      </c>
      <c r="G20" s="18" t="s">
        <v>28</v>
      </c>
      <c r="H20" s="46">
        <v>165.18</v>
      </c>
      <c r="I20" s="46">
        <f t="shared" si="1"/>
        <v>1777.981002</v>
      </c>
      <c r="J20" s="22">
        <v>10</v>
      </c>
      <c r="K20" s="2">
        <v>1993</v>
      </c>
      <c r="L20" s="2">
        <v>2023</v>
      </c>
      <c r="M20" s="2">
        <f t="shared" si="2"/>
        <v>30</v>
      </c>
      <c r="N20" s="2">
        <v>60</v>
      </c>
      <c r="O20" s="3">
        <v>0.1</v>
      </c>
      <c r="P20" s="43">
        <f t="shared" si="3"/>
        <v>1.5000000000000001E-2</v>
      </c>
      <c r="Q20" s="2">
        <v>1500</v>
      </c>
      <c r="R20" s="46">
        <f t="shared" si="4"/>
        <v>16145.849999999999</v>
      </c>
      <c r="S20" s="7">
        <f t="shared" si="5"/>
        <v>2666971.503</v>
      </c>
      <c r="T20" s="7">
        <f t="shared" si="6"/>
        <v>1200137.1763500001</v>
      </c>
      <c r="U20" s="7">
        <f t="shared" si="0"/>
        <v>1466834.3266499999</v>
      </c>
      <c r="V20" s="10">
        <v>0.1</v>
      </c>
      <c r="W20" s="7">
        <f t="shared" si="9"/>
        <v>1613517.7593150001</v>
      </c>
      <c r="X20" s="11">
        <f t="shared" si="7"/>
        <v>907.50000000000011</v>
      </c>
      <c r="Y20" s="1"/>
      <c r="Z20" s="1"/>
    </row>
    <row r="21" spans="2:26" x14ac:dyDescent="0.25">
      <c r="B21" s="29">
        <v>18</v>
      </c>
      <c r="C21" s="2" t="s">
        <v>85</v>
      </c>
      <c r="D21" s="38" t="s">
        <v>51</v>
      </c>
      <c r="E21" s="39" t="s">
        <v>31</v>
      </c>
      <c r="F21" s="18" t="s">
        <v>79</v>
      </c>
      <c r="G21" s="18" t="s">
        <v>28</v>
      </c>
      <c r="H21" s="46">
        <v>186.04</v>
      </c>
      <c r="I21" s="46">
        <f t="shared" si="1"/>
        <v>2002.5159559999997</v>
      </c>
      <c r="J21" s="22">
        <v>10</v>
      </c>
      <c r="K21" s="2">
        <v>1993</v>
      </c>
      <c r="L21" s="2">
        <v>2023</v>
      </c>
      <c r="M21" s="2">
        <f t="shared" si="2"/>
        <v>30</v>
      </c>
      <c r="N21" s="2">
        <v>60</v>
      </c>
      <c r="O21" s="3">
        <v>0.1</v>
      </c>
      <c r="P21" s="43">
        <f t="shared" si="3"/>
        <v>1.5000000000000001E-2</v>
      </c>
      <c r="Q21" s="2">
        <v>1500</v>
      </c>
      <c r="R21" s="46">
        <f t="shared" si="4"/>
        <v>16145.849999999999</v>
      </c>
      <c r="S21" s="7">
        <f t="shared" si="5"/>
        <v>3003773.9339999994</v>
      </c>
      <c r="T21" s="7">
        <f t="shared" si="6"/>
        <v>1351698.2702999997</v>
      </c>
      <c r="U21" s="7">
        <f t="shared" si="0"/>
        <v>1652075.6636999997</v>
      </c>
      <c r="V21" s="10">
        <v>0.1</v>
      </c>
      <c r="W21" s="7">
        <f t="shared" si="9"/>
        <v>1817283.2300699998</v>
      </c>
      <c r="X21" s="11">
        <f t="shared" si="7"/>
        <v>907.5</v>
      </c>
      <c r="Y21" s="1"/>
      <c r="Z21" s="1"/>
    </row>
    <row r="22" spans="2:26" ht="30" x14ac:dyDescent="0.25">
      <c r="B22" s="29">
        <v>19</v>
      </c>
      <c r="C22" s="2" t="s">
        <v>86</v>
      </c>
      <c r="D22" s="38" t="s">
        <v>52</v>
      </c>
      <c r="E22" s="39" t="s">
        <v>30</v>
      </c>
      <c r="F22" s="18" t="s">
        <v>79</v>
      </c>
      <c r="G22" s="18" t="s">
        <v>80</v>
      </c>
      <c r="H22" s="46">
        <v>725</v>
      </c>
      <c r="I22" s="46">
        <f t="shared" si="1"/>
        <v>7803.8274999999994</v>
      </c>
      <c r="J22" s="22">
        <v>15</v>
      </c>
      <c r="K22" s="2">
        <v>1993</v>
      </c>
      <c r="L22" s="2">
        <v>2023</v>
      </c>
      <c r="M22" s="2">
        <f t="shared" si="2"/>
        <v>30</v>
      </c>
      <c r="N22" s="2">
        <v>60</v>
      </c>
      <c r="O22" s="3">
        <v>0.1</v>
      </c>
      <c r="P22" s="43">
        <f t="shared" si="3"/>
        <v>1.5000000000000001E-2</v>
      </c>
      <c r="Q22" s="2">
        <v>1800</v>
      </c>
      <c r="R22" s="46">
        <f t="shared" si="4"/>
        <v>19375.02</v>
      </c>
      <c r="S22" s="7">
        <f t="shared" si="5"/>
        <v>14046889.5</v>
      </c>
      <c r="T22" s="7">
        <f t="shared" si="6"/>
        <v>6321100.2750000004</v>
      </c>
      <c r="U22" s="7">
        <f t="shared" si="0"/>
        <v>7725789.2249999996</v>
      </c>
      <c r="V22" s="10">
        <v>0</v>
      </c>
      <c r="W22" s="7">
        <f t="shared" si="9"/>
        <v>7725789.2249999996</v>
      </c>
      <c r="X22" s="11">
        <f t="shared" si="7"/>
        <v>990</v>
      </c>
      <c r="Y22" s="1"/>
      <c r="Z22" s="1"/>
    </row>
    <row r="23" spans="2:26" x14ac:dyDescent="0.25">
      <c r="B23" s="29">
        <v>20</v>
      </c>
      <c r="C23" s="2" t="s">
        <v>2</v>
      </c>
      <c r="D23" s="38" t="s">
        <v>53</v>
      </c>
      <c r="E23" s="39" t="s">
        <v>30</v>
      </c>
      <c r="F23" s="18" t="s">
        <v>79</v>
      </c>
      <c r="G23" s="18" t="s">
        <v>80</v>
      </c>
      <c r="H23" s="46">
        <v>524.69200000000001</v>
      </c>
      <c r="I23" s="46">
        <f t="shared" si="1"/>
        <v>5647.7322187999998</v>
      </c>
      <c r="J23" s="22">
        <v>10</v>
      </c>
      <c r="K23" s="2">
        <v>1993</v>
      </c>
      <c r="L23" s="2">
        <v>2023</v>
      </c>
      <c r="M23" s="2">
        <f t="shared" si="2"/>
        <v>30</v>
      </c>
      <c r="N23" s="2">
        <v>60</v>
      </c>
      <c r="O23" s="3">
        <v>0.1</v>
      </c>
      <c r="P23" s="43">
        <f t="shared" si="3"/>
        <v>1.5000000000000001E-2</v>
      </c>
      <c r="Q23" s="2">
        <v>1500</v>
      </c>
      <c r="R23" s="46">
        <f t="shared" si="4"/>
        <v>16145.849999999999</v>
      </c>
      <c r="S23" s="7">
        <f t="shared" si="5"/>
        <v>8471598.3281999994</v>
      </c>
      <c r="T23" s="7">
        <f t="shared" si="6"/>
        <v>3812219.2476900001</v>
      </c>
      <c r="U23" s="7">
        <f t="shared" si="0"/>
        <v>4659379.0805099998</v>
      </c>
      <c r="V23" s="10">
        <v>0.05</v>
      </c>
      <c r="W23" s="7">
        <f t="shared" ref="W23:W29" si="10">IF(U23&gt;O23*S23,U23*(1-V23),S23*O23)</f>
        <v>4426410.1264844993</v>
      </c>
      <c r="X23" s="11">
        <f t="shared" si="7"/>
        <v>783.74999999999989</v>
      </c>
      <c r="Y23" s="1"/>
      <c r="Z23" s="1"/>
    </row>
    <row r="24" spans="2:26" x14ac:dyDescent="0.25">
      <c r="B24" s="29">
        <v>21</v>
      </c>
      <c r="C24" s="2" t="s">
        <v>87</v>
      </c>
      <c r="D24" s="38" t="s">
        <v>54</v>
      </c>
      <c r="E24" s="39" t="s">
        <v>30</v>
      </c>
      <c r="F24" s="18" t="s">
        <v>79</v>
      </c>
      <c r="G24" s="18" t="s">
        <v>80</v>
      </c>
      <c r="H24" s="46">
        <v>21.364999999999998</v>
      </c>
      <c r="I24" s="46">
        <f t="shared" si="1"/>
        <v>229.97072349999996</v>
      </c>
      <c r="J24" s="22">
        <v>80</v>
      </c>
      <c r="K24" s="2">
        <v>1993</v>
      </c>
      <c r="L24" s="2">
        <v>2023</v>
      </c>
      <c r="M24" s="2">
        <f t="shared" si="2"/>
        <v>30</v>
      </c>
      <c r="N24" s="2">
        <v>60</v>
      </c>
      <c r="O24" s="3">
        <v>0.1</v>
      </c>
      <c r="P24" s="43">
        <f t="shared" si="3"/>
        <v>1.5000000000000001E-2</v>
      </c>
      <c r="Q24" s="2">
        <v>3000</v>
      </c>
      <c r="R24" s="46">
        <f t="shared" si="4"/>
        <v>32291.699999999997</v>
      </c>
      <c r="S24" s="7">
        <f t="shared" si="5"/>
        <v>689912.17049999989</v>
      </c>
      <c r="T24" s="7">
        <f t="shared" si="6"/>
        <v>310460.47672499996</v>
      </c>
      <c r="U24" s="7">
        <f t="shared" si="0"/>
        <v>379451.69377499993</v>
      </c>
      <c r="V24" s="10">
        <v>0.05</v>
      </c>
      <c r="W24" s="7">
        <f t="shared" si="10"/>
        <v>360479.1090862499</v>
      </c>
      <c r="X24" s="11">
        <f t="shared" si="7"/>
        <v>1567.4999999999998</v>
      </c>
      <c r="Y24" s="1"/>
      <c r="Z24" s="1"/>
    </row>
    <row r="25" spans="2:26" x14ac:dyDescent="0.25">
      <c r="B25" s="29">
        <v>22</v>
      </c>
      <c r="C25" s="2" t="s">
        <v>88</v>
      </c>
      <c r="D25" s="38" t="s">
        <v>55</v>
      </c>
      <c r="E25" s="39" t="s">
        <v>30</v>
      </c>
      <c r="F25" s="18" t="s">
        <v>79</v>
      </c>
      <c r="G25" s="18" t="s">
        <v>80</v>
      </c>
      <c r="H25" s="46">
        <v>367.73</v>
      </c>
      <c r="I25" s="46">
        <f t="shared" si="1"/>
        <v>3958.2089470000001</v>
      </c>
      <c r="J25" s="22">
        <v>10</v>
      </c>
      <c r="K25" s="2">
        <v>1993</v>
      </c>
      <c r="L25" s="2">
        <v>2023</v>
      </c>
      <c r="M25" s="2">
        <f t="shared" si="2"/>
        <v>30</v>
      </c>
      <c r="N25" s="2">
        <v>60</v>
      </c>
      <c r="O25" s="3">
        <v>0.1</v>
      </c>
      <c r="P25" s="43">
        <f t="shared" si="3"/>
        <v>1.5000000000000001E-2</v>
      </c>
      <c r="Q25" s="2">
        <v>1500</v>
      </c>
      <c r="R25" s="46">
        <f t="shared" si="4"/>
        <v>16145.849999999999</v>
      </c>
      <c r="S25" s="7">
        <f t="shared" si="5"/>
        <v>5937313.4205</v>
      </c>
      <c r="T25" s="7">
        <f t="shared" si="6"/>
        <v>2671791.0392250004</v>
      </c>
      <c r="U25" s="7">
        <f t="shared" si="0"/>
        <v>3265522.3812749996</v>
      </c>
      <c r="V25" s="10">
        <v>0.05</v>
      </c>
      <c r="W25" s="7">
        <f t="shared" si="10"/>
        <v>3102246.2622112497</v>
      </c>
      <c r="X25" s="11">
        <f t="shared" si="7"/>
        <v>783.74999999999989</v>
      </c>
      <c r="Y25" s="1"/>
      <c r="Z25" s="1"/>
    </row>
    <row r="26" spans="2:26" x14ac:dyDescent="0.25">
      <c r="B26" s="29">
        <v>23</v>
      </c>
      <c r="C26" s="2" t="s">
        <v>2</v>
      </c>
      <c r="D26" s="38" t="s">
        <v>56</v>
      </c>
      <c r="E26" s="39" t="str">
        <f>PROPER("RCC Structure")</f>
        <v>Rcc Structure</v>
      </c>
      <c r="F26" s="18" t="s">
        <v>79</v>
      </c>
      <c r="G26" s="18" t="s">
        <v>80</v>
      </c>
      <c r="H26" s="46">
        <v>147</v>
      </c>
      <c r="I26" s="46">
        <f t="shared" si="1"/>
        <v>1582.2933</v>
      </c>
      <c r="J26" s="22">
        <v>25</v>
      </c>
      <c r="K26" s="2">
        <v>1993</v>
      </c>
      <c r="L26" s="2">
        <v>2023</v>
      </c>
      <c r="M26" s="2">
        <f t="shared" si="2"/>
        <v>30</v>
      </c>
      <c r="N26" s="2">
        <v>60</v>
      </c>
      <c r="O26" s="3">
        <v>0.1</v>
      </c>
      <c r="P26" s="43">
        <f t="shared" si="3"/>
        <v>1.5000000000000001E-2</v>
      </c>
      <c r="Q26" s="2">
        <v>2000</v>
      </c>
      <c r="R26" s="46">
        <f t="shared" si="4"/>
        <v>21527.8</v>
      </c>
      <c r="S26" s="7">
        <f t="shared" si="5"/>
        <v>3164586.6</v>
      </c>
      <c r="T26" s="7">
        <f t="shared" si="6"/>
        <v>1424063.9700000002</v>
      </c>
      <c r="U26" s="7">
        <f t="shared" si="0"/>
        <v>1740522.63</v>
      </c>
      <c r="V26" s="10">
        <v>0.1</v>
      </c>
      <c r="W26" s="7">
        <f t="shared" si="10"/>
        <v>1566470.3669999999</v>
      </c>
      <c r="X26" s="11">
        <f t="shared" si="7"/>
        <v>989.99999999999989</v>
      </c>
      <c r="Y26" s="1"/>
      <c r="Z26" s="1"/>
    </row>
    <row r="27" spans="2:26" x14ac:dyDescent="0.25">
      <c r="B27" s="29">
        <v>24</v>
      </c>
      <c r="C27" s="2" t="s">
        <v>2</v>
      </c>
      <c r="D27" s="38" t="s">
        <v>57</v>
      </c>
      <c r="E27" s="39" t="s">
        <v>30</v>
      </c>
      <c r="F27" s="18" t="s">
        <v>79</v>
      </c>
      <c r="G27" s="18" t="s">
        <v>80</v>
      </c>
      <c r="H27" s="46">
        <v>48</v>
      </c>
      <c r="I27" s="46">
        <f t="shared" si="1"/>
        <v>516.66719999999998</v>
      </c>
      <c r="J27" s="23">
        <v>15</v>
      </c>
      <c r="K27" s="2">
        <v>1993</v>
      </c>
      <c r="L27" s="2">
        <v>2023</v>
      </c>
      <c r="M27" s="2">
        <f t="shared" si="2"/>
        <v>30</v>
      </c>
      <c r="N27" s="2">
        <v>60</v>
      </c>
      <c r="O27" s="3">
        <v>0.1</v>
      </c>
      <c r="P27" s="43">
        <f t="shared" si="3"/>
        <v>1.5000000000000001E-2</v>
      </c>
      <c r="Q27" s="2">
        <v>1500</v>
      </c>
      <c r="R27" s="46">
        <f t="shared" si="4"/>
        <v>16145.849999999999</v>
      </c>
      <c r="S27" s="7">
        <f t="shared" si="5"/>
        <v>775000.79999999993</v>
      </c>
      <c r="T27" s="7">
        <f t="shared" si="6"/>
        <v>348750.36000000004</v>
      </c>
      <c r="U27" s="7">
        <f t="shared" si="0"/>
        <v>426250.43999999989</v>
      </c>
      <c r="V27" s="10">
        <v>0.1</v>
      </c>
      <c r="W27" s="7">
        <f t="shared" si="10"/>
        <v>383625.39599999989</v>
      </c>
      <c r="X27" s="11">
        <f t="shared" si="7"/>
        <v>742.49999999999977</v>
      </c>
      <c r="Y27" s="1"/>
      <c r="Z27" s="1"/>
    </row>
    <row r="28" spans="2:26" x14ac:dyDescent="0.25">
      <c r="B28" s="29">
        <v>25</v>
      </c>
      <c r="C28" s="2" t="s">
        <v>2</v>
      </c>
      <c r="D28" s="38" t="s">
        <v>58</v>
      </c>
      <c r="E28" s="39" t="s">
        <v>30</v>
      </c>
      <c r="F28" s="18" t="s">
        <v>79</v>
      </c>
      <c r="G28" s="18" t="s">
        <v>80</v>
      </c>
      <c r="H28" s="46">
        <v>160</v>
      </c>
      <c r="I28" s="46">
        <f t="shared" si="1"/>
        <v>1722.2239999999999</v>
      </c>
      <c r="J28" s="23">
        <v>15</v>
      </c>
      <c r="K28" s="2">
        <v>1993</v>
      </c>
      <c r="L28" s="2">
        <v>2023</v>
      </c>
      <c r="M28" s="2">
        <f t="shared" si="2"/>
        <v>30</v>
      </c>
      <c r="N28" s="2">
        <v>60</v>
      </c>
      <c r="O28" s="3">
        <v>0.1</v>
      </c>
      <c r="P28" s="43">
        <f t="shared" si="3"/>
        <v>1.5000000000000001E-2</v>
      </c>
      <c r="Q28" s="2">
        <v>1500</v>
      </c>
      <c r="R28" s="46">
        <f t="shared" si="4"/>
        <v>16145.849999999999</v>
      </c>
      <c r="S28" s="7">
        <f t="shared" si="5"/>
        <v>2583336</v>
      </c>
      <c r="T28" s="7">
        <f t="shared" si="6"/>
        <v>1162501.2</v>
      </c>
      <c r="U28" s="7">
        <f t="shared" si="0"/>
        <v>1420834.8</v>
      </c>
      <c r="V28" s="10">
        <v>0.1</v>
      </c>
      <c r="W28" s="7">
        <f t="shared" si="10"/>
        <v>1278751.32</v>
      </c>
      <c r="X28" s="11">
        <f t="shared" si="7"/>
        <v>742.50000000000011</v>
      </c>
      <c r="Y28" s="1"/>
      <c r="Z28" s="1"/>
    </row>
    <row r="29" spans="2:26" x14ac:dyDescent="0.25">
      <c r="B29" s="29">
        <v>26</v>
      </c>
      <c r="C29" s="2" t="s">
        <v>2</v>
      </c>
      <c r="D29" s="38" t="s">
        <v>59</v>
      </c>
      <c r="E29" s="39" t="s">
        <v>30</v>
      </c>
      <c r="F29" s="18" t="s">
        <v>79</v>
      </c>
      <c r="G29" s="18" t="s">
        <v>80</v>
      </c>
      <c r="H29" s="46">
        <v>105</v>
      </c>
      <c r="I29" s="46">
        <f t="shared" si="1"/>
        <v>1130.2094999999999</v>
      </c>
      <c r="J29" s="23">
        <v>15</v>
      </c>
      <c r="K29" s="2">
        <v>1993</v>
      </c>
      <c r="L29" s="2">
        <v>2023</v>
      </c>
      <c r="M29" s="2">
        <f t="shared" si="2"/>
        <v>30</v>
      </c>
      <c r="N29" s="2">
        <v>60</v>
      </c>
      <c r="O29" s="3">
        <v>0.1</v>
      </c>
      <c r="P29" s="43">
        <f t="shared" si="3"/>
        <v>1.5000000000000001E-2</v>
      </c>
      <c r="Q29" s="2">
        <v>1500</v>
      </c>
      <c r="R29" s="46">
        <f t="shared" si="4"/>
        <v>16145.849999999999</v>
      </c>
      <c r="S29" s="7">
        <f t="shared" si="5"/>
        <v>1695314.2499999998</v>
      </c>
      <c r="T29" s="7">
        <f t="shared" si="6"/>
        <v>762891.41249999998</v>
      </c>
      <c r="U29" s="7">
        <f t="shared" si="0"/>
        <v>932422.83749999979</v>
      </c>
      <c r="V29" s="10">
        <v>0.1</v>
      </c>
      <c r="W29" s="7">
        <f t="shared" si="10"/>
        <v>839180.55374999985</v>
      </c>
      <c r="X29" s="11">
        <f t="shared" si="7"/>
        <v>742.49999999999989</v>
      </c>
      <c r="Y29" s="1"/>
      <c r="Z29" s="1"/>
    </row>
    <row r="30" spans="2:26" x14ac:dyDescent="0.25">
      <c r="B30" s="29">
        <v>27</v>
      </c>
      <c r="C30" s="2" t="s">
        <v>85</v>
      </c>
      <c r="D30" s="38" t="s">
        <v>60</v>
      </c>
      <c r="E30" s="39" t="s">
        <v>30</v>
      </c>
      <c r="F30" s="18" t="s">
        <v>79</v>
      </c>
      <c r="G30" s="18" t="s">
        <v>80</v>
      </c>
      <c r="H30" s="46">
        <v>453.49299999999999</v>
      </c>
      <c r="I30" s="46">
        <f t="shared" si="1"/>
        <v>4881.3533026999994</v>
      </c>
      <c r="J30" s="23">
        <v>10</v>
      </c>
      <c r="K30" s="2">
        <v>1994</v>
      </c>
      <c r="L30" s="2">
        <v>2023</v>
      </c>
      <c r="M30" s="2">
        <f t="shared" si="2"/>
        <v>29</v>
      </c>
      <c r="N30" s="2">
        <v>60</v>
      </c>
      <c r="O30" s="3">
        <v>0.1</v>
      </c>
      <c r="P30" s="43">
        <f t="shared" si="3"/>
        <v>1.5000000000000001E-2</v>
      </c>
      <c r="Q30" s="2">
        <v>1500</v>
      </c>
      <c r="R30" s="46">
        <f t="shared" si="4"/>
        <v>16145.849999999999</v>
      </c>
      <c r="S30" s="7">
        <f t="shared" si="5"/>
        <v>7322029.9540499989</v>
      </c>
      <c r="T30" s="7">
        <f t="shared" si="6"/>
        <v>3185083.0300117498</v>
      </c>
      <c r="U30" s="7">
        <f t="shared" si="0"/>
        <v>4136946.9240382491</v>
      </c>
      <c r="V30" s="10">
        <v>0</v>
      </c>
      <c r="W30" s="7">
        <f t="shared" si="9"/>
        <v>4136946.9240382491</v>
      </c>
      <c r="X30" s="11">
        <f t="shared" si="7"/>
        <v>847.49999999999989</v>
      </c>
      <c r="Y30" s="1"/>
      <c r="Z30" s="1"/>
    </row>
    <row r="31" spans="2:26" x14ac:dyDescent="0.25">
      <c r="B31" s="29">
        <v>28</v>
      </c>
      <c r="C31" s="2" t="s">
        <v>2</v>
      </c>
      <c r="D31" s="38" t="s">
        <v>61</v>
      </c>
      <c r="E31" s="39" t="s">
        <v>30</v>
      </c>
      <c r="F31" s="18" t="s">
        <v>79</v>
      </c>
      <c r="G31" s="18" t="s">
        <v>80</v>
      </c>
      <c r="H31" s="46">
        <v>460.4</v>
      </c>
      <c r="I31" s="46">
        <f t="shared" si="1"/>
        <v>4955.6995599999991</v>
      </c>
      <c r="J31" s="23">
        <v>12</v>
      </c>
      <c r="K31" s="2">
        <v>1994</v>
      </c>
      <c r="L31" s="2">
        <v>2023</v>
      </c>
      <c r="M31" s="2">
        <f t="shared" si="2"/>
        <v>29</v>
      </c>
      <c r="N31" s="2">
        <v>60</v>
      </c>
      <c r="O31" s="3">
        <v>0.1</v>
      </c>
      <c r="P31" s="43">
        <f t="shared" si="3"/>
        <v>1.5000000000000001E-2</v>
      </c>
      <c r="Q31" s="2">
        <v>1500</v>
      </c>
      <c r="R31" s="46">
        <f t="shared" si="4"/>
        <v>16145.849999999999</v>
      </c>
      <c r="S31" s="7">
        <f t="shared" si="5"/>
        <v>7433549.3399999989</v>
      </c>
      <c r="T31" s="7">
        <f t="shared" si="6"/>
        <v>3233593.9628999997</v>
      </c>
      <c r="U31" s="7">
        <f t="shared" si="0"/>
        <v>4199955.3770999992</v>
      </c>
      <c r="V31" s="10">
        <v>0</v>
      </c>
      <c r="W31" s="7">
        <f t="shared" si="9"/>
        <v>4199955.3770999992</v>
      </c>
      <c r="X31" s="11">
        <f t="shared" si="7"/>
        <v>847.5</v>
      </c>
      <c r="Y31" s="1"/>
      <c r="Z31" s="1"/>
    </row>
    <row r="32" spans="2:26" x14ac:dyDescent="0.25">
      <c r="B32" s="29">
        <v>29</v>
      </c>
      <c r="C32" s="19" t="s">
        <v>2</v>
      </c>
      <c r="D32" s="38" t="s">
        <v>62</v>
      </c>
      <c r="E32" s="39" t="s">
        <v>32</v>
      </c>
      <c r="F32" s="18" t="s">
        <v>79</v>
      </c>
      <c r="G32" s="18" t="s">
        <v>80</v>
      </c>
      <c r="H32" s="46">
        <v>588.01</v>
      </c>
      <c r="I32" s="46">
        <f t="shared" si="1"/>
        <v>6329.280839</v>
      </c>
      <c r="J32" s="23">
        <v>31</v>
      </c>
      <c r="K32" s="2">
        <v>1994</v>
      </c>
      <c r="L32" s="2">
        <v>2023</v>
      </c>
      <c r="M32" s="2">
        <f t="shared" si="2"/>
        <v>29</v>
      </c>
      <c r="N32" s="2">
        <v>45</v>
      </c>
      <c r="O32" s="3">
        <v>0.1</v>
      </c>
      <c r="P32" s="43">
        <f t="shared" si="3"/>
        <v>0.02</v>
      </c>
      <c r="Q32" s="2">
        <v>1500</v>
      </c>
      <c r="R32" s="46">
        <f t="shared" si="4"/>
        <v>16145.849999999999</v>
      </c>
      <c r="S32" s="7">
        <f t="shared" si="5"/>
        <v>9493921.2584999986</v>
      </c>
      <c r="T32" s="7">
        <f t="shared" si="6"/>
        <v>5506474.3299299991</v>
      </c>
      <c r="U32" s="7">
        <f t="shared" si="0"/>
        <v>3987446.9285699995</v>
      </c>
      <c r="V32" s="10">
        <v>0.1</v>
      </c>
      <c r="W32" s="7">
        <f>IF(U32&gt;O32*S32,U32*(1+V32),S32*O32)</f>
        <v>4386191.6214269996</v>
      </c>
      <c r="X32" s="11">
        <f t="shared" si="7"/>
        <v>692.99999999999989</v>
      </c>
      <c r="Y32" s="1"/>
      <c r="Z32" s="1"/>
    </row>
    <row r="33" spans="2:26" x14ac:dyDescent="0.25">
      <c r="B33" s="29">
        <v>30</v>
      </c>
      <c r="C33" s="19" t="s">
        <v>85</v>
      </c>
      <c r="D33" s="38" t="s">
        <v>63</v>
      </c>
      <c r="E33" s="39" t="s">
        <v>30</v>
      </c>
      <c r="F33" s="18" t="s">
        <v>79</v>
      </c>
      <c r="G33" s="18" t="s">
        <v>80</v>
      </c>
      <c r="H33" s="46">
        <v>401.21300000000002</v>
      </c>
      <c r="I33" s="46">
        <f t="shared" si="1"/>
        <v>4318.6166106999999</v>
      </c>
      <c r="J33" s="23">
        <v>10</v>
      </c>
      <c r="K33" s="2">
        <v>1994</v>
      </c>
      <c r="L33" s="2">
        <v>2023</v>
      </c>
      <c r="M33" s="2">
        <f t="shared" si="2"/>
        <v>29</v>
      </c>
      <c r="N33" s="2">
        <v>60</v>
      </c>
      <c r="O33" s="3">
        <v>0.1</v>
      </c>
      <c r="P33" s="43">
        <f t="shared" si="3"/>
        <v>1.5000000000000001E-2</v>
      </c>
      <c r="Q33" s="2">
        <v>1500</v>
      </c>
      <c r="R33" s="46">
        <f t="shared" si="4"/>
        <v>16145.849999999999</v>
      </c>
      <c r="S33" s="7">
        <f t="shared" si="5"/>
        <v>6477924.9160500001</v>
      </c>
      <c r="T33" s="7">
        <f t="shared" si="6"/>
        <v>2817897.3384817503</v>
      </c>
      <c r="U33" s="7">
        <f t="shared" si="0"/>
        <v>3660027.5775682498</v>
      </c>
      <c r="V33" s="10">
        <v>0</v>
      </c>
      <c r="W33" s="7">
        <f t="shared" si="9"/>
        <v>3660027.5775682498</v>
      </c>
      <c r="X33" s="11">
        <f t="shared" si="7"/>
        <v>847.5</v>
      </c>
      <c r="Y33" s="1"/>
      <c r="Z33" s="1"/>
    </row>
    <row r="34" spans="2:26" x14ac:dyDescent="0.25">
      <c r="B34" s="29">
        <v>31</v>
      </c>
      <c r="C34" s="19" t="s">
        <v>88</v>
      </c>
      <c r="D34" s="38" t="s">
        <v>64</v>
      </c>
      <c r="E34" s="39" t="s">
        <v>30</v>
      </c>
      <c r="F34" s="18" t="s">
        <v>79</v>
      </c>
      <c r="G34" s="18" t="s">
        <v>80</v>
      </c>
      <c r="H34" s="46">
        <v>397.74200000000002</v>
      </c>
      <c r="I34" s="46">
        <f t="shared" si="1"/>
        <v>4281.2551137999999</v>
      </c>
      <c r="J34" s="23">
        <v>10</v>
      </c>
      <c r="K34" s="2">
        <v>1997</v>
      </c>
      <c r="L34" s="2">
        <v>2023</v>
      </c>
      <c r="M34" s="2">
        <f t="shared" si="2"/>
        <v>26</v>
      </c>
      <c r="N34" s="2">
        <v>60</v>
      </c>
      <c r="O34" s="3">
        <v>0.1</v>
      </c>
      <c r="P34" s="43">
        <f t="shared" si="3"/>
        <v>1.5000000000000001E-2</v>
      </c>
      <c r="Q34" s="2">
        <v>1500</v>
      </c>
      <c r="R34" s="46">
        <f t="shared" si="4"/>
        <v>16145.849999999999</v>
      </c>
      <c r="S34" s="7">
        <f t="shared" si="5"/>
        <v>6421882.6706999997</v>
      </c>
      <c r="T34" s="7">
        <f t="shared" si="6"/>
        <v>2504534.2415729999</v>
      </c>
      <c r="U34" s="7">
        <f t="shared" si="0"/>
        <v>3917348.4291269998</v>
      </c>
      <c r="V34" s="10">
        <v>0</v>
      </c>
      <c r="W34" s="7">
        <f t="shared" si="9"/>
        <v>3917348.4291269998</v>
      </c>
      <c r="X34" s="11">
        <f t="shared" si="7"/>
        <v>915</v>
      </c>
      <c r="Y34" s="1"/>
      <c r="Z34" s="1"/>
    </row>
    <row r="35" spans="2:26" x14ac:dyDescent="0.25">
      <c r="B35" s="29">
        <v>32</v>
      </c>
      <c r="C35" s="19" t="s">
        <v>2</v>
      </c>
      <c r="D35" s="38" t="s">
        <v>65</v>
      </c>
      <c r="E35" s="39" t="s">
        <v>30</v>
      </c>
      <c r="F35" s="18" t="s">
        <v>79</v>
      </c>
      <c r="G35" s="18" t="s">
        <v>80</v>
      </c>
      <c r="H35" s="46">
        <v>225</v>
      </c>
      <c r="I35" s="46">
        <f t="shared" si="1"/>
        <v>2421.8775000000001</v>
      </c>
      <c r="J35" s="23">
        <v>12</v>
      </c>
      <c r="K35" s="2">
        <v>1997</v>
      </c>
      <c r="L35" s="2">
        <v>2023</v>
      </c>
      <c r="M35" s="2">
        <f t="shared" si="2"/>
        <v>26</v>
      </c>
      <c r="N35" s="2">
        <v>60</v>
      </c>
      <c r="O35" s="3">
        <v>0.1</v>
      </c>
      <c r="P35" s="43">
        <f t="shared" si="3"/>
        <v>1.5000000000000001E-2</v>
      </c>
      <c r="Q35" s="2">
        <v>1500</v>
      </c>
      <c r="R35" s="46">
        <f t="shared" si="4"/>
        <v>16145.849999999999</v>
      </c>
      <c r="S35" s="7">
        <f t="shared" si="5"/>
        <v>3632816.2499999995</v>
      </c>
      <c r="T35" s="7">
        <f t="shared" si="6"/>
        <v>1416798.3374999999</v>
      </c>
      <c r="U35" s="7">
        <f t="shared" si="0"/>
        <v>2216017.9124999996</v>
      </c>
      <c r="V35" s="10">
        <v>0</v>
      </c>
      <c r="W35" s="7">
        <f t="shared" si="9"/>
        <v>2216017.9124999996</v>
      </c>
      <c r="X35" s="11">
        <f t="shared" si="7"/>
        <v>914.99999999999977</v>
      </c>
      <c r="Y35" s="1"/>
      <c r="Z35" s="1"/>
    </row>
    <row r="36" spans="2:26" x14ac:dyDescent="0.25">
      <c r="B36" s="29">
        <v>33</v>
      </c>
      <c r="C36" s="32"/>
      <c r="D36" s="40" t="s">
        <v>66</v>
      </c>
      <c r="E36" s="39" t="s">
        <v>30</v>
      </c>
      <c r="F36" s="18" t="s">
        <v>79</v>
      </c>
      <c r="G36" s="18" t="s">
        <v>80</v>
      </c>
      <c r="H36" s="53">
        <v>48.61</v>
      </c>
      <c r="I36" s="46">
        <f t="shared" si="1"/>
        <v>523.23317899999995</v>
      </c>
      <c r="J36" s="35">
        <v>0</v>
      </c>
      <c r="K36" s="33">
        <v>1997</v>
      </c>
      <c r="L36" s="2">
        <v>2023</v>
      </c>
      <c r="M36" s="2">
        <f t="shared" si="2"/>
        <v>26</v>
      </c>
      <c r="N36" s="2">
        <v>60</v>
      </c>
      <c r="O36" s="3">
        <v>0.1</v>
      </c>
      <c r="P36" s="43">
        <f t="shared" si="3"/>
        <v>1.5000000000000001E-2</v>
      </c>
      <c r="Q36" s="2">
        <v>1400</v>
      </c>
      <c r="R36" s="46">
        <f t="shared" si="4"/>
        <v>15069.46</v>
      </c>
      <c r="S36" s="7">
        <f t="shared" si="5"/>
        <v>732526.45059999998</v>
      </c>
      <c r="T36" s="7">
        <f t="shared" si="6"/>
        <v>285685.315734</v>
      </c>
      <c r="U36" s="7">
        <f t="shared" si="0"/>
        <v>446841.13486599998</v>
      </c>
      <c r="V36" s="10">
        <v>0</v>
      </c>
      <c r="W36" s="7">
        <f t="shared" si="9"/>
        <v>446841.13486599998</v>
      </c>
      <c r="X36" s="11">
        <f t="shared" si="7"/>
        <v>854</v>
      </c>
      <c r="Y36" s="1"/>
      <c r="Z36" s="1"/>
    </row>
    <row r="37" spans="2:26" x14ac:dyDescent="0.25">
      <c r="B37" s="29">
        <v>34</v>
      </c>
      <c r="C37" s="19"/>
      <c r="D37" s="38" t="s">
        <v>67</v>
      </c>
      <c r="E37" s="39" t="s">
        <v>30</v>
      </c>
      <c r="F37" s="18" t="s">
        <v>79</v>
      </c>
      <c r="G37" s="18" t="s">
        <v>80</v>
      </c>
      <c r="H37" s="46">
        <v>205</v>
      </c>
      <c r="I37" s="46">
        <f t="shared" si="1"/>
        <v>2206.5994999999998</v>
      </c>
      <c r="J37" s="23">
        <v>10</v>
      </c>
      <c r="K37" s="2">
        <v>1997</v>
      </c>
      <c r="L37" s="2">
        <v>2023</v>
      </c>
      <c r="M37" s="2">
        <f t="shared" si="2"/>
        <v>26</v>
      </c>
      <c r="N37" s="2">
        <v>60</v>
      </c>
      <c r="O37" s="3">
        <v>0.1</v>
      </c>
      <c r="P37" s="43">
        <f t="shared" si="3"/>
        <v>1.5000000000000001E-2</v>
      </c>
      <c r="Q37" s="2">
        <v>1500</v>
      </c>
      <c r="R37" s="46">
        <f t="shared" si="4"/>
        <v>16145.849999999999</v>
      </c>
      <c r="S37" s="7">
        <f t="shared" si="5"/>
        <v>3309899.2499999995</v>
      </c>
      <c r="T37" s="7">
        <f t="shared" si="6"/>
        <v>1290860.7075</v>
      </c>
      <c r="U37" s="7">
        <f t="shared" si="0"/>
        <v>2019038.5424999995</v>
      </c>
      <c r="V37" s="10">
        <v>0</v>
      </c>
      <c r="W37" s="7">
        <f t="shared" si="9"/>
        <v>2019038.5424999995</v>
      </c>
      <c r="X37" s="11">
        <f t="shared" si="7"/>
        <v>914.99999999999989</v>
      </c>
      <c r="Y37" s="1"/>
      <c r="Z37" s="1"/>
    </row>
    <row r="38" spans="2:26" ht="30" x14ac:dyDescent="0.25">
      <c r="B38" s="29">
        <v>35</v>
      </c>
      <c r="C38" s="19" t="s">
        <v>2</v>
      </c>
      <c r="D38" s="38" t="s">
        <v>68</v>
      </c>
      <c r="E38" s="39" t="s">
        <v>30</v>
      </c>
      <c r="F38" s="18" t="s">
        <v>79</v>
      </c>
      <c r="G38" s="18" t="s">
        <v>80</v>
      </c>
      <c r="H38" s="46">
        <v>63</v>
      </c>
      <c r="I38" s="46">
        <f t="shared" si="1"/>
        <v>678.12569999999994</v>
      </c>
      <c r="J38" s="23">
        <v>15</v>
      </c>
      <c r="K38" s="2">
        <v>1997</v>
      </c>
      <c r="L38" s="2">
        <v>2023</v>
      </c>
      <c r="M38" s="2">
        <f t="shared" si="2"/>
        <v>26</v>
      </c>
      <c r="N38" s="2">
        <v>60</v>
      </c>
      <c r="O38" s="3">
        <v>0.1</v>
      </c>
      <c r="P38" s="43">
        <f t="shared" si="3"/>
        <v>1.5000000000000001E-2</v>
      </c>
      <c r="Q38" s="2">
        <v>1500</v>
      </c>
      <c r="R38" s="46">
        <f t="shared" si="4"/>
        <v>16145.849999999999</v>
      </c>
      <c r="S38" s="7">
        <f t="shared" si="5"/>
        <v>1017188.5499999999</v>
      </c>
      <c r="T38" s="7">
        <f t="shared" si="6"/>
        <v>396703.53450000001</v>
      </c>
      <c r="U38" s="7">
        <f t="shared" si="0"/>
        <v>620485.01549999998</v>
      </c>
      <c r="V38" s="10">
        <v>0.05</v>
      </c>
      <c r="W38" s="7">
        <f>IF(U38&gt;O38*S38,U38*(1-V38),S38*O38)</f>
        <v>589460.7647249999</v>
      </c>
      <c r="X38" s="11">
        <f t="shared" si="7"/>
        <v>869.24999999999989</v>
      </c>
      <c r="Y38" s="1"/>
      <c r="Z38" s="1"/>
    </row>
    <row r="39" spans="2:26" x14ac:dyDescent="0.25">
      <c r="B39" s="29">
        <v>36</v>
      </c>
      <c r="C39" s="19" t="s">
        <v>2</v>
      </c>
      <c r="D39" s="38" t="s">
        <v>69</v>
      </c>
      <c r="E39" s="39" t="s">
        <v>30</v>
      </c>
      <c r="F39" s="18" t="s">
        <v>79</v>
      </c>
      <c r="G39" s="18" t="s">
        <v>80</v>
      </c>
      <c r="H39" s="46">
        <v>84</v>
      </c>
      <c r="I39" s="46">
        <f t="shared" si="1"/>
        <v>904.16759999999999</v>
      </c>
      <c r="J39" s="23">
        <v>25</v>
      </c>
      <c r="K39" s="2">
        <v>1997</v>
      </c>
      <c r="L39" s="2">
        <v>2023</v>
      </c>
      <c r="M39" s="2">
        <f t="shared" si="2"/>
        <v>26</v>
      </c>
      <c r="N39" s="2">
        <v>60</v>
      </c>
      <c r="O39" s="3">
        <v>0.1</v>
      </c>
      <c r="P39" s="43">
        <f t="shared" si="3"/>
        <v>1.5000000000000001E-2</v>
      </c>
      <c r="Q39" s="2">
        <v>2000</v>
      </c>
      <c r="R39" s="46">
        <f t="shared" si="4"/>
        <v>21527.8</v>
      </c>
      <c r="S39" s="7">
        <f t="shared" si="5"/>
        <v>1808335.2</v>
      </c>
      <c r="T39" s="7">
        <f t="shared" si="6"/>
        <v>705250.728</v>
      </c>
      <c r="U39" s="7">
        <f t="shared" si="0"/>
        <v>1103084.4720000001</v>
      </c>
      <c r="V39" s="10">
        <v>0.1</v>
      </c>
      <c r="W39" s="7">
        <f>IF(U39&gt;O39*S39,U39*(1-V39),S39*O39)</f>
        <v>992776.02480000013</v>
      </c>
      <c r="X39" s="11">
        <f t="shared" si="7"/>
        <v>1098.0000000000002</v>
      </c>
      <c r="Y39" s="1"/>
      <c r="Z39" s="1"/>
    </row>
    <row r="40" spans="2:26" x14ac:dyDescent="0.25">
      <c r="B40" s="29">
        <v>37</v>
      </c>
      <c r="C40" s="19" t="s">
        <v>2</v>
      </c>
      <c r="D40" s="38" t="s">
        <v>56</v>
      </c>
      <c r="E40" s="39" t="s">
        <v>30</v>
      </c>
      <c r="F40" s="18" t="s">
        <v>79</v>
      </c>
      <c r="G40" s="18" t="s">
        <v>80</v>
      </c>
      <c r="H40" s="46">
        <v>294</v>
      </c>
      <c r="I40" s="46">
        <f t="shared" si="1"/>
        <v>3164.5866000000001</v>
      </c>
      <c r="J40" s="23">
        <v>25</v>
      </c>
      <c r="K40" s="2">
        <v>1997</v>
      </c>
      <c r="L40" s="2">
        <v>2023</v>
      </c>
      <c r="M40" s="2">
        <f t="shared" si="2"/>
        <v>26</v>
      </c>
      <c r="N40" s="2">
        <v>60</v>
      </c>
      <c r="O40" s="3">
        <v>0.1</v>
      </c>
      <c r="P40" s="43">
        <f t="shared" si="3"/>
        <v>1.5000000000000001E-2</v>
      </c>
      <c r="Q40" s="2">
        <v>2000</v>
      </c>
      <c r="R40" s="46">
        <f t="shared" si="4"/>
        <v>21527.8</v>
      </c>
      <c r="S40" s="7">
        <f t="shared" si="5"/>
        <v>6329173.2000000002</v>
      </c>
      <c r="T40" s="7">
        <f t="shared" si="6"/>
        <v>2468377.5480000004</v>
      </c>
      <c r="U40" s="7">
        <f t="shared" si="0"/>
        <v>3860795.6519999998</v>
      </c>
      <c r="V40" s="10">
        <v>0.1</v>
      </c>
      <c r="W40" s="7">
        <f>IF(U40&gt;O40*S40,U40*(1-V40),S40*O40)</f>
        <v>3474716.0867999997</v>
      </c>
      <c r="X40" s="11">
        <f t="shared" si="7"/>
        <v>1097.9999999999998</v>
      </c>
      <c r="Y40" s="1"/>
      <c r="Z40" s="1"/>
    </row>
    <row r="41" spans="2:26" x14ac:dyDescent="0.25">
      <c r="B41" s="29">
        <v>38</v>
      </c>
      <c r="C41" s="19" t="s">
        <v>2</v>
      </c>
      <c r="D41" s="38" t="s">
        <v>70</v>
      </c>
      <c r="E41" s="39" t="s">
        <v>30</v>
      </c>
      <c r="F41" s="18" t="s">
        <v>79</v>
      </c>
      <c r="G41" s="18" t="s">
        <v>80</v>
      </c>
      <c r="H41" s="46">
        <v>75.92</v>
      </c>
      <c r="I41" s="46">
        <f t="shared" si="1"/>
        <v>817.19528800000001</v>
      </c>
      <c r="J41" s="23">
        <v>10</v>
      </c>
      <c r="K41" s="2">
        <v>1997</v>
      </c>
      <c r="L41" s="2">
        <v>2023</v>
      </c>
      <c r="M41" s="2">
        <f t="shared" si="2"/>
        <v>26</v>
      </c>
      <c r="N41" s="2">
        <v>60</v>
      </c>
      <c r="O41" s="3">
        <v>0.1</v>
      </c>
      <c r="P41" s="43">
        <f t="shared" si="3"/>
        <v>1.5000000000000001E-2</v>
      </c>
      <c r="Q41" s="2">
        <v>1500</v>
      </c>
      <c r="R41" s="46">
        <f t="shared" si="4"/>
        <v>16145.849999999999</v>
      </c>
      <c r="S41" s="7">
        <f t="shared" si="5"/>
        <v>1225792.932</v>
      </c>
      <c r="T41" s="7">
        <f t="shared" si="6"/>
        <v>478059.24348</v>
      </c>
      <c r="U41" s="7">
        <f t="shared" si="0"/>
        <v>747733.68852000008</v>
      </c>
      <c r="V41" s="10">
        <v>0</v>
      </c>
      <c r="W41" s="7">
        <f t="shared" si="9"/>
        <v>747733.68852000008</v>
      </c>
      <c r="X41" s="11">
        <f t="shared" si="7"/>
        <v>915.00000000000011</v>
      </c>
      <c r="Y41" s="1"/>
      <c r="Z41" s="1"/>
    </row>
    <row r="42" spans="2:26" x14ac:dyDescent="0.25">
      <c r="B42" s="29">
        <v>39</v>
      </c>
      <c r="C42" s="19" t="s">
        <v>2</v>
      </c>
      <c r="D42" s="38" t="s">
        <v>71</v>
      </c>
      <c r="E42" s="39" t="s">
        <v>30</v>
      </c>
      <c r="F42" s="18" t="s">
        <v>79</v>
      </c>
      <c r="G42" s="18" t="s">
        <v>80</v>
      </c>
      <c r="H42" s="46">
        <v>126</v>
      </c>
      <c r="I42" s="46">
        <f t="shared" si="1"/>
        <v>1356.2513999999999</v>
      </c>
      <c r="J42" s="23">
        <v>20</v>
      </c>
      <c r="K42" s="2">
        <v>2000</v>
      </c>
      <c r="L42" s="2">
        <v>2023</v>
      </c>
      <c r="M42" s="2">
        <f t="shared" si="2"/>
        <v>23</v>
      </c>
      <c r="N42" s="2">
        <v>60</v>
      </c>
      <c r="O42" s="3">
        <v>0.1</v>
      </c>
      <c r="P42" s="43">
        <f t="shared" si="3"/>
        <v>1.5000000000000001E-2</v>
      </c>
      <c r="Q42" s="2">
        <v>1800</v>
      </c>
      <c r="R42" s="46">
        <f t="shared" si="4"/>
        <v>19375.02</v>
      </c>
      <c r="S42" s="7">
        <f t="shared" si="5"/>
        <v>2441252.52</v>
      </c>
      <c r="T42" s="7">
        <f t="shared" si="6"/>
        <v>842232.11940000008</v>
      </c>
      <c r="U42" s="7">
        <f t="shared" si="0"/>
        <v>1599020.4005999998</v>
      </c>
      <c r="V42" s="10">
        <v>0.1</v>
      </c>
      <c r="W42" s="7">
        <f>IF(U42&gt;O42*S42,U42*(1-V42),S42*O42)</f>
        <v>1439118.3605399998</v>
      </c>
      <c r="X42" s="11">
        <f t="shared" si="7"/>
        <v>1061.0999999999999</v>
      </c>
      <c r="Y42" s="1"/>
      <c r="Z42" s="1"/>
    </row>
    <row r="43" spans="2:26" ht="30" x14ac:dyDescent="0.25">
      <c r="B43" s="29">
        <v>40</v>
      </c>
      <c r="C43" s="19" t="s">
        <v>2</v>
      </c>
      <c r="D43" s="38" t="s">
        <v>72</v>
      </c>
      <c r="E43" s="39" t="s">
        <v>29</v>
      </c>
      <c r="F43" s="18" t="s">
        <v>79</v>
      </c>
      <c r="G43" s="18" t="s">
        <v>80</v>
      </c>
      <c r="H43" s="46">
        <v>6480</v>
      </c>
      <c r="I43" s="46">
        <f t="shared" si="1"/>
        <v>69750.072</v>
      </c>
      <c r="J43" s="23">
        <v>31</v>
      </c>
      <c r="K43" s="2">
        <v>1999</v>
      </c>
      <c r="L43" s="2">
        <v>2023</v>
      </c>
      <c r="M43" s="2">
        <f t="shared" si="2"/>
        <v>24</v>
      </c>
      <c r="N43" s="2">
        <v>45</v>
      </c>
      <c r="O43" s="3">
        <v>0.1</v>
      </c>
      <c r="P43" s="43">
        <f t="shared" si="3"/>
        <v>0.02</v>
      </c>
      <c r="Q43" s="2">
        <v>2000</v>
      </c>
      <c r="R43" s="46">
        <f t="shared" si="4"/>
        <v>21527.8</v>
      </c>
      <c r="S43" s="7">
        <f t="shared" si="5"/>
        <v>139500144</v>
      </c>
      <c r="T43" s="7">
        <f t="shared" si="6"/>
        <v>66960069.119999997</v>
      </c>
      <c r="U43" s="7">
        <f t="shared" si="0"/>
        <v>72540074.879999995</v>
      </c>
      <c r="V43" s="10">
        <v>0.05</v>
      </c>
      <c r="W43" s="7">
        <f t="shared" si="9"/>
        <v>76167078.623999998</v>
      </c>
      <c r="X43" s="11">
        <f t="shared" si="7"/>
        <v>1092</v>
      </c>
      <c r="Y43" s="1"/>
      <c r="Z43" s="1"/>
    </row>
    <row r="44" spans="2:26" ht="30" x14ac:dyDescent="0.25">
      <c r="B44" s="29">
        <v>41</v>
      </c>
      <c r="C44" s="19" t="s">
        <v>2</v>
      </c>
      <c r="D44" s="38" t="s">
        <v>73</v>
      </c>
      <c r="E44" s="39" t="s">
        <v>29</v>
      </c>
      <c r="F44" s="18" t="s">
        <v>79</v>
      </c>
      <c r="G44" s="18" t="s">
        <v>80</v>
      </c>
      <c r="H44" s="46">
        <v>3538.5</v>
      </c>
      <c r="I44" s="46">
        <f t="shared" si="1"/>
        <v>38088.060149999998</v>
      </c>
      <c r="J44" s="23">
        <v>31</v>
      </c>
      <c r="K44" s="2">
        <v>2001</v>
      </c>
      <c r="L44" s="2">
        <v>2023</v>
      </c>
      <c r="M44" s="2">
        <f t="shared" si="2"/>
        <v>22</v>
      </c>
      <c r="N44" s="2">
        <v>45</v>
      </c>
      <c r="O44" s="3">
        <v>0.1</v>
      </c>
      <c r="P44" s="43">
        <f t="shared" si="3"/>
        <v>0.02</v>
      </c>
      <c r="Q44" s="2">
        <v>2000</v>
      </c>
      <c r="R44" s="46">
        <f t="shared" si="4"/>
        <v>21527.8</v>
      </c>
      <c r="S44" s="7">
        <f t="shared" si="5"/>
        <v>76176120.299999997</v>
      </c>
      <c r="T44" s="7">
        <f t="shared" si="6"/>
        <v>33517492.932</v>
      </c>
      <c r="U44" s="7">
        <f t="shared" si="0"/>
        <v>42658627.368000001</v>
      </c>
      <c r="V44" s="10">
        <v>0.05</v>
      </c>
      <c r="W44" s="7">
        <f t="shared" si="9"/>
        <v>44791558.736400001</v>
      </c>
      <c r="X44" s="11">
        <f t="shared" si="7"/>
        <v>1176</v>
      </c>
      <c r="Y44" s="1"/>
      <c r="Z44" s="1"/>
    </row>
    <row r="45" spans="2:26" x14ac:dyDescent="0.25">
      <c r="B45" s="29">
        <v>42</v>
      </c>
      <c r="C45" s="19" t="s">
        <v>2</v>
      </c>
      <c r="D45" s="38" t="s">
        <v>74</v>
      </c>
      <c r="E45" s="39" t="s">
        <v>30</v>
      </c>
      <c r="F45" s="18" t="s">
        <v>79</v>
      </c>
      <c r="G45" s="18" t="s">
        <v>80</v>
      </c>
      <c r="H45" s="46">
        <v>147</v>
      </c>
      <c r="I45" s="46">
        <f t="shared" si="1"/>
        <v>1582.2933</v>
      </c>
      <c r="J45" s="23">
        <v>25</v>
      </c>
      <c r="K45" s="2">
        <v>2000</v>
      </c>
      <c r="L45" s="2">
        <v>2023</v>
      </c>
      <c r="M45" s="2">
        <f t="shared" si="2"/>
        <v>23</v>
      </c>
      <c r="N45" s="2">
        <v>60</v>
      </c>
      <c r="O45" s="3">
        <v>0.1</v>
      </c>
      <c r="P45" s="43">
        <f t="shared" si="3"/>
        <v>1.5000000000000001E-2</v>
      </c>
      <c r="Q45" s="2">
        <v>1800</v>
      </c>
      <c r="R45" s="46">
        <f t="shared" si="4"/>
        <v>19375.02</v>
      </c>
      <c r="S45" s="7">
        <f t="shared" si="5"/>
        <v>2848127.94</v>
      </c>
      <c r="T45" s="7">
        <f t="shared" si="6"/>
        <v>982604.13929999992</v>
      </c>
      <c r="U45" s="7">
        <f t="shared" si="0"/>
        <v>1865523.8007</v>
      </c>
      <c r="V45" s="10">
        <v>0.1</v>
      </c>
      <c r="W45" s="7">
        <f>IF(U45&gt;O45*S45,U45*(1-V45),S45*O45)</f>
        <v>1678971.4206300001</v>
      </c>
      <c r="X45" s="11">
        <f t="shared" si="7"/>
        <v>1061.0999999999999</v>
      </c>
      <c r="Y45" s="1"/>
      <c r="Z45" s="1"/>
    </row>
    <row r="46" spans="2:26" ht="30" x14ac:dyDescent="0.25">
      <c r="B46" s="29">
        <v>43</v>
      </c>
      <c r="C46" s="19" t="s">
        <v>2</v>
      </c>
      <c r="D46" s="38" t="s">
        <v>75</v>
      </c>
      <c r="E46" s="39" t="s">
        <v>29</v>
      </c>
      <c r="F46" s="18" t="s">
        <v>79</v>
      </c>
      <c r="G46" s="18" t="s">
        <v>80</v>
      </c>
      <c r="H46" s="46">
        <v>507.5</v>
      </c>
      <c r="I46" s="46">
        <f t="shared" si="1"/>
        <v>5462.6792500000001</v>
      </c>
      <c r="J46" s="23">
        <v>25</v>
      </c>
      <c r="K46" s="2">
        <v>2014</v>
      </c>
      <c r="L46" s="2">
        <v>2023</v>
      </c>
      <c r="M46" s="2">
        <f t="shared" si="2"/>
        <v>9</v>
      </c>
      <c r="N46" s="2">
        <v>45</v>
      </c>
      <c r="O46" s="3">
        <v>0.1</v>
      </c>
      <c r="P46" s="43">
        <f t="shared" si="3"/>
        <v>0.02</v>
      </c>
      <c r="Q46" s="2">
        <v>2000</v>
      </c>
      <c r="R46" s="46">
        <f t="shared" si="4"/>
        <v>21527.8</v>
      </c>
      <c r="S46" s="7">
        <f t="shared" si="5"/>
        <v>10925358.5</v>
      </c>
      <c r="T46" s="7">
        <f t="shared" si="6"/>
        <v>1966564.53</v>
      </c>
      <c r="U46" s="7">
        <f t="shared" si="0"/>
        <v>8958793.9700000007</v>
      </c>
      <c r="V46" s="10">
        <v>0</v>
      </c>
      <c r="W46" s="7">
        <f t="shared" si="9"/>
        <v>8958793.9700000007</v>
      </c>
      <c r="X46" s="11">
        <f t="shared" si="7"/>
        <v>1640</v>
      </c>
      <c r="Y46" s="1"/>
      <c r="Z46" s="1"/>
    </row>
    <row r="47" spans="2:26" ht="30" x14ac:dyDescent="0.25">
      <c r="B47" s="29">
        <v>44</v>
      </c>
      <c r="C47" s="19" t="s">
        <v>2</v>
      </c>
      <c r="D47" s="38" t="s">
        <v>76</v>
      </c>
      <c r="E47" s="39" t="s">
        <v>29</v>
      </c>
      <c r="F47" s="18" t="s">
        <v>79</v>
      </c>
      <c r="G47" s="18" t="s">
        <v>80</v>
      </c>
      <c r="H47" s="46">
        <v>3950</v>
      </c>
      <c r="I47" s="46">
        <f t="shared" si="1"/>
        <v>42517.404999999999</v>
      </c>
      <c r="J47" s="23">
        <v>31</v>
      </c>
      <c r="K47" s="2">
        <v>2017</v>
      </c>
      <c r="L47" s="2">
        <v>2023</v>
      </c>
      <c r="M47" s="2">
        <f t="shared" si="2"/>
        <v>6</v>
      </c>
      <c r="N47" s="2">
        <v>45</v>
      </c>
      <c r="O47" s="3">
        <v>0.1</v>
      </c>
      <c r="P47" s="43">
        <f t="shared" si="3"/>
        <v>0.02</v>
      </c>
      <c r="Q47" s="2">
        <v>2000</v>
      </c>
      <c r="R47" s="46">
        <f t="shared" si="4"/>
        <v>21527.8</v>
      </c>
      <c r="S47" s="7">
        <f t="shared" si="5"/>
        <v>85034810</v>
      </c>
      <c r="T47" s="7">
        <f t="shared" si="6"/>
        <v>10204177.199999999</v>
      </c>
      <c r="U47" s="7">
        <f t="shared" si="0"/>
        <v>74830632.799999997</v>
      </c>
      <c r="V47" s="10">
        <v>0</v>
      </c>
      <c r="W47" s="7">
        <f t="shared" si="9"/>
        <v>74830632.799999997</v>
      </c>
      <c r="X47" s="11">
        <f t="shared" si="7"/>
        <v>1760</v>
      </c>
      <c r="Y47" s="1"/>
      <c r="Z47" s="1"/>
    </row>
    <row r="48" spans="2:26" ht="30" x14ac:dyDescent="0.25">
      <c r="B48" s="29">
        <v>45</v>
      </c>
      <c r="C48" s="19" t="s">
        <v>2</v>
      </c>
      <c r="D48" s="38" t="s">
        <v>77</v>
      </c>
      <c r="E48" s="39" t="s">
        <v>29</v>
      </c>
      <c r="F48" s="18" t="s">
        <v>79</v>
      </c>
      <c r="G48" s="18" t="s">
        <v>80</v>
      </c>
      <c r="H48" s="46">
        <v>2325</v>
      </c>
      <c r="I48" s="46">
        <f t="shared" si="1"/>
        <v>25026.067499999997</v>
      </c>
      <c r="J48" s="23">
        <v>31</v>
      </c>
      <c r="K48" s="2">
        <v>2018</v>
      </c>
      <c r="L48" s="2">
        <v>2023</v>
      </c>
      <c r="M48" s="2">
        <f t="shared" si="2"/>
        <v>5</v>
      </c>
      <c r="N48" s="2">
        <v>45</v>
      </c>
      <c r="O48" s="3">
        <v>0.1</v>
      </c>
      <c r="P48" s="43">
        <f t="shared" si="3"/>
        <v>0.02</v>
      </c>
      <c r="Q48" s="2">
        <v>2000</v>
      </c>
      <c r="R48" s="46">
        <f t="shared" si="4"/>
        <v>21527.8</v>
      </c>
      <c r="S48" s="7">
        <f t="shared" si="5"/>
        <v>50052135</v>
      </c>
      <c r="T48" s="7">
        <f t="shared" si="6"/>
        <v>5005213.5</v>
      </c>
      <c r="U48" s="7">
        <f t="shared" si="0"/>
        <v>45046921.5</v>
      </c>
      <c r="V48" s="10">
        <v>0</v>
      </c>
      <c r="W48" s="7">
        <f t="shared" si="9"/>
        <v>45046921.5</v>
      </c>
      <c r="X48" s="11">
        <f t="shared" si="7"/>
        <v>1800.0000000000002</v>
      </c>
      <c r="Y48" s="1"/>
      <c r="Z48" s="1"/>
    </row>
    <row r="49" spans="2:26" ht="30" x14ac:dyDescent="0.25">
      <c r="B49" s="29">
        <v>46</v>
      </c>
      <c r="C49" s="19" t="s">
        <v>81</v>
      </c>
      <c r="D49" s="38" t="s">
        <v>78</v>
      </c>
      <c r="E49" s="39" t="s">
        <v>33</v>
      </c>
      <c r="F49" s="18" t="s">
        <v>79</v>
      </c>
      <c r="G49" s="18" t="s">
        <v>80</v>
      </c>
      <c r="H49" s="46">
        <v>4559.386617100372</v>
      </c>
      <c r="I49" s="46">
        <f t="shared" si="1"/>
        <v>49076.78160780669</v>
      </c>
      <c r="J49" s="23">
        <v>31</v>
      </c>
      <c r="K49" s="2">
        <v>2018</v>
      </c>
      <c r="L49" s="2">
        <v>2023</v>
      </c>
      <c r="M49" s="2">
        <f t="shared" si="2"/>
        <v>5</v>
      </c>
      <c r="N49" s="2">
        <v>45</v>
      </c>
      <c r="O49" s="3">
        <v>0.1</v>
      </c>
      <c r="P49" s="43">
        <f t="shared" si="3"/>
        <v>0.02</v>
      </c>
      <c r="Q49" s="2">
        <v>2000</v>
      </c>
      <c r="R49" s="46">
        <f t="shared" si="4"/>
        <v>21527.8</v>
      </c>
      <c r="S49" s="7">
        <f t="shared" si="5"/>
        <v>98153563.21561338</v>
      </c>
      <c r="T49" s="7">
        <f t="shared" si="6"/>
        <v>9815356.3215613384</v>
      </c>
      <c r="U49" s="7">
        <f t="shared" si="0"/>
        <v>88338206.894052044</v>
      </c>
      <c r="V49" s="10">
        <v>0</v>
      </c>
      <c r="W49" s="7">
        <f t="shared" si="9"/>
        <v>88338206.894052044</v>
      </c>
      <c r="X49" s="11">
        <f t="shared" si="7"/>
        <v>1800</v>
      </c>
      <c r="Y49" s="1"/>
      <c r="Z49" s="1"/>
    </row>
    <row r="50" spans="2:26" ht="30" x14ac:dyDescent="0.25">
      <c r="B50" s="37">
        <v>47</v>
      </c>
      <c r="C50" s="19" t="s">
        <v>81</v>
      </c>
      <c r="D50" s="38" t="s">
        <v>107</v>
      </c>
      <c r="E50" s="39" t="s">
        <v>29</v>
      </c>
      <c r="F50" s="18" t="s">
        <v>79</v>
      </c>
      <c r="G50" s="18" t="s">
        <v>108</v>
      </c>
      <c r="H50" s="46">
        <v>4819.16</v>
      </c>
      <c r="I50" s="46">
        <f t="shared" si="1"/>
        <v>51872.956323999999</v>
      </c>
      <c r="J50" s="23">
        <v>31</v>
      </c>
      <c r="K50" s="2">
        <v>2022</v>
      </c>
      <c r="L50" s="2">
        <v>2023</v>
      </c>
      <c r="M50" s="2">
        <f t="shared" si="2"/>
        <v>1</v>
      </c>
      <c r="N50" s="2">
        <v>45</v>
      </c>
      <c r="O50" s="3">
        <v>0.1</v>
      </c>
      <c r="P50" s="43">
        <f t="shared" ref="P50" si="11">(1-O50)/N50</f>
        <v>0.02</v>
      </c>
      <c r="Q50" s="2">
        <v>2000</v>
      </c>
      <c r="R50" s="46">
        <f t="shared" ref="R50" si="12">Q50*10.7639</f>
        <v>21527.8</v>
      </c>
      <c r="S50" s="7">
        <f t="shared" ref="S50" si="13">R50*H50</f>
        <v>103745912.64799999</v>
      </c>
      <c r="T50" s="7">
        <f t="shared" ref="T50" si="14">S50*P50*M50</f>
        <v>2074918.2529599997</v>
      </c>
      <c r="U50" s="7">
        <f t="shared" ref="U50" si="15">MAX(S50-T50,0)</f>
        <v>101670994.39503999</v>
      </c>
      <c r="V50" s="10">
        <v>0</v>
      </c>
      <c r="W50" s="7">
        <f t="shared" ref="W50" si="16">IF(U50&gt;O50*S50,U50*(1+V50),S50*O50)</f>
        <v>101670994.39503999</v>
      </c>
      <c r="X50" s="11">
        <f t="shared" ref="X50" si="17">W50/I50</f>
        <v>1959.9999999999998</v>
      </c>
      <c r="Y50" s="1"/>
      <c r="Z50" s="1"/>
    </row>
    <row r="51" spans="2:26" x14ac:dyDescent="0.25">
      <c r="B51" s="72" t="s">
        <v>7</v>
      </c>
      <c r="C51" s="73"/>
      <c r="D51" s="73"/>
      <c r="E51" s="74"/>
      <c r="F51" s="30"/>
      <c r="G51" s="30"/>
      <c r="H51" s="54">
        <f>SUM(H4:H50)</f>
        <v>55137.201617100378</v>
      </c>
      <c r="I51" s="47">
        <f>SUM(I4:I50)</f>
        <v>593491.32448630652</v>
      </c>
      <c r="J51" s="30"/>
      <c r="K51" s="55"/>
      <c r="L51" s="55"/>
      <c r="M51" s="55"/>
      <c r="N51" s="55"/>
      <c r="O51" s="55"/>
      <c r="P51" s="55"/>
      <c r="Q51" s="55"/>
      <c r="R51" s="47"/>
      <c r="S51" s="8">
        <f>SUM(S4:S50)</f>
        <v>1150853554.0392134</v>
      </c>
      <c r="T51" s="8"/>
      <c r="U51" s="8">
        <f>SUM(U4:U50)</f>
        <v>661028881.40175915</v>
      </c>
      <c r="V51" s="8"/>
      <c r="W51" s="8">
        <f>SUM(W4:W50)</f>
        <v>679007708.42493892</v>
      </c>
    </row>
    <row r="52" spans="2:26" x14ac:dyDescent="0.25">
      <c r="B52" s="52" t="s">
        <v>101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  <row r="53" spans="2:26" x14ac:dyDescent="0.25">
      <c r="B53" s="52" t="s">
        <v>102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2:26" x14ac:dyDescent="0.25">
      <c r="B54" s="52" t="s">
        <v>103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</row>
    <row r="55" spans="2:26" x14ac:dyDescent="0.25">
      <c r="B55" s="52" t="s">
        <v>104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</row>
    <row r="70" spans="16:16" x14ac:dyDescent="0.25">
      <c r="P70" s="44">
        <v>1.5</v>
      </c>
    </row>
    <row r="71" spans="16:16" x14ac:dyDescent="0.25">
      <c r="P71" s="48">
        <f>P70*10^7</f>
        <v>15000000</v>
      </c>
    </row>
    <row r="72" spans="16:16" x14ac:dyDescent="0.25">
      <c r="P72" s="48">
        <f>P71*0.9</f>
        <v>13500000</v>
      </c>
    </row>
  </sheetData>
  <mergeCells count="6">
    <mergeCell ref="B2:W2"/>
    <mergeCell ref="B51:E51"/>
    <mergeCell ref="B55:W55"/>
    <mergeCell ref="B52:W52"/>
    <mergeCell ref="B53:W53"/>
    <mergeCell ref="B54:W54"/>
  </mergeCells>
  <dataValidations disablePrompts="1" count="1">
    <dataValidation type="list" allowBlank="1" showInputMessage="1" showErrorMessage="1" promptTitle="Condition of Structure" prompt="Condition of Structure" sqref="G4:G50">
      <formula1>"Poor, Average, Ordinary, Good, Very Good, Excellent"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F19" sqref="F19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10.5703125" style="44" bestFit="1" customWidth="1"/>
    <col min="5" max="5" width="7.5703125" style="44" bestFit="1" customWidth="1"/>
    <col min="6" max="6" width="10.85546875" style="48" customWidth="1"/>
    <col min="7" max="7" width="19.42578125" style="48" customWidth="1"/>
    <col min="8" max="8" width="16.85546875" style="48" bestFit="1" customWidth="1"/>
    <col min="10" max="10" width="14.28515625" bestFit="1" customWidth="1"/>
  </cols>
  <sheetData>
    <row r="2" spans="2:10" ht="15.75" x14ac:dyDescent="0.25">
      <c r="B2" s="50" t="s">
        <v>24</v>
      </c>
      <c r="C2" s="50"/>
      <c r="D2" s="50"/>
      <c r="E2" s="50"/>
      <c r="F2" s="50"/>
      <c r="G2" s="50"/>
      <c r="H2" s="50"/>
    </row>
    <row r="3" spans="2:10" ht="45" x14ac:dyDescent="0.25">
      <c r="B3" s="13" t="s">
        <v>23</v>
      </c>
      <c r="C3" s="13" t="s">
        <v>22</v>
      </c>
      <c r="D3" s="42" t="s">
        <v>91</v>
      </c>
      <c r="E3" s="42" t="s">
        <v>92</v>
      </c>
      <c r="F3" s="45" t="s">
        <v>99</v>
      </c>
      <c r="G3" s="45" t="s">
        <v>98</v>
      </c>
      <c r="H3" s="45" t="s">
        <v>21</v>
      </c>
    </row>
    <row r="4" spans="2:10" x14ac:dyDescent="0.25">
      <c r="B4" s="62">
        <v>1</v>
      </c>
      <c r="C4" s="36" t="s">
        <v>96</v>
      </c>
      <c r="D4" s="59">
        <f>E4/2.471</f>
        <v>4.9678267907729659</v>
      </c>
      <c r="E4" s="59">
        <v>12.275499999999999</v>
      </c>
      <c r="F4" s="60">
        <f>4046.85*E4</f>
        <v>49677.107174999997</v>
      </c>
      <c r="G4" s="54">
        <v>4800</v>
      </c>
      <c r="H4" s="58">
        <f>G4*F4</f>
        <v>238450114.44</v>
      </c>
    </row>
    <row r="5" spans="2:10" x14ac:dyDescent="0.25">
      <c r="B5" s="62">
        <v>2</v>
      </c>
      <c r="C5" s="36" t="s">
        <v>95</v>
      </c>
      <c r="D5" s="59">
        <f>E5/2.471</f>
        <v>12.144880615135573</v>
      </c>
      <c r="E5" s="43">
        <v>30.01</v>
      </c>
      <c r="F5" s="60">
        <f t="shared" ref="F5:F9" si="0">4046.85*E5</f>
        <v>121445.9685</v>
      </c>
      <c r="G5" s="46">
        <v>400</v>
      </c>
      <c r="H5" s="58">
        <f>G5*F5</f>
        <v>48578387.399999999</v>
      </c>
    </row>
    <row r="6" spans="2:10" x14ac:dyDescent="0.25">
      <c r="B6" s="62">
        <v>3</v>
      </c>
      <c r="C6" s="36" t="s">
        <v>97</v>
      </c>
      <c r="D6" s="59">
        <f>E6/2.471</f>
        <v>2.3553217320922704</v>
      </c>
      <c r="E6" s="43">
        <v>5.82</v>
      </c>
      <c r="F6" s="60">
        <f t="shared" si="0"/>
        <v>23552.667000000001</v>
      </c>
      <c r="G6" s="46">
        <v>600</v>
      </c>
      <c r="H6" s="58">
        <f>G6*F6</f>
        <v>14131600.200000001</v>
      </c>
    </row>
    <row r="7" spans="2:10" x14ac:dyDescent="0.25">
      <c r="B7" s="66" t="s">
        <v>109</v>
      </c>
      <c r="C7" s="67"/>
      <c r="D7" s="63">
        <f>SUM(D4:D6)</f>
        <v>19.468029138000809</v>
      </c>
      <c r="E7" s="63">
        <f>SUM(E4:E6)</f>
        <v>48.105499999999999</v>
      </c>
      <c r="F7" s="64">
        <f>SUM(F4:F6)</f>
        <v>194675.74267499999</v>
      </c>
      <c r="G7" s="64"/>
      <c r="H7" s="65">
        <f>SUM(H4:H6)</f>
        <v>301160102.03999996</v>
      </c>
    </row>
    <row r="8" spans="2:10" ht="45" x14ac:dyDescent="0.25">
      <c r="B8" s="13" t="s">
        <v>23</v>
      </c>
      <c r="C8" s="13" t="s">
        <v>22</v>
      </c>
      <c r="D8" s="42" t="s">
        <v>91</v>
      </c>
      <c r="E8" s="42" t="s">
        <v>92</v>
      </c>
      <c r="F8" s="45" t="s">
        <v>99</v>
      </c>
      <c r="G8" s="45" t="s">
        <v>94</v>
      </c>
      <c r="H8" s="45" t="s">
        <v>21</v>
      </c>
    </row>
    <row r="9" spans="2:10" x14ac:dyDescent="0.25">
      <c r="B9" s="28">
        <v>1</v>
      </c>
      <c r="C9" s="28" t="s">
        <v>90</v>
      </c>
      <c r="D9" s="57">
        <v>32</v>
      </c>
      <c r="E9" s="57">
        <f>D9*2.471</f>
        <v>79.072000000000003</v>
      </c>
      <c r="F9" s="60">
        <f t="shared" si="0"/>
        <v>319992.5232</v>
      </c>
      <c r="G9" s="58">
        <v>1681</v>
      </c>
      <c r="H9" s="46">
        <f>G9*F9</f>
        <v>537907431.49919999</v>
      </c>
      <c r="J9" s="75">
        <f>G9*4046.84</f>
        <v>6802738.04</v>
      </c>
    </row>
    <row r="10" spans="2:10" x14ac:dyDescent="0.25">
      <c r="B10" s="66" t="s">
        <v>110</v>
      </c>
      <c r="C10" s="67"/>
      <c r="D10" s="56">
        <f>SUM(D4:D9)</f>
        <v>70.936058276001617</v>
      </c>
      <c r="E10" s="56">
        <f>SUM(E4:E9)</f>
        <v>175.28300000000002</v>
      </c>
      <c r="F10" s="47">
        <f>SUM(F9)</f>
        <v>319992.5232</v>
      </c>
      <c r="G10" s="47"/>
      <c r="H10" s="47">
        <f>SUM(H9)</f>
        <v>537907431.49919999</v>
      </c>
    </row>
    <row r="11" spans="2:10" x14ac:dyDescent="0.25">
      <c r="B11" s="68" t="s">
        <v>111</v>
      </c>
      <c r="C11" s="68"/>
      <c r="D11" s="68"/>
      <c r="E11" s="68"/>
      <c r="F11" s="68"/>
      <c r="G11" s="68"/>
      <c r="H11" s="61">
        <f>H10+H7</f>
        <v>839067533.53919995</v>
      </c>
    </row>
    <row r="13" spans="2:10" x14ac:dyDescent="0.25">
      <c r="D13" s="44">
        <f>E13/2.47</f>
        <v>32.013082272179815</v>
      </c>
      <c r="E13" s="44">
        <f>F13/4046.84</f>
        <v>79.072313212284143</v>
      </c>
      <c r="F13" s="48">
        <v>319993</v>
      </c>
      <c r="G13" s="48">
        <v>13000000</v>
      </c>
      <c r="H13" s="48">
        <f>G13*E13</f>
        <v>1027940071.7596939</v>
      </c>
      <c r="I13" t="s">
        <v>112</v>
      </c>
    </row>
    <row r="14" spans="2:10" x14ac:dyDescent="0.25">
      <c r="H14" s="48">
        <f>'[1]Freehold Land'!$R$63</f>
        <v>672841500</v>
      </c>
      <c r="I14" t="s">
        <v>113</v>
      </c>
      <c r="J14" s="1">
        <f>H14+H13</f>
        <v>1700781571.7596939</v>
      </c>
    </row>
    <row r="15" spans="2:10" x14ac:dyDescent="0.25">
      <c r="H15" s="48">
        <f>'final valuation'!W51</f>
        <v>679007708.42493892</v>
      </c>
      <c r="I15" t="s">
        <v>114</v>
      </c>
      <c r="J15" s="44">
        <f>H11/J14</f>
        <v>0.49334232418279822</v>
      </c>
    </row>
    <row r="16" spans="2:10" x14ac:dyDescent="0.25">
      <c r="H16" s="48">
        <f>SUM(H13:H15)</f>
        <v>2379789280.1846328</v>
      </c>
      <c r="I16" t="s">
        <v>115</v>
      </c>
    </row>
    <row r="17" spans="6:8" x14ac:dyDescent="0.25">
      <c r="H17" s="48">
        <v>2380000000</v>
      </c>
    </row>
    <row r="18" spans="6:8" x14ac:dyDescent="0.25">
      <c r="F18" s="48">
        <v>296</v>
      </c>
      <c r="G18" s="76">
        <f>G13/4047</f>
        <v>3212.2559920929084</v>
      </c>
      <c r="H18" s="48">
        <f>H17*0.85</f>
        <v>2023000000</v>
      </c>
    </row>
    <row r="19" spans="6:8" x14ac:dyDescent="0.25">
      <c r="F19" s="48">
        <f>F18*10.764</f>
        <v>3186.1439999999998</v>
      </c>
      <c r="H19" s="48">
        <f>H17*0.75</f>
        <v>1785000000</v>
      </c>
    </row>
  </sheetData>
  <mergeCells count="4">
    <mergeCell ref="B11:G11"/>
    <mergeCell ref="B2:H2"/>
    <mergeCell ref="B10:C10"/>
    <mergeCell ref="B7:C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4:Q24"/>
  <sheetViews>
    <sheetView tabSelected="1" topLeftCell="A31" workbookViewId="0">
      <selection activeCell="E79" sqref="E79"/>
    </sheetView>
  </sheetViews>
  <sheetFormatPr defaultRowHeight="15" x14ac:dyDescent="0.25"/>
  <sheetData>
    <row r="4" spans="17:17" x14ac:dyDescent="0.25">
      <c r="Q4">
        <v>400</v>
      </c>
    </row>
    <row r="24" spans="17:17" x14ac:dyDescent="0.25">
      <c r="Q24">
        <v>4800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Basics Information</vt:lpstr>
      <vt:lpstr>Market Value</vt:lpstr>
      <vt:lpstr>final valuation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Abhinav Chaturvedi</cp:lastModifiedBy>
  <dcterms:created xsi:type="dcterms:W3CDTF">2021-09-16T11:33:35Z</dcterms:created>
  <dcterms:modified xsi:type="dcterms:W3CDTF">2024-01-01T12:14:45Z</dcterms:modified>
</cp:coreProperties>
</file>